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5" firstSheet="9"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J29" i="3"/>
  <c r="I47" i="21"/>
  <c r="G47"/>
  <c r="E47"/>
  <c r="I37" i="35"/>
  <c r="G37"/>
  <c r="E37"/>
  <c r="I7"/>
  <c r="G7"/>
  <c r="E7"/>
  <c r="C6"/>
  <c r="C5"/>
  <c r="I7" i="21"/>
  <c r="G7"/>
  <c r="E7"/>
  <c r="C6"/>
  <c r="C5"/>
  <c r="F71" i="39"/>
  <c r="E71"/>
  <c r="D71"/>
  <c r="E9" i="77"/>
  <c r="D9"/>
  <c r="C38" i="39"/>
  <c r="C10"/>
  <c r="F25" i="6" l="1"/>
  <c r="F24"/>
  <c r="F23"/>
  <c r="F22"/>
  <c r="F21"/>
  <c r="F20"/>
  <c r="F19"/>
  <c r="G26" l="1"/>
  <c r="K25" i="3"/>
  <c r="J4" i="71" l="1"/>
  <c r="K4"/>
  <c r="L4"/>
  <c r="I4"/>
  <c r="N4" l="1"/>
  <c r="B4" s="1"/>
  <c r="Q4"/>
  <c r="F4" s="1"/>
  <c r="P4"/>
  <c r="E4" s="1"/>
  <c r="O4"/>
  <c r="C4" s="1"/>
  <c r="D4" s="1"/>
  <c r="I5" l="1"/>
  <c r="L5"/>
  <c r="Q5" s="1"/>
  <c r="F5" s="1"/>
  <c r="K5"/>
  <c r="P5" s="1"/>
  <c r="E5" s="1"/>
  <c r="J5"/>
  <c r="O5" s="1"/>
  <c r="C5" s="1"/>
  <c r="D5" s="1"/>
  <c r="N5"/>
  <c r="B5" s="1"/>
  <c r="A2" i="53" l="1"/>
  <c r="K59" i="67" l="1"/>
  <c r="P61" s="1"/>
  <c r="K59" i="15"/>
  <c r="P74"/>
  <c r="P61"/>
  <c r="P74" i="67" l="1"/>
  <c r="D116" i="39"/>
  <c r="E116"/>
  <c r="F116"/>
  <c r="G116"/>
  <c r="H116"/>
  <c r="I116"/>
  <c r="J116"/>
  <c r="K116"/>
  <c r="L116"/>
  <c r="M116"/>
  <c r="C116"/>
  <c r="A21" i="62" l="1"/>
  <c r="A20"/>
  <c r="A22" i="51"/>
  <c r="A21"/>
  <c r="A20"/>
  <c r="A14" i="62" l="1"/>
  <c r="A13"/>
  <c r="A19" l="1"/>
  <c r="A12"/>
  <c r="A120" i="9"/>
  <c r="H2" i="52"/>
  <c r="A1"/>
  <c r="A3" i="53"/>
  <c r="Q6" i="71" l="1"/>
  <c r="P6"/>
  <c r="O6"/>
  <c r="N6"/>
  <c r="D5" i="43" l="1"/>
  <c r="A15" i="51" l="1"/>
  <c r="E8" i="76"/>
  <c r="B9"/>
  <c r="B13"/>
  <c r="B8"/>
  <c r="E7"/>
  <c r="E13"/>
  <c r="E10"/>
  <c r="B11"/>
  <c r="B7"/>
  <c r="B10"/>
  <c r="B12"/>
  <c r="E9"/>
  <c r="E11"/>
  <c r="E12"/>
  <c r="C76" i="9" l="1"/>
  <c r="I107" i="40" l="1"/>
  <c r="K6" i="4" l="1"/>
  <c r="B22" i="31" l="1"/>
  <c r="N56" i="9" l="1"/>
  <c r="M56"/>
  <c r="K56"/>
  <c r="E15" i="74" l="1"/>
  <c r="F15"/>
  <c r="E16"/>
  <c r="F16"/>
  <c r="E17"/>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F19" s="1"/>
  <c r="AD19"/>
  <c r="AD20"/>
  <c r="AE20"/>
  <c r="AF20"/>
  <c r="AG20"/>
  <c r="AH20"/>
  <c r="S2" i="31" l="1"/>
  <c r="M2"/>
  <c r="N2"/>
  <c r="O2"/>
  <c r="P2"/>
  <c r="Q2"/>
  <c r="R2"/>
  <c r="C1" i="73" l="1"/>
  <c r="L1" s="1"/>
  <c r="F7"/>
  <c r="J1" l="1"/>
  <c r="B74" i="72"/>
  <c r="D5" i="73"/>
  <c r="D3"/>
  <c r="F6"/>
  <c r="F4"/>
  <c r="F3"/>
  <c r="F5"/>
  <c r="D6"/>
  <c r="I1" l="1"/>
  <c r="B39" i="1" s="1"/>
  <c r="D7" i="73"/>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C34"/>
  <c r="Q33"/>
  <c r="F34" s="1"/>
  <c r="F35" s="1"/>
  <c r="F36" s="1"/>
  <c r="V36" s="1"/>
  <c r="P33"/>
  <c r="E34" s="1"/>
  <c r="O33"/>
  <c r="N33"/>
  <c r="B34" s="1"/>
  <c r="B35" s="1"/>
  <c r="B36" s="1"/>
  <c r="S36"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F18"/>
  <c r="F19" s="1"/>
  <c r="F20" s="1"/>
  <c r="V20" s="1"/>
  <c r="Q17"/>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B10" l="1"/>
  <c r="B11" s="1"/>
  <c r="B12" s="1"/>
  <c r="S12" s="1"/>
  <c r="X9"/>
  <c r="E10"/>
  <c r="E11" s="1"/>
  <c r="E12" s="1"/>
  <c r="U12" s="1"/>
  <c r="AA9"/>
  <c r="B14"/>
  <c r="B15" s="1"/>
  <c r="B16" s="1"/>
  <c r="S16" s="1"/>
  <c r="X13"/>
  <c r="B18"/>
  <c r="B19" s="1"/>
  <c r="B20" s="1"/>
  <c r="S20" s="1"/>
  <c r="X17"/>
  <c r="E18"/>
  <c r="E19" s="1"/>
  <c r="E20" s="1"/>
  <c r="U20" s="1"/>
  <c r="AA17"/>
  <c r="N48"/>
  <c r="E14"/>
  <c r="E15" s="1"/>
  <c r="E16" s="1"/>
  <c r="U16" s="1"/>
  <c r="AA13"/>
  <c r="C10"/>
  <c r="Y9"/>
  <c r="Z9" s="1"/>
  <c r="AB9"/>
  <c r="X10"/>
  <c r="AA10"/>
  <c r="X11"/>
  <c r="AA11"/>
  <c r="X12"/>
  <c r="AA12"/>
  <c r="C14"/>
  <c r="C15" s="1"/>
  <c r="Y13"/>
  <c r="Z13" s="1"/>
  <c r="AB13"/>
  <c r="X14"/>
  <c r="AA14"/>
  <c r="X15"/>
  <c r="AA15"/>
  <c r="X16"/>
  <c r="AA16"/>
  <c r="C18"/>
  <c r="Y17"/>
  <c r="Z17" s="1"/>
  <c r="AB17"/>
  <c r="X18"/>
  <c r="AA18"/>
  <c r="F31"/>
  <c r="F32" s="1"/>
  <c r="V32" s="1"/>
  <c r="C8"/>
  <c r="Y3"/>
  <c r="Z3" s="1"/>
  <c r="Y5"/>
  <c r="Z5" s="1"/>
  <c r="Y6"/>
  <c r="Z6" s="1"/>
  <c r="Y7"/>
  <c r="Z7" s="1"/>
  <c r="Y8"/>
  <c r="Z8" s="1"/>
  <c r="B8"/>
  <c r="B7" s="1"/>
  <c r="B6" s="1"/>
  <c r="X5"/>
  <c r="X6"/>
  <c r="X7"/>
  <c r="X3"/>
  <c r="X8"/>
  <c r="C11"/>
  <c r="D10"/>
  <c r="D14"/>
  <c r="C19"/>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T8" l="1"/>
  <c r="C7"/>
  <c r="S8"/>
  <c r="F8"/>
  <c r="F7" s="1"/>
  <c r="F6" s="1"/>
  <c r="AB3"/>
  <c r="AB5"/>
  <c r="AB6"/>
  <c r="AB7"/>
  <c r="AB8"/>
  <c r="E8"/>
  <c r="E7" s="1"/>
  <c r="E6"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6" s="1"/>
  <c r="D7"/>
  <c r="V8"/>
  <c r="P45"/>
  <c r="P46"/>
  <c r="O46"/>
  <c r="D46"/>
  <c r="O45"/>
  <c r="T12"/>
  <c r="D12"/>
  <c r="T16"/>
  <c r="D16"/>
  <c r="T20"/>
  <c r="D20"/>
  <c r="T24"/>
  <c r="D24"/>
  <c r="T32"/>
  <c r="D32"/>
  <c r="T36"/>
  <c r="D36"/>
  <c r="T40"/>
  <c r="D40"/>
  <c r="T44"/>
  <c r="D44"/>
  <c r="O27" i="6" l="1"/>
  <c r="N27"/>
  <c r="P20"/>
  <c r="P21"/>
  <c r="P22"/>
  <c r="P23"/>
  <c r="P24"/>
  <c r="P25"/>
  <c r="P26"/>
  <c r="P19"/>
  <c r="AP13" i="1"/>
  <c r="L21" i="6"/>
  <c r="L22"/>
  <c r="L23"/>
  <c r="L24"/>
  <c r="L25"/>
  <c r="L26"/>
  <c r="P27" l="1"/>
  <c r="A7" i="70"/>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3" i="1"/>
  <c r="AO9"/>
  <c r="AO10"/>
  <c r="AO11"/>
  <c r="AO12"/>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9"/>
  <c r="F7"/>
  <c r="C7" s="1"/>
  <c r="AC21" i="37" l="1"/>
  <c r="W21"/>
  <c r="AC21" i="34"/>
  <c r="W21"/>
  <c r="AC21" i="33"/>
  <c r="W21"/>
  <c r="AB21" i="21"/>
  <c r="U21"/>
  <c r="G83"/>
  <c r="J21"/>
  <c r="C40" i="69"/>
  <c r="F38" i="68"/>
  <c r="E37"/>
  <c r="F36"/>
  <c r="F35"/>
  <c r="F21"/>
  <c r="C21" s="1"/>
  <c r="F20"/>
  <c r="E9"/>
  <c r="F7"/>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A8"/>
  <c r="B8" s="1"/>
  <c r="E8" s="1"/>
  <c r="A9"/>
  <c r="A10"/>
  <c r="A11"/>
  <c r="A12"/>
  <c r="A13"/>
  <c r="A6"/>
  <c r="F3" i="35" s="1"/>
  <c r="B11" i="1"/>
  <c r="E11" s="1"/>
  <c r="B7"/>
  <c r="E7" s="1"/>
  <c r="B13"/>
  <c r="E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Z24" s="1"/>
  <c r="AX24"/>
  <c r="AW24"/>
  <c r="AV24"/>
  <c r="AC24"/>
  <c r="H24"/>
  <c r="G24"/>
  <c r="BT23"/>
  <c r="BS23"/>
  <c r="BR23"/>
  <c r="BQ23"/>
  <c r="BP23"/>
  <c r="BO23"/>
  <c r="BN23"/>
  <c r="BM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BA21" s="1"/>
  <c r="AZ21" s="1"/>
  <c r="AX21"/>
  <c r="AW21"/>
  <c r="AV21"/>
  <c r="AC21"/>
  <c r="H21"/>
  <c r="G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s="1"/>
  <c r="BK18"/>
  <c r="BJ18"/>
  <c r="BI18"/>
  <c r="BH18"/>
  <c r="BG18"/>
  <c r="BF18"/>
  <c r="BE18"/>
  <c r="BD18"/>
  <c r="BC18"/>
  <c r="BB18"/>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F23" i="15"/>
  <c r="D24" s="1"/>
  <c r="E22" i="6"/>
  <c r="E23"/>
  <c r="E24"/>
  <c r="E25"/>
  <c r="E26"/>
  <c r="K13" i="1" s="1"/>
  <c r="M13" s="1"/>
  <c r="O13" s="1"/>
  <c r="P13" s="1"/>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s="1"/>
  <c r="Q44"/>
  <c r="Z44" s="1"/>
  <c r="Q45"/>
  <c r="Z45" s="1"/>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9" i="11"/>
  <c r="C7" i="12"/>
  <c r="BB12" i="3"/>
  <c r="F7" i="12"/>
  <c r="D7"/>
  <c r="E7"/>
  <c r="G7"/>
  <c r="K5" i="3"/>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S40" i="21"/>
  <c r="C25" i="39"/>
  <c r="C27"/>
  <c r="C21"/>
  <c r="S40"/>
  <c r="C15"/>
  <c r="H32" i="33"/>
  <c r="AB32"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U2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H5" i="3"/>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H41"/>
  <c r="W27"/>
  <c r="U40"/>
  <c r="W9"/>
  <c r="W8"/>
  <c r="J19" i="40"/>
  <c r="AC19" s="1"/>
  <c r="J50"/>
  <c r="B54" i="72"/>
  <c r="H103" i="9"/>
  <c r="D8" i="53" s="1"/>
  <c r="B16"/>
  <c r="B33" i="72" s="1"/>
  <c r="C7" i="37"/>
  <c r="C7" i="34"/>
  <c r="C7" i="36"/>
  <c r="W35" i="40"/>
  <c r="A118" i="9"/>
  <c r="A4" i="52"/>
  <c r="B41" i="72" s="1"/>
  <c r="A12" i="52"/>
  <c r="B56" i="72" s="1"/>
  <c r="G4" i="4"/>
  <c r="I4"/>
  <c r="K5"/>
  <c r="B47" i="48" s="1"/>
  <c r="A2" i="9"/>
  <c r="N2" i="43"/>
  <c r="F59" s="1"/>
  <c r="AZ28" i="3"/>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BB5"/>
  <c r="E8" i="6" s="1"/>
  <c r="F27" s="1"/>
  <c r="BR5" i="3"/>
  <c r="G28" i="6" s="1"/>
  <c r="AZ380" i="3"/>
  <c r="AZ384"/>
  <c r="AZ388"/>
  <c r="AZ392"/>
  <c r="AZ396"/>
  <c r="AZ394"/>
  <c r="AZ499"/>
  <c r="AZ509"/>
  <c r="G509"/>
  <c r="BL493"/>
  <c r="AZ491"/>
  <c r="AZ376"/>
  <c r="AZ390"/>
  <c r="AZ382"/>
  <c r="AZ493"/>
  <c r="U36" i="40"/>
  <c r="N4" i="43"/>
  <c r="F36"/>
  <c r="F81"/>
  <c r="H83" s="1"/>
  <c r="H113"/>
  <c r="F48"/>
  <c r="H52" s="1"/>
  <c r="N7"/>
  <c r="F70"/>
  <c r="H73" s="1"/>
  <c r="M6"/>
  <c r="M11"/>
  <c r="E17"/>
  <c r="F39"/>
  <c r="I17"/>
  <c r="F35"/>
  <c r="J17"/>
  <c r="F6" i="1"/>
  <c r="U17" i="39"/>
  <c r="S14" i="35"/>
  <c r="U43" i="21"/>
  <c r="AC35"/>
  <c r="U10"/>
  <c r="G8" i="1"/>
  <c r="G9"/>
  <c r="G10"/>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9"/>
  <c r="AZ31"/>
  <c r="AZ33"/>
  <c r="AZ37"/>
  <c r="AZ42"/>
  <c r="AZ45"/>
  <c r="AZ50"/>
  <c r="AZ53"/>
  <c r="AZ58"/>
  <c r="AZ61"/>
  <c r="AZ66"/>
  <c r="AZ69"/>
  <c r="AZ72"/>
  <c r="AZ74"/>
  <c r="AZ77"/>
  <c r="AZ82"/>
  <c r="AZ86"/>
  <c r="AZ94"/>
  <c r="AZ102"/>
  <c r="AZ110"/>
  <c r="H75" i="43"/>
  <c r="H74"/>
  <c r="H50"/>
  <c r="H49"/>
  <c r="H48"/>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AE9"/>
  <c r="M9" l="1"/>
  <c r="O9" s="1"/>
  <c r="P9" s="1"/>
  <c r="AP9"/>
  <c r="M8"/>
  <c r="O8" s="1"/>
  <c r="P8" s="1"/>
  <c r="AP8"/>
  <c r="AC27" i="35"/>
  <c r="U35" i="21"/>
  <c r="U34"/>
  <c r="AA29" i="35"/>
  <c r="U33"/>
  <c r="S34" i="21"/>
  <c r="AC46"/>
  <c r="W44"/>
  <c r="AB34" i="39"/>
  <c r="S34"/>
  <c r="S42"/>
  <c r="AA41"/>
  <c r="W14"/>
  <c r="K10" i="1"/>
  <c r="BL23" i="3"/>
  <c r="AZ23" s="1"/>
  <c r="BL20"/>
  <c r="AZ20" s="1"/>
  <c r="BA18"/>
  <c r="AZ18" s="1"/>
  <c r="BL15"/>
  <c r="AZ15" s="1"/>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E28"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B12" i="1"/>
  <c r="E12" s="1"/>
  <c r="B10"/>
  <c r="E10" s="1"/>
  <c r="D1" i="66"/>
  <c r="E10" s="1"/>
  <c r="AZ80" i="3"/>
  <c r="AZ84"/>
  <c r="AZ88"/>
  <c r="AZ107"/>
  <c r="AZ111"/>
  <c r="K12" i="1"/>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A14"/>
  <c r="AB8"/>
  <c r="S8"/>
  <c r="M3" i="43"/>
  <c r="N10"/>
  <c r="M1"/>
  <c r="M8"/>
  <c r="N8"/>
  <c r="N9"/>
  <c r="D120" i="9"/>
  <c r="C18"/>
  <c r="D18" s="1"/>
  <c r="F34" i="67"/>
  <c r="F62" s="1"/>
  <c r="M20"/>
  <c r="F34" i="15"/>
  <c r="F62" s="1"/>
  <c r="G13" i="3"/>
  <c r="G5" s="1"/>
  <c r="B3" s="1"/>
  <c r="AT6" s="1"/>
  <c r="BA13"/>
  <c r="E10" i="6"/>
  <c r="BA5" i="3"/>
  <c r="E27" i="6" s="1"/>
  <c r="E11"/>
  <c r="E61" i="39" s="1"/>
  <c r="BL17" i="3"/>
  <c r="AZ17" s="1"/>
  <c r="BL13"/>
  <c r="E65" i="39"/>
  <c r="G30" i="6"/>
  <c r="G31" s="1"/>
  <c r="J56" i="9"/>
  <c r="J57" s="1"/>
  <c r="A24" i="51"/>
  <c r="B18" i="72" s="1"/>
  <c r="U29" i="34"/>
  <c r="E14" i="6"/>
  <c r="E64" i="39" s="1"/>
  <c r="E5" i="6"/>
  <c r="D9" i="11" s="1"/>
  <c r="C9" s="1"/>
  <c r="J105" i="43"/>
  <c r="G102"/>
  <c r="H22"/>
  <c r="L101"/>
  <c r="L109" s="1"/>
  <c r="H101"/>
  <c r="D101"/>
  <c r="D109" s="1"/>
  <c r="M101"/>
  <c r="M109" s="1"/>
  <c r="I101"/>
  <c r="I109" s="1"/>
  <c r="E101"/>
  <c r="G22"/>
  <c r="E32" i="6"/>
  <c r="L19" s="1"/>
  <c r="G1" i="68"/>
  <c r="K1" i="12"/>
  <c r="F30" i="6"/>
  <c r="F31" s="1"/>
  <c r="D3" i="39" s="1"/>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E19" i="69"/>
  <c r="E19" i="68"/>
  <c r="E19" i="11"/>
  <c r="E1" i="73"/>
  <c r="K1" s="1"/>
  <c r="G41" i="69"/>
  <c r="G22"/>
  <c r="G41" i="68"/>
  <c r="G22"/>
  <c r="G27" i="12"/>
  <c r="G26"/>
  <c r="G41" i="11"/>
  <c r="G22"/>
  <c r="G25" i="12"/>
  <c r="C109" i="43"/>
  <c r="J109"/>
  <c r="C100"/>
  <c r="K109"/>
  <c r="E11"/>
  <c r="E10"/>
  <c r="E9"/>
  <c r="E8"/>
  <c r="C7" s="1"/>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48" i="35"/>
  <c r="D48" s="1"/>
  <c r="C58" i="21"/>
  <c r="D58" s="1"/>
  <c r="C94" i="9"/>
  <c r="C92"/>
  <c r="H62" i="43"/>
  <c r="H66"/>
  <c r="H61"/>
  <c r="H65"/>
  <c r="H60"/>
  <c r="H64"/>
  <c r="H59"/>
  <c r="H63"/>
  <c r="H67"/>
  <c r="H55"/>
  <c r="H51"/>
  <c r="H56"/>
  <c r="H76"/>
  <c r="H72"/>
  <c r="H77"/>
  <c r="L20" i="6"/>
  <c r="E62" i="39"/>
  <c r="E56"/>
  <c r="E51" i="40"/>
  <c r="B6" i="1"/>
  <c r="E6" s="1"/>
  <c r="K1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26" i="15"/>
  <c r="L47" i="67"/>
  <c r="F13" i="15"/>
  <c r="F9"/>
  <c r="J15"/>
  <c r="L47"/>
  <c r="F40" i="67"/>
  <c r="M29" i="15"/>
  <c r="M8" i="67"/>
  <c r="M22" i="15"/>
  <c r="F8"/>
  <c r="F16"/>
  <c r="M26" i="67"/>
  <c r="F43" i="15"/>
  <c r="M26"/>
  <c r="M29" i="67"/>
  <c r="M23" i="15"/>
  <c r="F37" i="67"/>
  <c r="F38" i="15"/>
  <c r="M8"/>
  <c r="F9" i="67"/>
  <c r="M22"/>
  <c r="F6"/>
  <c r="F7"/>
  <c r="F40" i="15"/>
  <c r="F6"/>
  <c r="G1" i="73"/>
  <c r="F13" i="67"/>
  <c r="F8"/>
  <c r="M23"/>
  <c r="F42" i="15"/>
  <c r="M6"/>
  <c r="M24"/>
  <c r="F36"/>
  <c r="F43" i="67"/>
  <c r="F36"/>
  <c r="M28" i="15"/>
  <c r="M9"/>
  <c r="M24" i="67"/>
  <c r="L48" i="15"/>
  <c r="J15" i="67"/>
  <c r="F42"/>
  <c r="M6"/>
  <c r="F37" i="15"/>
  <c r="C76" i="67"/>
  <c r="M28"/>
  <c r="C76" i="15"/>
  <c r="F7"/>
  <c r="L48" i="67"/>
  <c r="F26"/>
  <c r="M9"/>
  <c r="F38"/>
  <c r="F16"/>
  <c r="I115" i="43" l="1"/>
  <c r="J115" s="1"/>
  <c r="K115" s="1"/>
  <c r="L115" s="1"/>
  <c r="M115" s="1"/>
  <c r="C106"/>
  <c r="M12" i="1"/>
  <c r="O12" s="1"/>
  <c r="P12" s="1"/>
  <c r="AP12"/>
  <c r="E56" i="40"/>
  <c r="M11" i="1"/>
  <c r="O11" s="1"/>
  <c r="P11" s="1"/>
  <c r="AP11"/>
  <c r="M10"/>
  <c r="AP10"/>
  <c r="AC15" i="21"/>
  <c r="AA29"/>
  <c r="W17"/>
  <c r="D22" i="43"/>
  <c r="C4" i="4"/>
  <c r="K4" s="1"/>
  <c r="B46" i="48" s="1"/>
  <c r="B4" i="72" s="1"/>
  <c r="L58" i="67"/>
  <c r="L58" i="15"/>
  <c r="Q73" s="1"/>
  <c r="N59" i="67"/>
  <c r="L59" s="1"/>
  <c r="M59"/>
  <c r="M59" i="15"/>
  <c r="J53" i="67"/>
  <c r="I54"/>
  <c r="N59" i="15"/>
  <c r="I54"/>
  <c r="J53"/>
  <c r="L56" s="1"/>
  <c r="AZ13" i="3"/>
  <c r="M6" i="1"/>
  <c r="O6" s="1"/>
  <c r="P6" s="1"/>
  <c r="F30" i="68"/>
  <c r="C30" s="1"/>
  <c r="F30" i="11"/>
  <c r="C48" s="1"/>
  <c r="F28" i="67"/>
  <c r="C28" s="1"/>
  <c r="F31" i="12"/>
  <c r="F52" i="9"/>
  <c r="M18" i="67"/>
  <c r="F32"/>
  <c r="F60" s="1"/>
  <c r="F30" i="69"/>
  <c r="C48" s="1"/>
  <c r="F32" i="15"/>
  <c r="F60" s="1"/>
  <c r="M18"/>
  <c r="F28"/>
  <c r="C28" s="1"/>
  <c r="E63" i="39"/>
  <c r="D9" i="69"/>
  <c r="C9" s="1"/>
  <c r="D19" i="12"/>
  <c r="C19" s="1"/>
  <c r="E59" i="40"/>
  <c r="D68" i="39"/>
  <c r="D70" s="1"/>
  <c r="P24" i="43"/>
  <c r="B66" i="40" s="1"/>
  <c r="E30" i="6"/>
  <c r="K15" i="1"/>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s="1"/>
  <c r="E66" i="39"/>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S37"/>
  <c r="AA23"/>
  <c r="AB15"/>
  <c r="J23"/>
  <c r="F85"/>
  <c r="G85" s="1"/>
  <c r="H23"/>
  <c r="S13"/>
  <c r="D6" i="52"/>
  <c r="D121" i="9"/>
  <c r="D7" i="52" s="1"/>
  <c r="K120" i="9"/>
  <c r="D113" i="4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K22"/>
  <c r="E102" i="43"/>
  <c r="E104"/>
  <c r="E106"/>
  <c r="E107"/>
  <c r="E103"/>
  <c r="E105"/>
  <c r="M102"/>
  <c r="M104"/>
  <c r="M106"/>
  <c r="M107"/>
  <c r="M103"/>
  <c r="M105"/>
  <c r="H102"/>
  <c r="H107"/>
  <c r="H103"/>
  <c r="H106"/>
  <c r="H104"/>
  <c r="H105"/>
  <c r="K19" i="6"/>
  <c r="S6" i="1" s="1"/>
  <c r="AQ6" s="1"/>
  <c r="K25" i="6"/>
  <c r="K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C33" i="21" s="1"/>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Q7" i="1"/>
  <c r="R22" i="31"/>
  <c r="B21" s="1"/>
  <c r="B40" i="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B73" i="72" s="1"/>
  <c r="C10" i="15"/>
  <c r="L27" i="6"/>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i="67"/>
  <c r="AP7" i="1"/>
  <c r="C36" i="69" s="1"/>
  <c r="M7" i="1"/>
  <c r="O7" s="1"/>
  <c r="Q16"/>
  <c r="F27" i="69" s="1"/>
  <c r="H16" i="1"/>
  <c r="AB45" i="21"/>
  <c r="W32"/>
  <c r="AC32"/>
  <c r="AB9"/>
  <c r="U9"/>
  <c r="AA32"/>
  <c r="S32"/>
  <c r="W9"/>
  <c r="AC9"/>
  <c r="AB32"/>
  <c r="U32"/>
  <c r="AA10"/>
  <c r="S10"/>
  <c r="F31" i="15"/>
  <c r="F31" i="67"/>
  <c r="F59" i="15"/>
  <c r="M17"/>
  <c r="M17" i="67"/>
  <c r="F59"/>
  <c r="C16" i="15"/>
  <c r="C17"/>
  <c r="C16" i="67"/>
  <c r="J33" i="21" l="1"/>
  <c r="F33"/>
  <c r="H33"/>
  <c r="O10" i="1"/>
  <c r="P10" s="1"/>
  <c r="M19" i="6"/>
  <c r="M25"/>
  <c r="I25" s="1"/>
  <c r="S25" s="1"/>
  <c r="S12" i="1"/>
  <c r="M22" i="6"/>
  <c r="I22" s="1"/>
  <c r="S22" s="1"/>
  <c r="S9" i="1"/>
  <c r="M21" i="6"/>
  <c r="I21" s="1"/>
  <c r="S21" s="1"/>
  <c r="S8" i="1"/>
  <c r="M24" i="6"/>
  <c r="I24" s="1"/>
  <c r="S24" s="1"/>
  <c r="S11" i="1"/>
  <c r="M23" i="6"/>
  <c r="I23" s="1"/>
  <c r="S23" s="1"/>
  <c r="S10" i="1"/>
  <c r="M26" i="6"/>
  <c r="I26" s="1"/>
  <c r="S26" s="1"/>
  <c r="S13" i="1"/>
  <c r="K16"/>
  <c r="AR6"/>
  <c r="S5" i="43"/>
  <c r="S3"/>
  <c r="C23"/>
  <c r="C21" s="1"/>
  <c r="S2"/>
  <c r="S7"/>
  <c r="S4"/>
  <c r="S6"/>
  <c r="B4" i="62"/>
  <c r="B71" i="72" s="1"/>
  <c r="T7" i="1"/>
  <c r="AR7"/>
  <c r="L59" i="15"/>
  <c r="Q74" s="1"/>
  <c r="C30" i="11"/>
  <c r="E6" i="70"/>
  <c r="K27" i="6"/>
  <c r="A18" i="62"/>
  <c r="B64" i="72" s="1"/>
  <c r="B14" i="74"/>
  <c r="B1"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C49" i="15"/>
  <c r="Q60"/>
  <c r="M16" i="1"/>
  <c r="N16" s="1"/>
  <c r="Q60" i="67"/>
  <c r="Q73"/>
  <c r="F27" i="11"/>
  <c r="Q61" i="67"/>
  <c r="Q74"/>
  <c r="C49"/>
  <c r="F1"/>
  <c r="Q52"/>
  <c r="C17" i="12" l="1"/>
  <c r="AB33" i="21"/>
  <c r="U33"/>
  <c r="AC33"/>
  <c r="W33"/>
  <c r="S33"/>
  <c r="AA33"/>
  <c r="AR13" i="1"/>
  <c r="AQ13"/>
  <c r="T13"/>
  <c r="AQ10"/>
  <c r="AR10"/>
  <c r="T10"/>
  <c r="AQ11"/>
  <c r="T11"/>
  <c r="AR11"/>
  <c r="AQ8"/>
  <c r="AR8"/>
  <c r="T8"/>
  <c r="AR9"/>
  <c r="AQ9"/>
  <c r="T9"/>
  <c r="AQ12"/>
  <c r="AR12"/>
  <c r="T12"/>
  <c r="Q61" i="15"/>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D20" i="12"/>
  <c r="B28" i="1" s="1"/>
  <c r="M19" i="9"/>
  <c r="C118" s="1"/>
  <c r="D19" i="6"/>
  <c r="D25"/>
  <c r="D26"/>
  <c r="D15"/>
  <c r="C18" i="4"/>
  <c r="D22" i="6"/>
  <c r="D8"/>
  <c r="D21"/>
  <c r="D23"/>
  <c r="D24"/>
  <c r="D14"/>
  <c r="D20"/>
  <c r="R20" s="1"/>
  <c r="D5"/>
  <c r="D6"/>
  <c r="D12"/>
  <c r="D9"/>
  <c r="D11"/>
  <c r="D10"/>
  <c r="D13"/>
  <c r="L19" i="9"/>
  <c r="D28" i="6"/>
  <c r="D29"/>
  <c r="E61" i="40"/>
  <c r="H25" i="6"/>
  <c r="R25" s="1"/>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E10" i="69" l="1"/>
  <c r="E10" i="68"/>
  <c r="E20" i="12"/>
  <c r="C20" s="1"/>
  <c r="C18" s="1"/>
  <c r="E10" i="11"/>
  <c r="C10" s="1"/>
  <c r="C34"/>
  <c r="C36"/>
  <c r="J24" i="67"/>
  <c r="J18"/>
  <c r="J24" i="15"/>
  <c r="J18"/>
  <c r="G36" i="36"/>
  <c r="R37"/>
  <c r="AB7" i="34"/>
  <c r="T49" s="1"/>
  <c r="G49" s="1"/>
  <c r="G53" s="1"/>
  <c r="H53" s="1"/>
  <c r="W7" i="21"/>
  <c r="AA7"/>
  <c r="R26" i="6"/>
  <c r="R13" i="1" s="1"/>
  <c r="R23" i="6"/>
  <c r="R24"/>
  <c r="R11" i="1" s="1"/>
  <c r="R21" i="6"/>
  <c r="R22"/>
  <c r="R9" i="1" s="1"/>
  <c r="D30" i="6"/>
  <c r="D16"/>
  <c r="A7" i="51"/>
  <c r="B7" i="72" s="1"/>
  <c r="C4" i="52"/>
  <c r="B45" i="72" s="1"/>
  <c r="A10" i="51"/>
  <c r="B9" i="72" s="1"/>
  <c r="D27" i="6"/>
  <c r="D19" i="68"/>
  <c r="C10"/>
  <c r="C12" i="12"/>
  <c r="C15"/>
  <c r="C34" i="68"/>
  <c r="U7" i="21"/>
  <c r="C22" i="11"/>
  <c r="C31" s="1"/>
  <c r="C26" i="43"/>
  <c r="C27"/>
  <c r="I40" i="36"/>
  <c r="J40" s="1"/>
  <c r="R43" i="37"/>
  <c r="E42"/>
  <c r="I47" s="1"/>
  <c r="J47" s="1"/>
  <c r="G43" i="35"/>
  <c r="H43" s="1"/>
  <c r="I42"/>
  <c r="J42" s="1"/>
  <c r="R39"/>
  <c r="E38"/>
  <c r="I43" s="1"/>
  <c r="J43" s="1"/>
  <c r="G47" i="37"/>
  <c r="H47" s="1"/>
  <c r="I46"/>
  <c r="J46" s="1"/>
  <c r="G63" i="40"/>
  <c r="F65"/>
  <c r="R50" i="34"/>
  <c r="E49"/>
  <c r="G70" i="39"/>
  <c r="H27" i="6"/>
  <c r="R19"/>
  <c r="R7" i="1" s="1"/>
  <c r="C35" i="11"/>
  <c r="C38"/>
  <c r="C14" i="12"/>
  <c r="E6" i="76"/>
  <c r="R10" i="1" l="1"/>
  <c r="R8"/>
  <c r="R12"/>
  <c r="D31" i="6"/>
  <c r="I6" s="1"/>
  <c r="E2" i="76"/>
  <c r="B2" i="43"/>
  <c r="G54" i="34"/>
  <c r="H54" s="1"/>
  <c r="C37" i="36"/>
  <c r="C36"/>
  <c r="G40"/>
  <c r="H40" s="1"/>
  <c r="E41"/>
  <c r="F41" s="1"/>
  <c r="G41"/>
  <c r="H41" s="1"/>
  <c r="C19" i="68"/>
  <c r="D37"/>
  <c r="C37" s="1"/>
  <c r="R27" i="6"/>
  <c r="R6" i="1"/>
  <c r="C16" i="12"/>
  <c r="C21" s="1"/>
  <c r="C38" i="68"/>
  <c r="C35"/>
  <c r="E47" i="37"/>
  <c r="F47" s="1"/>
  <c r="E46"/>
  <c r="F46" s="1"/>
  <c r="C43"/>
  <c r="C42"/>
  <c r="C39" i="35"/>
  <c r="C38"/>
  <c r="J8" i="12" s="1"/>
  <c r="E43" i="35"/>
  <c r="F43" s="1"/>
  <c r="E42"/>
  <c r="F42" s="1"/>
  <c r="E54" i="34"/>
  <c r="F54" s="1"/>
  <c r="I54"/>
  <c r="J54" s="1"/>
  <c r="E53"/>
  <c r="F53" s="1"/>
  <c r="C49"/>
  <c r="C50"/>
  <c r="H63" i="40"/>
  <c r="G65"/>
  <c r="H70" i="39"/>
  <c r="C33" i="11"/>
  <c r="C42" s="1"/>
  <c r="B6" i="76"/>
  <c r="F35" i="15"/>
  <c r="M21" i="67"/>
  <c r="M21" i="15"/>
  <c r="F35" i="67"/>
  <c r="I5" i="6" l="1"/>
  <c r="C11" i="39" s="1"/>
  <c r="B2" i="76"/>
  <c r="B3" s="1"/>
  <c r="B3" i="43"/>
  <c r="F63" i="67"/>
  <c r="C62" s="1"/>
  <c r="C34"/>
  <c r="J20"/>
  <c r="C24" i="68"/>
  <c r="J20" i="15"/>
  <c r="F63"/>
  <c r="C62" s="1"/>
  <c r="C34"/>
  <c r="R16" i="1"/>
  <c r="C22" i="12"/>
  <c r="C33" i="68"/>
  <c r="I63" i="40"/>
  <c r="H65"/>
  <c r="C39" i="11"/>
  <c r="C43" s="1"/>
  <c r="C41" s="1"/>
  <c r="I70" i="39"/>
  <c r="C11" i="21" l="1"/>
  <c r="F11" i="39"/>
  <c r="H11"/>
  <c r="J11"/>
  <c r="C39" i="68"/>
  <c r="C43" s="1"/>
  <c r="C42"/>
  <c r="J63" i="40"/>
  <c r="I65"/>
  <c r="C46" i="11"/>
  <c r="C45" s="1"/>
  <c r="C49" s="1"/>
  <c r="C51" s="1"/>
  <c r="C52" s="1"/>
  <c r="B2" s="1"/>
  <c r="B3" s="1"/>
  <c r="J70" i="39"/>
  <c r="AB11" l="1"/>
  <c r="U11"/>
  <c r="F11" i="21"/>
  <c r="J11"/>
  <c r="H11"/>
  <c r="W11" i="39"/>
  <c r="AC11"/>
  <c r="AA11"/>
  <c r="S11"/>
  <c r="C41" i="68"/>
  <c r="C46"/>
  <c r="C45" s="1"/>
  <c r="K63" i="40"/>
  <c r="J65"/>
  <c r="K70" i="39"/>
  <c r="C56" i="11"/>
  <c r="C57" s="1"/>
  <c r="U11" i="21" l="1"/>
  <c r="AB11"/>
  <c r="T48" s="1"/>
  <c r="G48" s="1"/>
  <c r="S11"/>
  <c r="AA11"/>
  <c r="R48" s="1"/>
  <c r="W11"/>
  <c r="AC11"/>
  <c r="V48" s="1"/>
  <c r="I48" s="1"/>
  <c r="C49" i="68"/>
  <c r="C51" s="1"/>
  <c r="L63" i="40"/>
  <c r="K65"/>
  <c r="L70" i="39"/>
  <c r="E2" i="70"/>
  <c r="C34" i="69"/>
  <c r="C17" i="67"/>
  <c r="E48" i="21" l="1"/>
  <c r="R49"/>
  <c r="I52"/>
  <c r="J52" s="1"/>
  <c r="I53"/>
  <c r="J53" s="1"/>
  <c r="G53"/>
  <c r="H53" s="1"/>
  <c r="G52"/>
  <c r="H52" s="1"/>
  <c r="M63" i="40"/>
  <c r="L65"/>
  <c r="M70" i="39"/>
  <c r="C35" i="69"/>
  <c r="C38"/>
  <c r="D10"/>
  <c r="E52" i="21" l="1"/>
  <c r="F52" s="1"/>
  <c r="E53"/>
  <c r="F53" s="1"/>
  <c r="C48"/>
  <c r="C6" i="12" s="1"/>
  <c r="C49" i="21"/>
  <c r="N63" i="40"/>
  <c r="M65"/>
  <c r="O70" i="39"/>
  <c r="N70"/>
  <c r="D19" i="69"/>
  <c r="C10"/>
  <c r="C8" s="1"/>
  <c r="C5" s="1"/>
  <c r="H6" i="12" l="1"/>
  <c r="H8" s="1"/>
  <c r="D6"/>
  <c r="D8" s="1"/>
  <c r="G6"/>
  <c r="G8" s="1"/>
  <c r="C8"/>
  <c r="F6"/>
  <c r="F8" s="1"/>
  <c r="I6"/>
  <c r="I8" s="1"/>
  <c r="E6"/>
  <c r="E8" s="1"/>
  <c r="O63" i="40"/>
  <c r="O65" s="1"/>
  <c r="N65"/>
  <c r="C23" i="69"/>
  <c r="C19"/>
  <c r="C24" s="1"/>
  <c r="D37"/>
  <c r="C37" s="1"/>
  <c r="C33" s="1"/>
  <c r="C14" i="67"/>
  <c r="C4" i="12" l="1"/>
  <c r="F7" i="40"/>
  <c r="H7"/>
  <c r="J7"/>
  <c r="C15" i="67"/>
  <c r="C18"/>
  <c r="C42" i="69"/>
  <c r="C39"/>
  <c r="C43" s="1"/>
  <c r="C20"/>
  <c r="C25" s="1"/>
  <c r="C22" s="1"/>
  <c r="C31" i="12" l="1"/>
  <c r="C23"/>
  <c r="W7" i="40"/>
  <c r="AC7"/>
  <c r="V42" s="1"/>
  <c r="I42" s="1"/>
  <c r="AB7"/>
  <c r="T42" s="1"/>
  <c r="G42" s="1"/>
  <c r="U7"/>
  <c r="AA7"/>
  <c r="R42" s="1"/>
  <c r="S7"/>
  <c r="C19" i="67"/>
  <c r="C46" i="69"/>
  <c r="C45" s="1"/>
  <c r="C41"/>
  <c r="C28"/>
  <c r="C27" s="1"/>
  <c r="C31" s="1"/>
  <c r="C30" i="12" l="1"/>
  <c r="C28" s="1"/>
  <c r="C27"/>
  <c r="C25" s="1"/>
  <c r="C20" i="67"/>
  <c r="C23" s="1"/>
  <c r="C49" i="69"/>
  <c r="C51" s="1"/>
  <c r="I46" i="40"/>
  <c r="J46" s="1"/>
  <c r="E42"/>
  <c r="I47" s="1"/>
  <c r="J47" s="1"/>
  <c r="R43"/>
  <c r="G47"/>
  <c r="H47" s="1"/>
  <c r="G46"/>
  <c r="H46" s="1"/>
  <c r="C32" i="12" l="1"/>
  <c r="B2" s="1"/>
  <c r="B3" s="1"/>
  <c r="C26" i="67"/>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M27"/>
  <c r="F41" i="67"/>
  <c r="F41" i="15"/>
  <c r="M27" i="67"/>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E2" i="69"/>
  <c r="AO8" i="1"/>
  <c r="AO6"/>
  <c r="AO7"/>
  <c r="B8" i="70" l="1"/>
  <c r="B7"/>
  <c r="B6"/>
  <c r="C46" i="15"/>
  <c r="B2" i="69"/>
  <c r="B3" s="1"/>
  <c r="B3" i="67"/>
  <c r="D2" i="35"/>
  <c r="F20" i="31"/>
  <c r="E2" i="68"/>
  <c r="D2" i="37"/>
  <c r="D2" i="33"/>
  <c r="D2" i="36"/>
  <c r="D2" i="21"/>
  <c r="D2" i="34"/>
  <c r="B20" i="31" l="1"/>
  <c r="B2" i="36"/>
  <c r="B3" s="1"/>
  <c r="B2" i="35"/>
  <c r="B3" s="1"/>
  <c r="B2" i="37"/>
  <c r="B3" s="1"/>
  <c r="B2" i="34"/>
  <c r="B3" s="1"/>
  <c r="B2" i="21"/>
  <c r="B3" s="1"/>
  <c r="B2" i="70"/>
  <c r="B3" s="1"/>
  <c r="D19" i="9"/>
  <c r="D20"/>
  <c r="D102" l="1"/>
  <c r="D21"/>
  <c r="D103"/>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l="1"/>
  <c r="C6" i="68"/>
  <c r="C7" l="1"/>
  <c r="C5" s="1"/>
  <c r="C23" l="1"/>
  <c r="C20"/>
  <c r="H112" i="9"/>
  <c r="D21" i="53" s="1"/>
  <c r="B39" i="72" s="1"/>
  <c r="H111" i="9"/>
  <c r="D126" s="1"/>
  <c r="D19" i="53"/>
  <c r="D59" i="9"/>
  <c r="M55"/>
  <c r="C28" i="68" l="1"/>
  <c r="C27" s="1"/>
  <c r="C25"/>
  <c r="C22" s="1"/>
  <c r="B38" i="72"/>
  <c r="D20" i="53"/>
  <c r="B40" i="72" s="1"/>
  <c r="I14" i="74"/>
  <c r="B8" s="1"/>
  <c r="D127" i="9"/>
  <c r="D13" i="52" s="1"/>
  <c r="D12"/>
  <c r="C31" i="68" l="1"/>
  <c r="C52" s="1"/>
  <c r="C57" s="1"/>
  <c r="C56" s="1"/>
  <c r="D8" i="74"/>
  <c r="C8"/>
  <c r="B2" i="68" l="1"/>
  <c r="C19" i="9"/>
  <c r="C102" l="1"/>
  <c r="G19"/>
  <c r="C32" s="1"/>
  <c r="C21"/>
  <c r="D22"/>
  <c r="B3" i="68"/>
  <c r="G21" i="9"/>
  <c r="D35"/>
  <c r="C20"/>
  <c r="D34"/>
  <c r="C103" l="1"/>
  <c r="G20"/>
  <c r="C35"/>
  <c r="F118" s="1"/>
  <c r="H118"/>
  <c r="C104" l="1"/>
  <c r="I118"/>
  <c r="D14" i="74"/>
  <c r="H101" i="9"/>
  <c r="H119"/>
  <c r="H5" i="52" s="1"/>
  <c r="H4"/>
  <c r="G118" i="9"/>
  <c r="G4" i="52" s="1"/>
  <c r="B52" i="72" s="1"/>
  <c r="F4" i="52"/>
  <c r="B51" i="72" s="1"/>
  <c r="F119" i="9"/>
  <c r="F5" i="52" s="1"/>
  <c r="B53" i="72" s="1"/>
  <c r="C34" i="9"/>
  <c r="D118" s="1"/>
  <c r="E14" i="74" l="1"/>
  <c r="F14"/>
  <c r="B5"/>
  <c r="D119" i="9"/>
  <c r="D5" i="52" s="1"/>
  <c r="B49" i="72" s="1"/>
  <c r="D4" i="52"/>
  <c r="B47" i="72" s="1"/>
  <c r="H107" i="9"/>
  <c r="M48"/>
  <c r="D45"/>
  <c r="D5" i="53"/>
  <c r="H109" i="9"/>
  <c r="C105"/>
  <c r="E118"/>
  <c r="E4" i="52" s="1"/>
  <c r="B48" i="72" s="1"/>
  <c r="H102" i="9"/>
  <c r="D7" i="53" s="1"/>
  <c r="B21" i="72" s="1"/>
  <c r="I4" i="52"/>
  <c r="M49" i="9" l="1"/>
  <c r="H110"/>
  <c r="D18" i="53" s="1"/>
  <c r="B35" i="72" s="1"/>
  <c r="D124" i="9"/>
  <c r="D16" i="53"/>
  <c r="D53" i="9"/>
  <c r="C93"/>
  <c r="C86" s="1"/>
  <c r="C78"/>
  <c r="C73" s="1"/>
  <c r="C72"/>
  <c r="C64"/>
  <c r="C63" s="1"/>
  <c r="C67" s="1"/>
  <c r="C68" s="1"/>
  <c r="D54" s="1"/>
  <c r="D52"/>
  <c r="C85"/>
  <c r="D55"/>
  <c r="M53" s="1"/>
  <c r="H108"/>
  <c r="D15" i="53" s="1"/>
  <c r="B31" i="72" s="1"/>
  <c r="D13" i="53"/>
  <c r="D122" i="9"/>
  <c r="B20" i="72"/>
  <c r="D6" i="53"/>
  <c r="B22" i="72" s="1"/>
  <c r="D5" i="74"/>
  <c r="C5"/>
  <c r="C79" i="9" l="1"/>
  <c r="C80" s="1"/>
  <c r="E80" s="1"/>
  <c r="E81" s="1"/>
  <c r="C95"/>
  <c r="G14" i="74"/>
  <c r="B6" s="1"/>
  <c r="D8" i="52"/>
  <c r="D123" i="9"/>
  <c r="D9" i="52" s="1"/>
  <c r="C96" i="9"/>
  <c r="E96" s="1"/>
  <c r="E97" s="1"/>
  <c r="H14" i="74"/>
  <c r="B7" s="1"/>
  <c r="D10" i="52"/>
  <c r="D125" i="9"/>
  <c r="D11" i="52" s="1"/>
  <c r="L64" i="9"/>
  <c r="M64" s="1"/>
  <c r="L65"/>
  <c r="M65" s="1"/>
  <c r="L63"/>
  <c r="M63" s="1"/>
  <c r="L68"/>
  <c r="M68" s="1"/>
  <c r="L66"/>
  <c r="M66" s="1"/>
  <c r="L67"/>
  <c r="M67" s="1"/>
  <c r="D14" i="53"/>
  <c r="B32" i="72" s="1"/>
  <c r="B30"/>
  <c r="B34"/>
  <c r="D17" i="53"/>
  <c r="B36" i="72" s="1"/>
  <c r="C97" i="9" l="1"/>
  <c r="D58" s="1"/>
  <c r="D56" s="1"/>
  <c r="M54" s="1"/>
  <c r="N57" s="1"/>
  <c r="P57" s="1"/>
  <c r="D6" i="74"/>
  <c r="C6"/>
  <c r="M69" i="9"/>
  <c r="N69" s="1"/>
  <c r="C7" i="74"/>
  <c r="D7"/>
  <c r="C81" i="9"/>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<sst xmlns="http://schemas.openxmlformats.org/spreadsheetml/2006/main" count="7604" uniqueCount="3224">
  <si>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</si>
  <si>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</si>
  <si>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</si>
  <si>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</si>
  <si>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</si>
  <si>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</si>
  <si>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</si>
  <si>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</si>
  <si>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</si>
  <si>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</si>
  <si>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</si>
  <si>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</si>
  <si>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</si>
  <si>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</si>
  <si>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</si>
  <si>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</si>
  <si>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</si>
  <si>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</si>
  <si>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</si>
  <si>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</si>
  <si>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</si>
  <si>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</si>
  <si>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</si>
  <si>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</si>
  <si>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</si>
  <si>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</si>
  <si>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</si>
  <si>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</si>
  <si>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</si>
  <si>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</si>
  <si>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</si>
  <si>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</si>
  <si>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</si>
  <si>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</si>
  <si>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</si>
  <si>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</si>
  <si>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</si>
  <si>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</si>
  <si>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</si>
  <si>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</si>
  <si>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</si>
  <si>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</si>
  <si>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</si>
  <si>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</si>
  <si>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</si>
  <si>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</si>
  <si>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</si>
  <si>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</si>
  <si>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</si>
  <si>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</si>
  <si>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</si>
  <si>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</si>
  <si>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</si>
  <si>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</si>
  <si>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</si>
  <si>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</si>
  <si>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</si>
  <si>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</si>
  <si>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</si>
  <si>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</si>
  <si>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</si>
  <si>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</si>
  <si>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</si>
  <si>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</si>
  <si>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</si>
  <si>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</si>
  <si>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</si>
  <si>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</si>
  <si>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</si>
  <si>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</si>
  <si>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</si>
  <si>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</si>
  <si>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</si>
  <si>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</si>
  <si>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</si>
  <si>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</si>
  <si>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</si>
  <si>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</si>
  <si>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</si>
  <si>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</si>
  <si>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</si>
  <si>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</si>
  <si>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</si>
  <si>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</si>
  <si>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</si>
  <si>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</si>
  <si>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</si>
  <si>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</si>
  <si>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</si>
  <si>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</si>
  <si>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</si>
  <si>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</si>
  <si>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</si>
  <si>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</si>
  <si>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</si>
  <si>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</si>
  <si>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</si>
  <si>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</si>
  <si>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</si>
  <si>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</si>
  <si>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</si>
  <si>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</si>
  <si>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</si>
  <si>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</si>
  <si>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</si>
  <si>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</si>
  <si>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</si>
  <si>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</si>
  <si>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</si>
  <si>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</si>
  <si>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</si>
  <si>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</si>
  <si>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</si>
  <si>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</si>
  <si>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</si>
  <si>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</si>
  <si>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</si>
  <si>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</si>
  <si>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</si>
  <si>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</si>
  <si>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</si>
  <si>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</si>
  <si>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</si>
  <si>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</si>
  <si>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</si>
  <si>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</si>
  <si>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</si>
  <si>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</si>
  <si>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</si>
  <si>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</si>
  <si>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</si>
  <si>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</si>
  <si>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</si>
  <si>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</si>
  <si>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</si>
  <si>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</si>
  <si>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</si>
  <si>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</si>
  <si>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</si>
  <si>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</si>
  <si>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</si>
  <si>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</si>
  <si>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</si>
  <si>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</si>
  <si>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</si>
  <si>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</si>
  <si>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</si>
  <si>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</si>
  <si>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</si>
  <si>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</si>
  <si>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</si>
  <si>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</si>
  <si>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</si>
  <si>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</si>
  <si>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</si>
  <si>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</si>
  <si>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</si>
  <si>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</si>
  <si>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</si>
  <si>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</si>
  <si>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</si>
  <si>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</si>
  <si>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</si>
  <si>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</si>
  <si>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</si>
  <si>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</si>
  <si>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</si>
  <si>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</si>
  <si>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</si>
  <si>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</si>
  <si>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</si>
  <si>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</si>
  <si>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</si>
  <si>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</si>
  <si>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</si>
  <si>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</si>
  <si>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</si>
  <si>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</si>
  <si>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</si>
  <si>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</si>
  <si>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</si>
  <si>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</si>
  <si>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</si>
  <si>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</si>
  <si>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</si>
  <si>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</si>
  <si>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</si>
  <si>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</si>
  <si>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</si>
  <si>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</si>
  <si>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</si>
  <si>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</si>
  <si>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</si>
  <si>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</si>
  <si>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</si>
  <si>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</si>
  <si>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</si>
  <si>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</si>
  <si>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</si>
  <si>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</si>
  <si>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</si>
  <si>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</si>
  <si>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</si>
  <si>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</si>
  <si>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</si>
  <si>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</si>
  <si>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</si>
  <si>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</si>
  <si>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</si>
  <si>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</si>
  <si>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</si>
  <si>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</si>
  <si>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</si>
  <si>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</si>
  <si>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</si>
  <si>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</si>
  <si>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</si>
  <si>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</si>
  <si>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</si>
  <si>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</si>
  <si>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</si>
  <si>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</si>
  <si>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</si>
  <si>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</si>
  <si>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</si>
  <si>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</si>
  <si>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</si>
  <si>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</si>
  <si>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</si>
  <si>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</si>
  <si>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</si>
  <si>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</si>
  <si>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</si>
  <si>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</si>
  <si>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</si>
  <si>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</si>
  <si>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</si>
  <si>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</si>
  <si>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</si>
  <si>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</si>
  <si>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</si>
  <si>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</si>
  <si>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</si>
  <si>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</si>
  <si>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</si>
  <si>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</si>
  <si>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</si>
  <si>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</si>
  <si>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</si>
  <si>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</si>
  <si>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</si>
  <si>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</si>
  <si>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</si>
  <si>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</si>
  <si>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</si>
  <si>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</si>
  <si>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</si>
  <si>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</si>
  <si>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</si>
  <si>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</si>
  <si>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</si>
  <si>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</si>
  <si>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</si>
  <si>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</si>
  <si>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</si>
  <si>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</si>
  <si>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</si>
  <si>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</si>
  <si>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</si>
  <si>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</si>
  <si>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</si>
  <si>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</si>
  <si>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</si>
  <si>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</si>
  <si>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</si>
  <si>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</si>
  <si>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</si>
  <si>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</si>
  <si>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</si>
  <si>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</si>
  <si>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</si>
  <si>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</si>
  <si>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</si>
  <si>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</si>
  <si>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</si>
  <si>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</si>
  <si>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</si>
  <si>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</si>
  <si>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</si>
  <si>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</si>
  <si>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</si>
  <si>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</si>
  <si>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</si>
  <si>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</si>
  <si>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</si>
  <si>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</si>
  <si>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</si>
  <si>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</si>
  <si>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</si>
  <si>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</si>
  <si>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</si>
  <si>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</si>
  <si>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</si>
  <si>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</si>
  <si>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</si>
  <si>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</si>
  <si>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</si>
  <si>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</si>
  <si>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</si>
  <si>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</si>
  <si>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</si>
  <si>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</si>
  <si>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</si>
  <si>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</si>
  <si>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</si>
  <si>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</si>
  <si>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</si>
  <si>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</si>
  <si>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</si>
  <si>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</si>
  <si>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</si>
  <si>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</si>
  <si>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</si>
  <si>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</si>
  <si>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</si>
  <si>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</si>
  <si>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</si>
  <si>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</si>
  <si>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</si>
  <si>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</si>
  <si>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</si>
  <si>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</si>
  <si>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</si>
  <si>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</si>
  <si>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</si>
  <si>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</si>
  <si>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</si>
  <si>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</si>
  <si>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</si>
  <si>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</si>
  <si>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</si>
  <si>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</si>
  <si>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</si>
  <si>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</si>
  <si>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</si>
  <si>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</si>
  <si>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</si>
  <si>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</si>
  <si>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</si>
  <si>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</si>
  <si>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</si>
  <si>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</si>
  <si>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</si>
  <si>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</si>
  <si>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</si>
  <si>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</si>
  <si>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</si>
  <si>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</si>
  <si>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</si>
  <si>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</si>
  <si>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</si>
  <si>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</si>
  <si>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</si>
  <si>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</si>
  <si>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</si>
  <si>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</si>
  <si>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</si>
  <si>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</si>
  <si>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</si>
  <si>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</si>
  <si>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</si>
  <si>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</si>
  <si>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</si>
  <si>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</si>
  <si>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</si>
  <si>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</si>
  <si>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</si>
  <si>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</si>
  <si>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</si>
  <si>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</si>
  <si>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</si>
  <si>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</si>
  <si>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</si>
  <si>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</si>
  <si>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</si>
  <si>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</si>
  <si>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</si>
  <si>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</si>
  <si>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</si>
  <si>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</si>
  <si>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</si>
  <si>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</si>
  <si>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</si>
  <si>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</si>
  <si>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</si>
  <si>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</si>
  <si>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</si>
  <si>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</si>
  <si>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</si>
  <si>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</si>
  <si>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</si>
  <si>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</si>
  <si>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</si>
  <si>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</si>
  <si>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</si>
  <si>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</si>
  <si>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</si>
  <si>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</si>
  <si>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</si>
  <si>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</si>
  <si>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</si>
  <si>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</si>
  <si>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</si>
  <si>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</si>
  <si>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</si>
  <si>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</si>
  <si>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</si>
  <si>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</si>
  <si>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</si>
  <si>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</si>
  <si>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</si>
  <si>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</si>
  <si>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</si>
  <si>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</si>
  <si>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</si>
  <si>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</si>
  <si>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</si>
  <si>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</si>
  <si>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</si>
  <si>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</si>
  <si>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</si>
  <si>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</si>
  <si>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</si>
  <si>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</si>
  <si>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</si>
  <si>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</si>
  <si>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</si>
  <si>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</si>
  <si>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</si>
  <si>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</si>
  <si>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</si>
  <si>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</si>
  <si>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</si>
  <si>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</si>
  <si>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</si>
  <si>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</si>
  <si>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</si>
  <si>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</si>
  <si>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</si>
  <si>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</si>
  <si>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</si>
  <si>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</si>
  <si>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</si>
  <si>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</si>
  <si>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</si>
  <si>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</si>
  <si>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</si>
  <si>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</si>
  <si>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</si>
  <si>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</si>
  <si>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</si>
  <si>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</si>
  <si>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</si>
  <si>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</si>
  <si>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</si>
  <si>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</si>
  <si>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</si>
  <si>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</si>
  <si>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</si>
  <si>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</si>
  <si>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</si>
  <si>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</si>
  <si>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</si>
  <si>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</si>
  <si>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</si>
  <si>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</si>
  <si>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</si>
  <si>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</si>
  <si>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</si>
  <si>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</si>
  <si>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</si>
  <si>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</si>
  <si>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</si>
  <si>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</si>
  <si>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</si>
  <si>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</si>
  <si>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</si>
  <si>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</si>
  <si>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</si>
  <si>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</si>
  <si>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</si>
  <si>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</si>
  <si>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</si>
  <si>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</si>
  <si>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</si>
  <si>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</si>
  <si>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</si>
  <si>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</si>
  <si>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</si>
  <si>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</si>
  <si>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</si>
  <si>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</si>
  <si>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</si>
  <si>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</si>
  <si>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</si>
  <si>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</si>
  <si>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</si>
  <si>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</si>
  <si>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</si>
  <si>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</si>
  <si>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</si>
  <si>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</si>
  <si>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</si>
  <si>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</si>
  <si>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</si>
  <si>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</si>
  <si>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</si>
  <si>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</si>
  <si>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</si>
  <si>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</si>
  <si>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</si>
  <si>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</si>
  <si>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</si>
  <si>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</si>
  <si>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</si>
  <si>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</si>
  <si>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</si>
  <si>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</si>
  <si>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</si>
  <si>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</si>
  <si>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</si>
  <si>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</si>
  <si>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</si>
  <si>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</si>
  <si>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</si>
  <si>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</si>
  <si>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</si>
  <si>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</si>
  <si>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</si>
  <si>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</si>
  <si>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</si>
  <si>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</si>
  <si>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</si>
  <si>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</si>
  <si>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</si>
  <si>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</si>
  <si>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</si>
  <si>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</si>
  <si>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</si>
  <si>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</si>
  <si>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</si>
  <si>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</si>
  <si>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</si>
  <si>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</si>
  <si>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</si>
  <si>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</si>
  <si>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</si>
  <si>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</si>
  <si>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</si>
  <si>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</si>
  <si>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</si>
  <si>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</si>
  <si>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</si>
  <si>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</si>
  <si>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</si>
  <si>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</si>
  <si>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</si>
  <si>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</si>
  <si>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</si>
  <si>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</si>
  <si>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</si>
  <si>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</si>
  <si>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</si>
  <si>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</si>
  <si>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</si>
  <si>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</si>
  <si>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</si>
  <si>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</si>
  <si>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</si>
  <si>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</si>
  <si>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</si>
  <si>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</si>
  <si>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</si>
  <si>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</si>
  <si>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</si>
  <si>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</si>
  <si>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</si>
  <si>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</si>
  <si>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</si>
  <si>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</si>
  <si>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</si>
  <si>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</si>
  <si>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</si>
  <si>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</si>
  <si>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</si>
  <si>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</si>
  <si>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</si>
  <si>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</si>
  <si>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</si>
  <si>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</si>
  <si>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</si>
  <si>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</si>
  <si>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</si>
  <si>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</si>
  <si>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</si>
  <si>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</si>
  <si>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</si>
  <si>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</si>
  <si>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</si>
  <si>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</si>
  <si>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</si>
  <si>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</si>
  <si>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</si>
  <si>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</si>
  <si>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</si>
  <si>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</si>
  <si>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</si>
  <si>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</si>
  <si>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</si>
  <si>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</si>
  <si>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</si>
  <si>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</si>
  <si>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</si>
  <si>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</si>
  <si>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</si>
  <si>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</si>
  <si>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</si>
  <si>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</si>
  <si>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</si>
  <si>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</si>
  <si>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</si>
  <si>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</si>
  <si>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</si>
  <si>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</si>
  <si>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</si>
  <si>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</si>
  <si>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</si>
  <si>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</si>
  <si>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</si>
  <si>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</si>
  <si>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</si>
  <si>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</si>
  <si>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</si>
  <si>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</si>
  <si>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</si>
  <si>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</si>
  <si>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</si>
  <si>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</si>
  <si>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</si>
  <si>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</si>
  <si>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</si>
  <si>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</si>
  <si>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</si>
  <si>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</si>
  <si>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</si>
  <si>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</si>
  <si>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</si>
  <si>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</si>
  <si>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</si>
  <si>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</si>
  <si>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</si>
  <si>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</si>
  <si>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</si>
  <si>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</si>
  <si>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</si>
  <si>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</si>
  <si>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</si>
  <si>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</si>
  <si>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</si>
  <si>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</si>
  <si>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</si>
  <si>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</si>
  <si>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</si>
  <si>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</si>
  <si>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</si>
  <si>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</si>
  <si>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</si>
  <si>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</si>
  <si>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</si>
  <si>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</si>
  <si>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</si>
  <si>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</si>
  <si>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</si>
  <si>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</si>
  <si>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</si>
  <si>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</si>
  <si>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</si>
  <si>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</si>
  <si>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</si>
  <si>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</si>
  <si>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</si>
  <si>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</si>
  <si>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</si>
  <si>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</si>
  <si>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</si>
  <si>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</si>
  <si>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</si>
  <si>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</si>
  <si>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</si>
  <si>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</si>
  <si>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</si>
  <si>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</si>
  <si>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</si>
  <si>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</si>
  <si>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</si>
  <si>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</si>
  <si>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</si>
  <si>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</si>
  <si>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</si>
  <si>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</si>
  <si>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</si>
  <si>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</si>
  <si>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</si>
  <si>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</si>
  <si>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</si>
  <si>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</si>
  <si>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</si>
  <si>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</si>
  <si>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</si>
  <si>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</si>
  <si>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</si>
  <si>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</si>
  <si>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</si>
  <si>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</si>
  <si>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</si>
  <si>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</si>
  <si>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</si>
  <si>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</si>
  <si>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</si>
  <si>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</si>
  <si>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</si>
  <si>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</si>
  <si>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</si>
  <si>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</si>
  <si>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</si>
  <si>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</si>
  <si>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</si>
  <si>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</si>
  <si>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</si>
  <si>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</si>
  <si>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</si>
  <si>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</si>
  <si>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</si>
  <si>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</si>
  <si>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</si>
  <si>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</si>
  <si>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</si>
  <si>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</si>
  <si>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</si>
  <si>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</si>
  <si>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</si>
  <si>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</si>
  <si>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</si>
  <si>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</si>
  <si>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</si>
  <si>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</si>
  <si>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</si>
  <si>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</si>
  <si>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</si>
  <si>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</si>
  <si>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</si>
  <si>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</si>
  <si>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</si>
  <si>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</si>
  <si>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</si>
  <si>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</si>
  <si>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</si>
  <si>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</si>
  <si>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</si>
  <si>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</si>
  <si>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</si>
  <si>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</si>
  <si>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</si>
  <si>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</si>
  <si>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</si>
  <si>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</si>
  <si>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</si>
  <si>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</si>
  <si>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</si>
  <si>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</si>
  <si>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</si>
  <si>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</si>
  <si>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</si>
  <si>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</si>
  <si>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</si>
  <si>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</si>
  <si>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</si>
  <si>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</si>
  <si>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</si>
  <si>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</si>
  <si>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</si>
  <si>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</si>
  <si>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</si>
  <si>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</si>
  <si>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</si>
  <si>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</si>
  <si>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</si>
  <si>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</si>
  <si>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</si>
  <si>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</si>
  <si>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</si>
  <si>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</si>
  <si>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</si>
  <si>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</si>
  <si>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</si>
  <si>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</si>
  <si>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</si>
  <si>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</si>
  <si>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</si>
  <si>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</si>
  <si>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</si>
  <si>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</si>
  <si>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</si>
  <si>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</si>
  <si>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</si>
  <si>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</si>
  <si>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</si>
  <si>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</si>
  <si>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</si>
  <si>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</si>
  <si>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</si>
  <si>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</si>
  <si>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</si>
  <si>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</si>
  <si>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</si>
  <si>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</si>
  <si>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</si>
  <si>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</si>
  <si>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</si>
  <si>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</si>
  <si>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</si>
  <si>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</si>
  <si>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</si>
  <si>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</si>
  <si>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</si>
  <si>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</si>
  <si>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</si>
  <si>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</si>
  <si>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</si>
  <si>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</si>
  <si>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</si>
  <si>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</si>
  <si>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</si>
  <si>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</si>
  <si>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</si>
  <si>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</si>
  <si>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</si>
  <si>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</si>
  <si>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</si>
  <si>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</si>
  <si>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</si>
  <si>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</si>
  <si>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</si>
  <si>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</si>
  <si>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</si>
  <si>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</si>
  <si>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</si>
  <si>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</si>
  <si>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</si>
  <si>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</si>
  <si>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</si>
  <si>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</si>
  <si>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</si>
  <si>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</si>
  <si>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</si>
  <si>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</si>
  <si>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</si>
  <si>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</si>
  <si>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</si>
  <si>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</si>
  <si>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</si>
  <si>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</si>
  <si>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</si>
  <si>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</si>
  <si>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</si>
  <si>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</si>
  <si>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</si>
  <si>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</si>
  <si>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</si>
  <si>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</si>
  <si>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</si>
  <si>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</si>
  <si>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</si>
  <si>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</si>
  <si>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</si>
  <si>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</si>
  <si>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</si>
  <si>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</si>
  <si>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</si>
  <si>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</si>
  <si>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</si>
  <si>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</si>
  <si>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</si>
  <si>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</si>
  <si>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</si>
  <si>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</si>
  <si>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</si>
  <si>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</si>
  <si>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</si>
  <si>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</si>
  <si>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</si>
  <si>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</si>
  <si>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</si>
  <si>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</si>
  <si>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</si>
  <si>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</si>
  <si>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</si>
  <si>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</si>
  <si>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</si>
  <si>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</si>
  <si>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</si>
  <si>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</si>
  <si>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</si>
  <si>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</si>
  <si>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</si>
  <si>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</si>
  <si>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</si>
  <si>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</si>
  <si>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</si>
  <si>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</si>
  <si>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</si>
  <si>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</si>
  <si>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</si>
  <si>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</si>
  <si>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</si>
  <si>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</si>
  <si>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</si>
  <si>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</si>
  <si>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</si>
  <si>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</si>
  <si>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</si>
  <si>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</si>
  <si>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</si>
  <si>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</si>
  <si>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</si>
  <si>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</si>
  <si>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</si>
  <si>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</si>
  <si>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</si>
  <si>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</si>
  <si>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</si>
  <si>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</si>
  <si>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</si>
  <si>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</si>
  <si>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</si>
  <si>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</si>
  <si>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</si>
  <si>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</si>
  <si>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</si>
  <si>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</si>
  <si>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</si>
  <si>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</si>
  <si>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</si>
  <si>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</si>
  <si>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</si>
  <si>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</si>
  <si>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</si>
  <si>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</si>
  <si>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</si>
  <si>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</si>
  <si>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</si>
  <si>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</si>
  <si>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</si>
  <si>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</si>
  <si>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</si>
  <si>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</si>
  <si>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</si>
  <si>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</si>
  <si>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</si>
  <si>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</si>
  <si>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</si>
  <si>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</si>
  <si>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</si>
  <si>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</si>
  <si>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</si>
  <si>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</si>
  <si>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</si>
  <si>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</si>
  <si>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</si>
  <si>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</si>
  <si>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</si>
  <si>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</si>
  <si>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</si>
  <si>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</si>
  <si>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</si>
  <si>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</si>
  <si>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</si>
  <si>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</si>
  <si>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</si>
  <si>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</si>
  <si>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</si>
  <si>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</si>
  <si>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</si>
  <si>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</si>
  <si>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</si>
  <si>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</si>
  <si>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</si>
  <si>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</si>
  <si>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</si>
  <si>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</si>
  <si>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</si>
  <si>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</si>
  <si>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</si>
  <si>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</si>
  <si>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</si>
  <si>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</si>
  <si>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</si>
  <si>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</si>
  <si>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</si>
  <si>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</si>
  <si>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</si>
  <si>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</si>
  <si>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</si>
  <si>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</si>
  <si>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</si>
  <si>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</si>
  <si>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</si>
  <si>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</si>
  <si>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</si>
  <si>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</si>
  <si>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</si>
  <si>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</si>
  <si>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</si>
  <si>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</si>
  <si>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</si>
  <si>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</si>
  <si>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</si>
  <si>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</si>
  <si>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</si>
  <si>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</si>
  <si>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</si>
  <si>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</si>
  <si>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</si>
  <si>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</si>
  <si>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</si>
  <si>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</si>
  <si>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</si>
  <si>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</si>
  <si>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</si>
  <si>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</si>
  <si>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</si>
  <si>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</si>
  <si>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</si>
  <si>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</si>
  <si>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</si>
  <si>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</si>
  <si>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</si>
  <si>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</si>
  <si>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</si>
  <si>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</si>
  <si>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</si>
  <si>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</si>
  <si>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</si>
  <si>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</si>
  <si>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</si>
  <si>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</si>
  <si>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</si>
  <si>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</si>
  <si>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</si>
  <si>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</si>
  <si>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</si>
  <si>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</si>
  <si>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</si>
  <si>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</si>
  <si>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</si>
  <si>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</si>
  <si>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</si>
  <si>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</si>
  <si>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</si>
  <si>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</si>
  <si>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</si>
  <si>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</si>
  <si>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</si>
  <si>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</si>
  <si>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</si>
  <si>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</si>
  <si>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</si>
  <si>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</si>
  <si>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</si>
  <si>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</si>
  <si>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</si>
  <si>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</si>
  <si>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</si>
  <si>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</si>
  <si>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</si>
  <si>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</si>
  <si>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</si>
  <si>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</si>
  <si>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</si>
  <si>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</si>
  <si>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</si>
  <si>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</si>
  <si>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</si>
  <si>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</si>
  <si>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</si>
  <si>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</si>
  <si>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</si>
  <si>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</si>
  <si>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</si>
  <si>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</si>
  <si>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</si>
  <si>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</si>
  <si>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</si>
  <si>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</si>
  <si>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</si>
  <si>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</si>
  <si>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</si>
  <si>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</si>
  <si>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</si>
  <si>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</si>
  <si>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</si>
  <si>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</si>
  <si>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</si>
  <si>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</si>
  <si>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</si>
  <si>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</si>
  <si>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</si>
  <si>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</si>
  <si>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</si>
  <si>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</si>
  <si>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</si>
  <si>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</si>
  <si>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</si>
  <si>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</si>
  <si>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</si>
  <si>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</si>
  <si>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</si>
  <si>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</si>
  <si>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</si>
  <si>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</si>
  <si>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</si>
  <si>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</si>
  <si>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</si>
  <si>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</si>
  <si>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</si>
  <si>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</si>
  <si>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</si>
  <si>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</si>
  <si>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</si>
  <si>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</si>
  <si>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</si>
  <si>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</si>
  <si>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</si>
  <si>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</si>
  <si>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</si>
  <si>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</si>
  <si>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</si>
  <si>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</si>
  <si>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</si>
  <si>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</si>
  <si>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</si>
  <si>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</si>
  <si>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</si>
  <si>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</si>
  <si>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</si>
  <si>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</si>
  <si>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</si>
  <si>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</si>
  <si>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</si>
  <si>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</si>
  <si>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</si>
  <si>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</si>
  <si>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</si>
  <si>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</si>
  <si>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</si>
  <si>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</si>
  <si>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</si>
  <si>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</si>
  <si>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</si>
  <si>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</si>
  <si>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</si>
  <si>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</si>
  <si>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</si>
  <si>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</si>
  <si>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</si>
  <si>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</si>
  <si>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</si>
  <si>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</si>
  <si>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</si>
  <si>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</si>
  <si>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</si>
  <si>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</si>
  <si>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</si>
  <si>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</si>
  <si>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</si>
  <si>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</si>
  <si>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</si>
  <si>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</si>
  <si>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</si>
  <si>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</si>
  <si>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</si>
  <si>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</si>
  <si>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</si>
  <si>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</si>
  <si>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</si>
  <si>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</si>
  <si>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</si>
  <si>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</si>
  <si>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</si>
  <si>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</si>
  <si>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</si>
  <si>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</si>
  <si>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</si>
  <si>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</si>
  <si>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</si>
  <si>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</si>
  <si>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</si>
  <si>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</si>
  <si>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</si>
  <si>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</si>
  <si>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</si>
  <si>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</si>
  <si>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</si>
  <si>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</si>
  <si>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</si>
  <si>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</si>
  <si>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</si>
  <si>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</si>
  <si>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</si>
  <si>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</si>
  <si>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</si>
  <si>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</si>
  <si>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</si>
  <si>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</si>
  <si>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</si>
  <si>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</si>
  <si>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</si>
  <si>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</si>
  <si>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</si>
  <si>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</si>
  <si>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</si>
  <si>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</si>
  <si>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</si>
  <si>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</si>
  <si>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</si>
  <si>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</si>
  <si>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</si>
  <si>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</si>
  <si>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</si>
  <si>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</si>
  <si>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</si>
  <si>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</si>
  <si>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</si>
  <si>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</si>
  <si>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</si>
  <si>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</si>
  <si>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</si>
  <si>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</si>
  <si>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</si>
  <si>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</si>
  <si>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</si>
  <si>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</si>
  <si>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</si>
  <si>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</si>
  <si>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</si>
  <si>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</si>
  <si>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</si>
  <si>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</si>
  <si>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</si>
  <si>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</si>
  <si>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</si>
  <si>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</si>
  <si>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</si>
  <si>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</si>
  <si>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</si>
  <si>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</si>
  <si>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</si>
  <si>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</si>
  <si>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</si>
  <si>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</si>
  <si>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</si>
  <si>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</si>
  <si>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</si>
  <si>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</si>
  <si>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</si>
  <si>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</si>
  <si>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</si>
  <si>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</si>
  <si>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</si>
  <si>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</si>
  <si>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</si>
  <si>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</si>
  <si>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</si>
  <si>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</si>
  <si>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</si>
  <si>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</si>
  <si>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</si>
  <si>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</si>
  <si>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</si>
  <si>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</si>
  <si>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</si>
  <si>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</si>
  <si>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</si>
  <si>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</si>
  <si>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</si>
  <si>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</si>
  <si>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</si>
  <si>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</si>
  <si>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</si>
  <si>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</si>
  <si>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</si>
  <si>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</si>
  <si>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</si>
  <si>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</si>
  <si>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</si>
  <si>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</si>
  <si>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</si>
  <si>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</si>
  <si>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</si>
  <si>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</si>
  <si>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</si>
  <si>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</si>
  <si>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</si>
  <si>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</si>
  <si>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</si>
  <si>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</si>
  <si>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</si>
  <si>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</si>
  <si>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</si>
  <si>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</si>
  <si>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</si>
  <si>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</si>
  <si>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</si>
  <si>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</si>
  <si>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</si>
  <si>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</si>
  <si>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</si>
  <si>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</si>
  <si>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</si>
  <si>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</si>
  <si>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</si>
  <si>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</si>
  <si>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</si>
  <si>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</si>
  <si>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</si>
  <si>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</si>
  <si>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</si>
  <si>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</si>
  <si>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</si>
  <si>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</si>
  <si>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</si>
  <si>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</si>
  <si>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</si>
  <si>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</si>
  <si>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</si>
  <si>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</si>
  <si>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</si>
  <si>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</si>
  <si>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</si>
  <si>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</si>
  <si>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</si>
  <si>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</si>
  <si>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</si>
  <si>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</si>
  <si>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</si>
  <si>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</si>
  <si>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</si>
  <si>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</si>
  <si>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</si>
  <si>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</si>
  <si>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</si>
  <si>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</si>
  <si>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</si>
  <si>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</si>
  <si>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</si>
  <si>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</si>
  <si>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</si>
  <si>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</si>
  <si>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</si>
  <si>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</si>
  <si>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</si>
  <si>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</si>
  <si>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</si>
  <si>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</si>
  <si>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</si>
  <si>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</si>
  <si>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</si>
  <si>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</si>
  <si>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</si>
  <si>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</si>
  <si>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</si>
  <si>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</si>
  <si>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</si>
  <si>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</si>
  <si>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</si>
  <si>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</si>
  <si>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</si>
  <si>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</si>
  <si>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</si>
  <si>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</si>
  <si>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</si>
  <si>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</si>
  <si>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</si>
  <si>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</si>
  <si>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</si>
  <si>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</si>
  <si>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</si>
  <si>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</si>
  <si>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</si>
  <si>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</si>
  <si>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</si>
  <si>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</si>
  <si>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</si>
  <si>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</si>
  <si>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</si>
  <si>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</si>
  <si>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</si>
  <si>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</si>
  <si>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</si>
  <si>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</si>
  <si>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</si>
  <si>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</si>
  <si>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</si>
  <si>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</si>
  <si>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</si>
  <si>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</si>
  <si>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</si>
  <si>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</si>
  <si>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</si>
  <si>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</si>
  <si>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</si>
  <si>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</si>
  <si>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</si>
  <si>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</si>
  <si>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</si>
  <si>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</si>
  <si>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</si>
  <si>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</si>
  <si>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</si>
  <si>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</si>
  <si>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</si>
  <si>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</si>
  <si>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</si>
  <si>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</si>
  <si>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</si>
  <si>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</si>
  <si>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</si>
  <si>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</si>
  <si>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</si>
  <si>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</si>
  <si>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</si>
  <si>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</si>
  <si>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</si>
  <si>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</si>
  <si>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</si>
  <si>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</si>
  <si>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</si>
  <si>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</si>
  <si>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</si>
  <si>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</si>
  <si>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</si>
  <si>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</si>
  <si>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</si>
  <si>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</si>
  <si>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</si>
  <si>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</si>
  <si>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</si>
  <si>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</si>
  <si>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</si>
  <si>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</si>
  <si>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</si>
  <si>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</si>
  <si>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</si>
  <si>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</si>
  <si>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</si>
  <si>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</si>
  <si>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</si>
  <si>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</si>
  <si>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</si>
  <si>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</si>
  <si>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</si>
  <si>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</si>
  <si>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</si>
  <si>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</si>
  <si>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</si>
  <si>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</si>
  <si>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</si>
  <si>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</si>
  <si>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</si>
  <si>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</si>
  <si>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</si>
  <si>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</si>
  <si>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</si>
  <si>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</si>
  <si>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</si>
  <si>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</si>
  <si>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</si>
  <si>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</si>
  <si>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</si>
  <si>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</si>
  <si>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</si>
  <si>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</si>
  <si>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</si>
  <si>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</si>
  <si>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</si>
  <si>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</si>
  <si>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</si>
  <si>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</si>
  <si>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</si>
  <si>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</si>
  <si>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</si>
  <si>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</si>
  <si>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</si>
  <si>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</si>
  <si>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</si>
  <si>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</si>
  <si>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</si>
  <si>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</si>
  <si>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</si>
  <si>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</si>
  <si>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</si>
  <si>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</si>
  <si>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</si>
  <si>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</si>
  <si>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</si>
  <si>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</si>
  <si>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</si>
  <si>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</si>
  <si>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</si>
  <si>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</si>
  <si>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</si>
  <si>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</si>
  <si>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</si>
  <si>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</si>
  <si>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</si>
  <si>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</si>
  <si>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</si>
  <si>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</si>
  <si>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</si>
  <si>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</si>
  <si>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</si>
  <si>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</si>
  <si>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</si>
  <si>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</si>
  <si>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</si>
  <si>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</si>
  <si>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</si>
  <si>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</si>
  <si>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</si>
  <si>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</si>
  <si>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</si>
  <si>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</si>
  <si>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</si>
  <si>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</si>
  <si>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</si>
  <si>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</si>
  <si>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</si>
  <si>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</si>
  <si>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</si>
  <si>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</si>
  <si>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</si>
  <si>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</si>
  <si>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</si>
  <si>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</si>
  <si>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</si>
  <si>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</si>
  <si>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</si>
  <si>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</si>
  <si>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</si>
  <si>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</si>
  <si>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</si>
  <si>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</si>
  <si>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</si>
  <si>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</si>
  <si>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</si>
  <si>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</si>
  <si>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</si>
  <si>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</si>
  <si>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</si>
  <si>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</si>
  <si>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</si>
  <si>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</si>
  <si>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</si>
  <si>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</si>
  <si>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</si>
  <si>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</si>
  <si>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</si>
  <si>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</si>
  <si>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</si>
  <si>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</si>
  <si>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</si>
  <si>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</si>
  <si>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</si>
  <si>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</si>
  <si>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</si>
  <si>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</si>
  <si>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</si>
  <si>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</si>
  <si>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</si>
  <si>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</si>
  <si>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</si>
  <si>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</si>
  <si>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</si>
  <si>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</si>
  <si>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</si>
  <si>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</si>
  <si>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</si>
  <si>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</si>
  <si>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</si>
  <si>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</si>
  <si>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</si>
  <si>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</si>
  <si>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</si>
  <si>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</si>
  <si>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</si>
  <si>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</si>
  <si>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</si>
  <si>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</si>
  <si>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</si>
  <si>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</si>
  <si>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</si>
  <si>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</si>
  <si>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</si>
  <si>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</si>
  <si>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</si>
  <si>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</si>
  <si>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</si>
  <si>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</si>
  <si>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</si>
  <si>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</si>
  <si>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</si>
  <si>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</si>
  <si>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</si>
  <si>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</si>
  <si>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</si>
  <si>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</si>
  <si>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</si>
  <si>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</si>
  <si>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</si>
  <si>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</si>
  <si>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</si>
  <si>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</si>
  <si>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</si>
  <si>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</si>
  <si>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</si>
  <si>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</si>
  <si>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</si>
  <si>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</si>
  <si>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</si>
  <si>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</si>
  <si>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</si>
  <si>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</si>
  <si>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</si>
  <si>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</si>
  <si>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</si>
  <si>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</si>
  <si>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</si>
  <si>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</si>
  <si>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</si>
  <si>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</si>
  <si>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</si>
  <si>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</si>
  <si>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</si>
  <si>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</si>
  <si>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</si>
  <si>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</si>
  <si>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</si>
  <si>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</si>
  <si>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</si>
  <si>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</si>
  <si>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</si>
  <si>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</si>
  <si>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</si>
  <si>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</si>
  <si>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</si>
  <si>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</si>
  <si>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</si>
  <si>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</si>
  <si>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</si>
  <si>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</si>
  <si>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</si>
  <si>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</si>
  <si>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</si>
  <si>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</si>
  <si>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</si>
  <si>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</si>
  <si>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</si>
  <si>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</si>
  <si>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</si>
  <si>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</si>
  <si>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</si>
  <si>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</si>
  <si>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</si>
  <si>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</si>
  <si>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</si>
  <si>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</si>
  <si>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</si>
  <si>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</si>
  <si>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</si>
  <si>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</si>
  <si>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</si>
  <si>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</si>
  <si>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</si>
  <si>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</si>
  <si>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</si>
  <si>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</si>
  <si>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</si>
  <si>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</si>
  <si>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</si>
  <si>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</si>
  <si>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</si>
  <si>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</si>
  <si>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</si>
  <si>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</si>
  <si>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</si>
  <si>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</si>
  <si>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</si>
  <si>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</si>
  <si>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</si>
  <si>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</si>
  <si>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</si>
  <si>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</si>
  <si>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</si>
  <si>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</si>
  <si>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</si>
  <si>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</si>
  <si>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</si>
  <si>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</si>
  <si>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</si>
  <si>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</si>
  <si>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</si>
  <si>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</si>
  <si>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</si>
  <si>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</si>
  <si>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</si>
  <si>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</si>
  <si>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</si>
  <si>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</si>
  <si>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</si>
  <si>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</si>
  <si>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</si>
  <si>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</si>
  <si>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</si>
  <si>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</si>
  <si>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</si>
  <si>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</si>
  <si>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</si>
  <si>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</si>
  <si>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</si>
  <si>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</si>
  <si>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</si>
  <si>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</si>
  <si>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</si>
  <si>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</si>
  <si>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</si>
  <si>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</si>
  <si>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</si>
  <si>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</si>
  <si>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</si>
  <si>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</si>
  <si>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</si>
  <si>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</si>
  <si>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</si>
  <si>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</si>
  <si>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</si>
  <si>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</si>
  <si>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</si>
  <si>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</si>
  <si>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</si>
  <si>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</si>
  <si>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</si>
  <si>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</si>
  <si>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</si>
  <si>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</si>
  <si>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</si>
  <si>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</si>
  <si>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</si>
  <si>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</si>
  <si>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</si>
  <si>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</si>
  <si>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</si>
  <si>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</si>
  <si>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</si>
  <si>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</si>
  <si>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</si>
  <si>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</si>
  <si>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</si>
  <si>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</si>
  <si>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</si>
  <si>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</si>
  <si>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</si>
  <si>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</si>
  <si>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</si>
  <si>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</si>
  <si>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</si>
  <si>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</si>
  <si>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</si>
  <si>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</si>
  <si>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</si>
  <si>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</si>
  <si>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</si>
  <si>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</si>
  <si>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</si>
  <si>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</si>
  <si>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</si>
  <si>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</si>
  <si>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</si>
  <si>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</si>
  <si>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</si>
  <si>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</si>
  <si>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</si>
  <si>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</si>
  <si>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</si>
  <si>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</si>
  <si>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</si>
  <si>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</si>
  <si>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</si>
  <si>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</si>
  <si>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</si>
  <si>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</si>
  <si>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</si>
  <si>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</si>
  <si>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</si>
  <si>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</si>
  <si>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</si>
  <si>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</si>
  <si>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</si>
  <si>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</si>
  <si>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</si>
  <si>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</si>
  <si>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</si>
  <si>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</si>
  <si>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</si>
  <si>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</si>
  <si>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</si>
  <si>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</si>
  <si>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</si>
  <si>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</si>
  <si>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</si>
  <si>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</si>
  <si>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</si>
  <si>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</si>
  <si>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</si>
  <si>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</si>
  <si>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</si>
  <si>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</si>
  <si>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</si>
  <si>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</si>
  <si>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</si>
  <si>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</si>
  <si>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</si>
  <si>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</si>
  <si>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</si>
  <si>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</si>
  <si>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</si>
  <si>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</si>
  <si>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</si>
  <si>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</si>
  <si>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</si>
  <si>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</si>
  <si>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</si>
  <si>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</si>
  <si>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</si>
  <si>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</si>
  <si>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</si>
  <si>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</si>
  <si>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</si>
  <si>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</si>
  <si>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</si>
  <si>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</si>
  <si>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</si>
  <si>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</si>
  <si>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</si>
  <si>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</si>
  <si>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</si>
  <si>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</si>
  <si>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</si>
  <si>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</si>
  <si>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</si>
  <si>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</si>
  <si>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</si>
  <si>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</si>
  <si>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</si>
  <si>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</si>
  <si>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</si>
  <si>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</si>
  <si>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</si>
  <si>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</si>
  <si>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</si>
  <si>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</si>
  <si>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</si>
  <si>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</si>
  <si>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</si>
  <si>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</si>
  <si>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</si>
  <si>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</si>
  <si>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</si>
  <si>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</si>
  <si>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</si>
  <si>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</si>
  <si>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</si>
  <si>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</si>
  <si>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</si>
  <si>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</si>
  <si>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</si>
  <si>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</si>
  <si>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</si>
  <si>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</si>
  <si>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</si>
  <si>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</si>
  <si>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</si>
  <si>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</si>
  <si>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</si>
  <si>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</si>
  <si>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</si>
  <si>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</si>
  <si>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</si>
  <si>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</si>
  <si>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</si>
  <si>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</si>
  <si>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</si>
  <si>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</si>
  <si>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</si>
  <si>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</si>
  <si>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</si>
  <si>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</si>
  <si>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</si>
  <si>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</si>
  <si>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</si>
  <si>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</si>
  <si>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</si>
  <si>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</si>
  <si>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</si>
  <si>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</si>
  <si>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</si>
  <si>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</si>
  <si>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</si>
  <si>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</si>
  <si>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</si>
  <si>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</si>
  <si>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</si>
  <si>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</si>
  <si>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</si>
  <si>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</si>
  <si>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</si>
  <si>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</si>
  <si>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</si>
  <si>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</si>
  <si>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</si>
  <si>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</si>
  <si>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</si>
  <si>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</si>
  <si>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</si>
  <si>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</si>
  <si>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</si>
  <si>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</si>
  <si>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</si>
  <si>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</si>
  <si>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</si>
  <si>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</si>
  <si>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</si>
  <si>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</si>
  <si>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</si>
  <si>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</si>
  <si>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</si>
  <si>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</si>
  <si>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</si>
  <si>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</si>
  <si>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</si>
  <si>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</si>
  <si>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</si>
  <si>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</si>
  <si>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</si>
  <si>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</si>
  <si>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</si>
  <si>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</si>
  <si>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</si>
  <si>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</si>
  <si>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</si>
  <si>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</si>
  <si>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</si>
  <si>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</si>
  <si>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</si>
  <si>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</si>
  <si>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</si>
  <si>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</si>
  <si>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</si>
  <si>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</si>
  <si>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</si>
  <si>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</si>
  <si>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</si>
  <si>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</si>
  <si>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</si>
  <si>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</si>
  <si>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</si>
  <si>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</si>
  <si>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</si>
  <si>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</si>
  <si>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</si>
  <si>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</si>
  <si>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</si>
  <si>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</si>
  <si>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</si>
  <si>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</si>
  <si>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</si>
  <si>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</si>
  <si>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</si>
  <si>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</si>
  <si>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</si>
  <si>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</si>
  <si>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</si>
  <si>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</si>
  <si>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</si>
  <si>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</si>
  <si>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</si>
  <si>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</si>
  <si>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</si>
  <si>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</si>
  <si>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</si>
  <si>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</si>
  <si>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</si>
  <si>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</si>
  <si>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</si>
  <si>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</si>
  <si>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</si>
  <si>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</si>
  <si>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</si>
  <si>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</si>
  <si>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</si>
  <si>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</si>
  <si>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</si>
  <si>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</si>
  <si>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</si>
  <si>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</si>
  <si>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</si>
  <si>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</si>
  <si>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</si>
  <si>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</si>
  <si>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</si>
  <si>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</si>
  <si>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</si>
  <si>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</si>
  <si>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</si>
  <si>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</si>
  <si>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</si>
  <si>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</si>
  <si>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</si>
  <si>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</si>
  <si>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</si>
  <si>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</si>
  <si>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</si>
  <si>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</si>
  <si>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</si>
  <si>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</si>
  <si>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</si>
  <si>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</si>
  <si>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</si>
  <si>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</si>
  <si>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</si>
  <si>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</si>
  <si>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</si>
  <si>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</si>
  <si>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</si>
  <si>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</si>
  <si>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</si>
  <si>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</si>
  <si>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</si>
  <si>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</si>
  <si>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</si>
  <si>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</si>
  <si>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</si>
  <si>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</si>
  <si>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</si>
  <si>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</si>
  <si>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</si>
  <si>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</si>
  <si>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</si>
  <si>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</si>
  <si>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</si>
  <si>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</si>
  <si>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</si>
  <si>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</si>
  <si>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</si>
  <si>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</si>
  <si>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</si>
  <si>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</si>
  <si>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</si>
  <si>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</si>
  <si>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</si>
  <si>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</si>
  <si>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</si>
  <si>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</si>
  <si>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</si>
  <si>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</si>
  <si>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</si>
  <si>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</si>
  <si>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</si>
  <si>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</si>
  <si>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</si>
  <si>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</si>
  <si>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</si>
  <si>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</si>
  <si>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</si>
  <si>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</si>
  <si>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</si>
  <si>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</si>
  <si>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</si>
  <si>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</si>
  <si>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</si>
  <si>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</si>
  <si>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</si>
  <si>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</si>
  <si>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</si>
  <si>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</si>
  <si>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</si>
  <si>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</si>
  <si>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</si>
  <si>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</si>
  <si>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</si>
  <si>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</si>
  <si>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</si>
  <si>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</si>
  <si>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</si>
  <si>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</si>
  <si>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</si>
  <si>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</si>
  <si>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</si>
  <si>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</si>
  <si>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</si>
  <si>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</si>
  <si>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</si>
  <si>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</si>
  <si>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</si>
  <si>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</si>
  <si>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</si>
  <si>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</si>
  <si>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</si>
  <si>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</si>
  <si>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</si>
  <si>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</si>
  <si>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</si>
  <si>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</si>
  <si>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</si>
  <si>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</si>
  <si>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</si>
  <si>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</si>
  <si>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</si>
  <si>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</si>
  <si>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</si>
  <si>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</si>
  <si>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</si>
  <si>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</si>
  <si>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</si>
  <si>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</si>
  <si>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</si>
  <si>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</si>
  <si>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</si>
  <si>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</si>
  <si>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</si>
  <si>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</si>
  <si>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</si>
  <si>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</si>
  <si>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</si>
  <si>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</si>
  <si>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</si>
  <si>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</si>
  <si>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</si>
  <si>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</si>
  <si>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</si>
  <si>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</si>
  <si>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</si>
  <si>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</si>
  <si>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</si>
  <si>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</si>
  <si>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</si>
  <si>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</si>
  <si>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</si>
  <si>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</si>
  <si>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</si>
  <si>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</si>
  <si>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</si>
  <si>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</si>
  <si>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</si>
  <si>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</si>
  <si>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</si>
  <si>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</si>
  <si>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</si>
  <si>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</si>
  <si>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</si>
  <si>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</si>
  <si>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</si>
  <si>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</si>
  <si>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</si>
  <si>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</si>
  <si>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</si>
  <si>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</si>
  <si>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</si>
  <si>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</si>
  <si>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</si>
  <si>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</si>
  <si>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</si>
  <si>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</si>
  <si>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</si>
  <si>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</si>
  <si>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</si>
  <si>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</si>
  <si>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</si>
  <si>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</si>
  <si>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</si>
  <si>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</si>
  <si>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</si>
  <si>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</si>
  <si>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</si>
  <si>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</si>
  <si>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</si>
  <si>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</si>
  <si>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</si>
  <si>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</si>
  <si>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</si>
  <si>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</si>
  <si>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</si>
  <si>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</si>
  <si>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</si>
  <si>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</si>
  <si>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</si>
  <si>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</si>
  <si>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</si>
  <si>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</si>
  <si>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</si>
  <si>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</si>
  <si>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</si>
  <si>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</si>
  <si>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</si>
  <si>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</si>
  <si>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</si>
  <si>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</si>
  <si>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</si>
  <si>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</si>
  <si>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</si>
  <si>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</si>
  <si>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</si>
  <si>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</si>
  <si>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</si>
  <si>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</si>
  <si>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</si>
  <si>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</si>
  <si>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</si>
  <si>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</si>
  <si>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</si>
  <si>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</si>
  <si>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</si>
  <si>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</si>
  <si>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</si>
  <si>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</si>
  <si>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</si>
  <si>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</si>
  <si>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</si>
  <si>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</si>
  <si>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</si>
  <si>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</si>
  <si>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</si>
  <si>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</si>
  <si>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</si>
  <si>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</si>
  <si>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</si>
  <si>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</si>
  <si>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</si>
  <si>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</si>
  <si>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</si>
  <si>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</si>
  <si>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</si>
  <si>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</si>
  <si>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</si>
  <si>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</si>
  <si>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</si>
  <si>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</si>
  <si>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</si>
  <si>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</si>
  <si>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</si>
  <si>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</si>
  <si>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</si>
  <si>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</si>
  <si>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</si>
  <si>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</si>
  <si>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</si>
  <si>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</si>
  <si>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</si>
  <si>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</si>
  <si>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</si>
  <si>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</si>
  <si>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</si>
  <si>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</si>
  <si>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</si>
  <si>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</si>
  <si>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</si>
  <si>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</si>
  <si>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</si>
  <si>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</si>
  <si>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</si>
  <si>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</si>
  <si>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</si>
  <si>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</si>
  <si>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</si>
  <si>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</si>
  <si>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</si>
  <si>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</si>
  <si>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</si>
  <si>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</si>
  <si>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</si>
  <si>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</si>
  <si>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</si>
  <si>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</si>
  <si>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</si>
  <si>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</si>
  <si>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</si>
  <si>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</si>
  <si>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</si>
  <si>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</si>
  <si>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</si>
  <si>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</si>
  <si>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</si>
  <si>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</si>
  <si>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</si>
  <si>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</si>
  <si>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</si>
  <si>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</si>
  <si>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</si>
  <si>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</si>
  <si>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</si>
  <si>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</si>
  <si>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</si>
  <si>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</si>
  <si>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</si>
  <si>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</si>
  <si>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</si>
  <si>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</si>
  <si>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</si>
  <si>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</si>
  <si>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</si>
  <si>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</si>
  <si>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</si>
  <si>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</si>
  <si>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</si>
  <si>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</si>
  <si>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</si>
  <si>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</si>
  <si>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</si>
  <si>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</si>
  <si>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</si>
  <si>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</si>
  <si>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</si>
  <si>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</si>
  <si>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</si>
  <si>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</si>
  <si>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</si>
  <si>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</si>
  <si>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</si>
  <si>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</si>
  <si>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</si>
  <si>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</si>
  <si>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</si>
  <si>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</si>
  <si>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</si>
  <si>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</si>
  <si>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</si>
  <si>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</si>
  <si>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</si>
  <si>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</si>
  <si>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</si>
  <si>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</si>
  <si>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</si>
  <si>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</si>
  <si>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</si>
  <si>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</si>
  <si>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</si>
  <si>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</si>
  <si>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</si>
  <si>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</si>
  <si>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</si>
  <si>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</si>
  <si>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</si>
  <si>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</si>
  <si>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</si>
  <si>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</si>
  <si>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</si>
  <si>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</si>
  <si>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</si>
  <si>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</si>
  <si>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</si>
  <si>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</si>
  <si>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</si>
  <si>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</si>
  <si>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</si>
  <si>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</si>
  <si>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</si>
  <si>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</si>
  <si>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</si>
  <si>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</si>
  <si>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</si>
  <si>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</si>
  <si>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</si>
  <si>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</si>
  <si>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</si>
  <si>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</si>
  <si>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</si>
  <si>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</si>
  <si>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</si>
  <si>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</si>
  <si>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</si>
  <si>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</si>
  <si>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</si>
  <si>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</si>
  <si>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</si>
  <si>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</si>
  <si>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</si>
  <si>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</si>
  <si>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</si>
  <si>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</si>
  <si>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</si>
  <si>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</si>
  <si>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</si>
  <si>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</si>
  <si>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</si>
  <si>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</si>
  <si>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</si>
  <si>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</si>
  <si>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</si>
  <si>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</si>
  <si>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</si>
  <si>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</si>
  <si>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</si>
  <si>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</si>
  <si>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</si>
  <si>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</si>
  <si>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</si>
  <si>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</si>
  <si>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</si>
  <si>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</si>
  <si>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</si>
  <si>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</si>
  <si>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</si>
  <si>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</si>
  <si>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</si>
  <si>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</si>
  <si>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</si>
  <si>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</si>
  <si>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</si>
  <si>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</si>
  <si>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</si>
  <si>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</si>
  <si>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</si>
  <si>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</si>
  <si>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</si>
  <si>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</si>
  <si>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</si>
  <si>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</si>
  <si>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</si>
  <si>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</si>
  <si>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</si>
  <si>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</si>
  <si>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</si>
  <si>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</si>
  <si>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</si>
  <si>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</si>
  <si>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</si>
  <si>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</si>
  <si>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</si>
  <si>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</si>
  <si>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</si>
  <si>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</si>
  <si>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</si>
  <si>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</si>
  <si>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</si>
  <si>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</si>
  <si>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</si>
  <si>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</si>
  <si>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</si>
  <si>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</si>
  <si>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</si>
  <si>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</si>
  <si>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</si>
  <si>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</si>
  <si>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</si>
  <si>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</si>
  <si>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</si>
  <si>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</si>
  <si>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</si>
  <si>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</si>
  <si>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</si>
  <si>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</si>
  <si>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</si>
  <si>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</si>
  <si>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</si>
  <si>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</si>
  <si>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</si>
  <si>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</si>
  <si>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</si>
  <si>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</si>
  <si>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</si>
  <si>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</si>
  <si>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</si>
  <si>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</si>
  <si>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</si>
  <si>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</si>
  <si>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</si>
  <si>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</si>
  <si>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</si>
  <si>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</si>
  <si>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</si>
  <si>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</si>
  <si>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</si>
  <si>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</si>
  <si>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</si>
  <si>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</si>
  <si>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</si>
  <si>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</si>
  <si>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</si>
  <si>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</si>
  <si>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</si>
  <si>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</si>
  <si>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</si>
  <si>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</si>
  <si>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</si>
  <si>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</si>
  <si>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</si>
  <si>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</si>
  <si>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</si>
  <si>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</si>
  <si>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</si>
  <si>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</si>
  <si>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</si>
  <si>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</si>
  <si>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</si>
  <si>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</si>
  <si>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</si>
  <si>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</si>
  <si>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</si>
  <si>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</si>
  <si>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</si>
  <si>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</si>
  <si>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</si>
  <si>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</si>
  <si>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</si>
  <si>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</si>
  <si>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</si>
  <si>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</si>
  <si>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</si>
  <si>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</si>
  <si>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</si>
  <si>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</si>
  <si>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</si>
  <si>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</si>
  <si>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</si>
  <si>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</si>
  <si>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</si>
  <si>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</si>
  <si>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</si>
  <si>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</si>
  <si>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</si>
  <si>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</si>
  <si>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</si>
  <si>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</si>
  <si>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</si>
  <si>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</si>
  <si>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</si>
  <si>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</si>
  <si>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</si>
  <si>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</si>
  <si>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</si>
  <si>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</si>
  <si>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</si>
  <si>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</si>
  <si>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</si>
  <si>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</si>
  <si>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</si>
  <si>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</si>
  <si>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</si>
  <si>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</si>
  <si>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</si>
  <si>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</si>
  <si>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</si>
  <si>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</si>
  <si>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</si>
  <si>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</si>
  <si>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</si>
  <si>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</si>
  <si>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</si>
  <si>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</si>
  <si>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</si>
  <si>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</si>
  <si>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</si>
  <si>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</si>
  <si>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</si>
  <si>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</si>
  <si>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</si>
  <si>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</si>
  <si>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</si>
  <si>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</si>
  <si>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</si>
  <si>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</si>
  <si>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</si>
  <si>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</si>
  <si>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</si>
  <si>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</si>
  <si>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</si>
  <si>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</si>
  <si>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</si>
  <si>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</si>
  <si>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</si>
  <si>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</si>
  <si>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</si>
  <si>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</si>
  <si>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</si>
  <si>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</si>
  <si>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</si>
  <si>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</si>
  <si>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</si>
  <si>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</si>
  <si>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</si>
  <si>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</si>
  <si>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</si>
  <si>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</si>
  <si>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</si>
  <si>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</si>
  <si>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</si>
  <si>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</si>
  <si>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</si>
  <si>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</si>
  <si>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</si>
  <si>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</si>
  <si>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</si>
  <si>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</si>
  <si>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</si>
  <si>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</si>
  <si>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</si>
  <si>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</si>
  <si>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</si>
  <si>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</si>
  <si>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</si>
  <si>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</si>
  <si>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</si>
  <si>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</si>
  <si>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</si>
  <si>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</si>
  <si>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</si>
  <si>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</si>
  <si>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</si>
  <si>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</si>
  <si>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</si>
  <si>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</si>
  <si>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</si>
  <si>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</si>
  <si>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</si>
  <si>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</si>
  <si>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</si>
  <si>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</si>
  <si>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</si>
  <si>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</si>
  <si>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</si>
  <si>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</si>
  <si>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</si>
  <si>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</si>
  <si>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</si>
  <si>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</si>
  <si>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</si>
  <si>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</si>
  <si>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</si>
  <si>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</si>
  <si>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</si>
  <si>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</si>
  <si>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</si>
  <si>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</si>
  <si>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</si>
  <si>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</si>
  <si>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</si>
  <si>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</si>
  <si>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</si>
  <si>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</si>
  <si>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</si>
  <si>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</si>
  <si>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</si>
  <si>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</si>
  <si>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</si>
  <si>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</si>
  <si>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</si>
  <si>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</si>
  <si>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</si>
  <si>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</si>
  <si>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</si>
  <si>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</si>
  <si>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</si>
  <si>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</si>
  <si>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</si>
  <si>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</si>
  <si>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</si>
  <si>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</si>
  <si>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</si>
  <si>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</si>
  <si>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</si>
  <si>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</si>
  <si>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</si>
  <si>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</si>
  <si>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</si>
  <si>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</si>
  <si>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</si>
  <si>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</si>
  <si>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</si>
  <si>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</si>
  <si>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</si>
  <si>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</si>
  <si>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</si>
  <si>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</si>
  <si>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</si>
  <si>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</si>
  <si>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</si>
  <si>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</si>
  <si>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</si>
  <si>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</si>
  <si>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</si>
  <si>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</si>
  <si>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</si>
  <si>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</si>
  <si>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</si>
  <si>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</si>
  <si>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</si>
  <si>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</si>
  <si>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</si>
  <si>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</si>
  <si>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</si>
  <si>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</si>
  <si>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</si>
  <si>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</si>
  <si>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</si>
  <si>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</si>
  <si>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</si>
  <si>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</si>
  <si>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</si>
  <si>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</si>
  <si>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</si>
  <si>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</si>
  <si>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</si>
  <si>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</si>
  <si>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</si>
  <si>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</si>
  <si>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</si>
  <si>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</si>
  <si>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</si>
  <si>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</si>
  <si>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</si>
  <si>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</si>
  <si>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</si>
  <si>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</si>
  <si>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</si>
  <si>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</si>
  <si>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</si>
  <si>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</si>
  <si>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</si>
  <si>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</si>
  <si>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</si>
  <si>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</si>
  <si>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</si>
  <si>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</si>
  <si>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</si>
  <si>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</si>
  <si>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</si>
  <si>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</si>
  <si>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</si>
  <si>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</si>
  <si>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</si>
  <si>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</si>
  <si>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</si>
  <si>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</si>
  <si>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</si>
  <si>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</si>
  <si>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</si>
  <si>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</si>
  <si>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</si>
  <si>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</si>
  <si>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</si>
  <si>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</si>
  <si>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</si>
  <si>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</si>
  <si>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</si>
  <si>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</si>
  <si>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</si>
  <si>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</si>
  <si>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</si>
  <si>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</si>
  <si>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</si>
  <si>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</si>
  <si>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</si>
  <si>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</si>
  <si>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</si>
  <si>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</si>
  <si>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</si>
  <si>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</si>
  <si>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</si>
  <si>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</si>
  <si>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</si>
  <si>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</si>
  <si>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</si>
  <si>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</si>
  <si>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</si>
  <si>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</si>
  <si>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</si>
  <si>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</si>
  <si>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</si>
  <si>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</si>
  <si>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</si>
  <si>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</si>
  <si>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</si>
  <si>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</si>
  <si>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</si>
  <si>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</si>
  <si>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</si>
  <si>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</si>
  <si>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</si>
  <si>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</si>
  <si>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</si>
  <si>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</si>
  <si>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</si>
  <si>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</si>
  <si>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</si>
  <si>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</si>
  <si>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</si>
  <si>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</si>
  <si>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</si>
  <si>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</si>
  <si>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</si>
  <si>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</si>
  <si>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</si>
  <si>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</si>
  <si>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</si>
  <si>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</si>
  <si>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</si>
  <si>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</si>
  <si>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</si>
  <si>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</si>
  <si>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</si>
  <si>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</si>
  <si>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</si>
  <si>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</si>
  <si>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</si>
  <si>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</si>
  <si>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</si>
  <si>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</si>
  <si>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</si>
  <si>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</si>
  <si>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</si>
  <si>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</si>
  <si>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</si>
  <si>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</si>
  <si>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</si>
  <si>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</si>
  <si>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</si>
  <si>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</si>
  <si>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</si>
  <si>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</si>
  <si>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</si>
  <si>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</si>
  <si>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</si>
  <si>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</si>
  <si>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</si>
  <si>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</si>
  <si>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</si>
  <si>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</si>
  <si>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</si>
  <si>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</si>
  <si>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</si>
  <si>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</si>
  <si>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</si>
  <si>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</si>
  <si>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</si>
  <si>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</si>
  <si>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</si>
  <si>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</si>
  <si>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</si>
  <si>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</si>
  <si>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</si>
  <si>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</si>
  <si>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</si>
  <si>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</si>
  <si>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</si>
  <si>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</si>
  <si>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</si>
  <si>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</si>
  <si>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</si>
  <si>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</si>
  <si>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</si>
  <si>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</si>
  <si>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</si>
  <si>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</si>
  <si>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</si>
  <si>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</si>
  <si>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</si>
  <si>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</si>
  <si>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</si>
  <si>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</si>
  <si>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</si>
  <si>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</si>
  <si>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</si>
  <si>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</si>
  <si>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</si>
  <si>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</si>
  <si>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</si>
  <si>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</si>
  <si>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</si>
  <si>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</si>
  <si>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</si>
  <si>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</si>
  <si>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</si>
  <si>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</si>
  <si>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</si>
  <si>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</si>
  <si>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</si>
  <si>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</si>
  <si>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</si>
  <si>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</si>
  <si>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</si>
  <si>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</si>
  <si>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</si>
  <si>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</si>
  <si>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</si>
  <si>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</si>
  <si>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</si>
  <si>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</si>
  <si>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</si>
  <si>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</si>
  <si>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</si>
  <si>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</si>
  <si>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</si>
  <si>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</si>
  <si>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</si>
  <si>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</si>
  <si>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</si>
  <si>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</si>
  <si>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</si>
  <si>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</si>
  <si>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</si>
  <si>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</si>
  <si>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</si>
  <si>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</si>
  <si>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</si>
  <si>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</si>
  <si>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</si>
  <si>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</si>
  <si>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</si>
  <si>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</si>
  <si>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</si>
  <si>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</si>
  <si>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</si>
  <si>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</si>
  <si>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</si>
  <si>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</si>
  <si>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</si>
  <si>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</si>
  <si>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</si>
  <si>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</si>
  <si>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</si>
  <si>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</si>
  <si>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</si>
  <si>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</si>
  <si>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</si>
  <si>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</si>
  <si>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</si>
  <si>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</si>
  <si>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</si>
  <si>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</si>
  <si>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</si>
  <si>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</si>
  <si>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</si>
  <si>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</si>
  <si>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</si>
  <si>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</si>
  <si>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</si>
  <si>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</si>
  <si>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</si>
  <si>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</si>
  <si>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</si>
  <si>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</si>
  <si>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</si>
  <si>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</si>
  <si>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</si>
  <si>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</si>
  <si>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</si>
  <si>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</si>
  <si>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</si>
  <si>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</si>
  <si>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</si>
  <si>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</si>
  <si>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</si>
  <si>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</si>
  <si>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</si>
  <si>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</si>
  <si>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</si>
  <si>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</si>
  <si>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</si>
  <si>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</si>
  <si>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</si>
  <si>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</si>
  <si>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</si>
  <si>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</si>
  <si>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</si>
  <si>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</si>
  <si>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</si>
  <si>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</si>
  <si>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</si>
  <si>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</si>
  <si>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</si>
  <si>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</si>
  <si>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</si>
  <si>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</si>
  <si>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</si>
  <si>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</si>
  <si>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</si>
  <si>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</si>
  <si>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</si>
  <si>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</si>
  <si>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</si>
  <si>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</si>
  <si>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</si>
  <si>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</si>
  <si>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</si>
  <si>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</si>
  <si>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</si>
  <si>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</si>
  <si>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</si>
  <si>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</si>
  <si>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</si>
  <si>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</si>
  <si>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</si>
  <si>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</si>
  <si>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</si>
  <si>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</si>
  <si>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</si>
  <si>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</si>
  <si>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</si>
  <si>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</si>
  <si>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</si>
  <si>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</si>
  <si>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</si>
  <si>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</si>
  <si>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</si>
  <si>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</si>
  <si>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</si>
  <si>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</si>
  <si>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</si>
  <si>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</si>
  <si>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</si>
  <si>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</si>
  <si>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</si>
  <si>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</si>
  <si>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</si>
  <si>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</si>
  <si>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</si>
  <si>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王萌</t>
  </si>
  <si>
    <t>西安胤博置业有限公司</t>
    <phoneticPr fontId="6" type="noConversion"/>
  </si>
  <si>
    <t>中信信托有限责任公司</t>
    <phoneticPr fontId="6" type="noConversion"/>
  </si>
  <si>
    <t>抵押</t>
  </si>
  <si>
    <t>房地产抵押价值</t>
  </si>
  <si>
    <t>其他：</t>
  </si>
  <si>
    <t>陕西省西安市</t>
    <phoneticPr fontId="6" type="noConversion"/>
  </si>
  <si>
    <t>新城区华清西路以南、金花北路以西</t>
    <phoneticPr fontId="6" type="noConversion"/>
  </si>
  <si>
    <t>企业</t>
  </si>
  <si>
    <t>出让</t>
  </si>
  <si>
    <r>
      <rPr>
        <sz val="12"/>
        <color theme="9" tint="-0.249977111117893"/>
        <rFont val="宋体"/>
        <family val="3"/>
        <charset val="134"/>
      </rPr>
      <t>住宅</t>
    </r>
    <r>
      <rPr>
        <sz val="12"/>
        <color theme="9" tint="-0.249977111117893"/>
        <rFont val="Arial"/>
        <family val="2"/>
      </rPr>
      <t>69.2</t>
    </r>
    <r>
      <rPr>
        <sz val="12"/>
        <color theme="9" tint="-0.249977111117893"/>
        <rFont val="宋体"/>
        <family val="3"/>
        <charset val="134"/>
      </rPr>
      <t>年，商业</t>
    </r>
    <r>
      <rPr>
        <sz val="12"/>
        <color theme="9" tint="-0.249977111117893"/>
        <rFont val="Arial"/>
        <family val="2"/>
      </rPr>
      <t>39.2</t>
    </r>
    <r>
      <rPr>
        <sz val="12"/>
        <color theme="9" tint="-0.249977111117893"/>
        <rFont val="宋体"/>
        <family val="3"/>
        <charset val="134"/>
      </rPr>
      <t>年，地下车库</t>
    </r>
    <r>
      <rPr>
        <sz val="12"/>
        <color theme="9" tint="-0.249977111117893"/>
        <rFont val="Arial"/>
        <family val="2"/>
      </rPr>
      <t>49.2</t>
    </r>
    <r>
      <rPr>
        <sz val="12"/>
        <color theme="9" tint="-0.249977111117893"/>
        <rFont val="宋体"/>
        <family val="3"/>
        <charset val="134"/>
      </rPr>
      <t>年</t>
    </r>
    <phoneticPr fontId="6" type="noConversion"/>
  </si>
  <si>
    <t>住宅、商业、地下车库</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</si>
  <si>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陕（</t>
    </r>
    <r>
      <rPr>
        <sz val="12"/>
        <color theme="9" tint="-0.249977111117893"/>
        <rFont val="Arial"/>
        <family val="2"/>
      </rPr>
      <t>2017</t>
    </r>
    <r>
      <rPr>
        <sz val="12"/>
        <color theme="9" tint="-0.249977111117893"/>
        <rFont val="宋体"/>
        <family val="3"/>
        <charset val="134"/>
      </rPr>
      <t>）西安市不动产权第</t>
    </r>
    <r>
      <rPr>
        <sz val="12"/>
        <color theme="9" tint="-0.249977111117893"/>
        <rFont val="Arial"/>
        <family val="2"/>
      </rPr>
      <t>0000405</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</si>
  <si>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西规建字第（</t>
    </r>
    <r>
      <rPr>
        <sz val="12"/>
        <color theme="9" tint="-0.249977111117893"/>
        <rFont val="Arial"/>
        <family val="2"/>
      </rPr>
      <t>2017</t>
    </r>
    <r>
      <rPr>
        <sz val="12"/>
        <color theme="9" tint="-0.249977111117893"/>
        <rFont val="宋体"/>
        <family val="3"/>
        <charset val="134"/>
      </rPr>
      <t>）</t>
    </r>
    <r>
      <rPr>
        <sz val="12"/>
        <color theme="9" tint="-0.249977111117893"/>
        <rFont val="Arial"/>
        <family val="2"/>
      </rPr>
      <t>022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、《房屋预售备案面积测算报告》</t>
    </r>
    <r>
      <rPr>
        <sz val="12"/>
        <color theme="9" tint="-0.249977111117893"/>
        <rFont val="Arial"/>
        <family val="2"/>
      </rPr>
      <t>[</t>
    </r>
    <r>
      <rPr>
        <sz val="12"/>
        <color theme="9" tint="-0.249977111117893"/>
        <rFont val="宋体"/>
        <family val="3"/>
        <charset val="134"/>
      </rPr>
      <t>图文代码：</t>
    </r>
    <r>
      <rPr>
        <sz val="12"/>
        <color theme="9" tint="-0.249977111117893"/>
        <rFont val="Arial"/>
        <family val="2"/>
      </rPr>
      <t>GFS8#3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5]</t>
    </r>
    <phoneticPr fontId="6" type="noConversion"/>
  </si>
  <si>
    <t>已注销及未注销</t>
  </si>
  <si>
    <t>否</t>
  </si>
  <si>
    <t>是</t>
  </si>
  <si>
    <t>《不动产权证书》</t>
  </si>
  <si>
    <t>居住项目</t>
  </si>
  <si>
    <t>无</t>
  </si>
  <si>
    <t>在建</t>
  </si>
  <si>
    <t>-</t>
  </si>
  <si>
    <t>通路</t>
  </si>
  <si>
    <t>通电</t>
  </si>
  <si>
    <t>通讯</t>
  </si>
  <si>
    <t>通上水</t>
  </si>
  <si>
    <t>通下水</t>
  </si>
  <si>
    <t>燃气</t>
  </si>
  <si>
    <t>通热</t>
  </si>
  <si>
    <r>
      <t>1</t>
    </r>
    <r>
      <rPr>
        <sz val="10"/>
        <color indexed="8"/>
        <rFont val="宋体"/>
        <family val="3"/>
        <charset val="134"/>
      </rPr>
      <t>号楼</t>
    </r>
    <phoneticPr fontId="3" type="noConversion"/>
  </si>
  <si>
    <t>地上</t>
  </si>
  <si>
    <t>住宅</t>
  </si>
  <si>
    <t>平层住宅</t>
  </si>
  <si>
    <t>地下</t>
  </si>
  <si>
    <t>车库</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</si>
  <si>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</si>
  <si>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</si>
  <si>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</si>
  <si>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</si>
  <si>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</si>
  <si>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</si>
  <si>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</si>
  <si>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</si>
  <si>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</si>
  <si>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11</t>
    </r>
    <r>
      <rPr>
        <sz val="11"/>
        <color indexed="8"/>
        <rFont val="宋体"/>
        <family val="3"/>
        <charset val="134"/>
      </rPr>
      <t>号楼</t>
    </r>
    <phoneticPr fontId="3" type="noConversion"/>
  </si>
  <si>
    <r>
      <t>12</t>
    </r>
    <r>
      <rPr>
        <sz val="11"/>
        <color indexed="8"/>
        <rFont val="宋体"/>
        <family val="3"/>
        <charset val="134"/>
      </rPr>
      <t>号楼</t>
    </r>
    <phoneticPr fontId="3" type="noConversion"/>
  </si>
  <si>
    <t>地下车库</t>
    <phoneticPr fontId="3" type="noConversion"/>
  </si>
  <si>
    <t>地下车库</t>
    <phoneticPr fontId="7" type="noConversion"/>
  </si>
  <si>
    <t>2号楼</t>
  </si>
  <si>
    <t>2号楼</t>
    <phoneticPr fontId="7" type="noConversion"/>
  </si>
  <si>
    <r>
      <t>5</t>
    </r>
    <r>
      <rPr>
        <sz val="11"/>
        <color indexed="8"/>
        <rFont val="宋体"/>
        <family val="3"/>
        <charset val="134"/>
      </rPr>
      <t>号楼</t>
    </r>
    <phoneticPr fontId="7" type="noConversion"/>
  </si>
  <si>
    <r>
      <t>6</t>
    </r>
    <r>
      <rPr>
        <sz val="11"/>
        <color indexed="8"/>
        <rFont val="宋体"/>
        <family val="3"/>
        <charset val="134"/>
      </rPr>
      <t>号楼</t>
    </r>
    <phoneticPr fontId="7" type="noConversion"/>
  </si>
  <si>
    <t>3号楼</t>
  </si>
  <si>
    <t>3号楼</t>
    <phoneticPr fontId="7" type="noConversion"/>
  </si>
  <si>
    <r>
      <t>4</t>
    </r>
    <r>
      <rPr>
        <sz val="10"/>
        <color indexed="8"/>
        <rFont val="宋体"/>
        <family val="3"/>
        <charset val="134"/>
      </rPr>
      <t>号楼</t>
    </r>
    <phoneticPr fontId="7" type="noConversion"/>
  </si>
  <si>
    <r>
      <t>7</t>
    </r>
    <r>
      <rPr>
        <sz val="11"/>
        <color indexed="8"/>
        <rFont val="宋体"/>
        <family val="3"/>
        <charset val="134"/>
      </rPr>
      <t>号楼</t>
    </r>
    <phoneticPr fontId="7" type="noConversion"/>
  </si>
  <si>
    <r>
      <t>8</t>
    </r>
    <r>
      <rPr>
        <sz val="11"/>
        <color indexed="8"/>
        <rFont val="宋体"/>
        <family val="3"/>
        <charset val="134"/>
      </rPr>
      <t>号楼</t>
    </r>
    <phoneticPr fontId="7" type="noConversion"/>
  </si>
  <si>
    <t>复印件</t>
  </si>
  <si>
    <t>西安市新城区华清西路以南、金花北路以西</t>
    <phoneticPr fontId="6" type="noConversion"/>
  </si>
  <si>
    <t>其他省市系数</t>
  </si>
  <si>
    <t>正常</t>
  </si>
  <si>
    <t>城镇住宅用地</t>
  </si>
  <si>
    <t>城镇住宅用地</t>
    <phoneticPr fontId="31" type="noConversion"/>
  </si>
  <si>
    <t>较好</t>
  </si>
  <si>
    <t>好</t>
  </si>
  <si>
    <t>七通</t>
  </si>
  <si>
    <t>双面临街</t>
  </si>
  <si>
    <t>高速路</t>
    <phoneticPr fontId="31" type="noConversion"/>
  </si>
  <si>
    <t>快速路</t>
  </si>
  <si>
    <t>快速路</t>
    <phoneticPr fontId="31" type="noConversion"/>
  </si>
  <si>
    <t>主干道</t>
  </si>
  <si>
    <t>主干道</t>
    <phoneticPr fontId="31" type="noConversion"/>
  </si>
  <si>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</si>
  <si>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</si>
  <si>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</si>
  <si>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</si>
  <si>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</si>
  <si>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</si>
  <si>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</si>
  <si>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</si>
  <si>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</si>
  <si>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</si>
  <si>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</si>
  <si>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</si>
  <si>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YT7-7-144</t>
    <phoneticPr fontId="3" type="noConversion"/>
  </si>
  <si>
    <t>雁塔区科技六路以北、经九路以东</t>
    <phoneticPr fontId="3" type="noConversion"/>
  </si>
  <si>
    <t>陕西省西安市新城区华清西路以南、金花北路以西</t>
    <phoneticPr fontId="3" type="noConversion"/>
  </si>
  <si>
    <t>西安监测指标情况一览表</t>
  </si>
  <si>
    <t>时间</t>
  </si>
  <si>
    <t>水平值</t>
  </si>
  <si>
    <t>环比增长率</t>
  </si>
  <si>
    <t>指数</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</si>
  <si>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</si>
  <si>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一般</t>
  </si>
  <si>
    <t>三级</t>
    <phoneticPr fontId="6" type="noConversion"/>
  </si>
  <si>
    <t>一级</t>
    <phoneticPr fontId="31" type="noConversion"/>
  </si>
  <si>
    <t>二级</t>
    <phoneticPr fontId="31" type="noConversion"/>
  </si>
  <si>
    <t>三级</t>
    <phoneticPr fontId="31" type="noConversion"/>
  </si>
  <si>
    <t>四级</t>
    <phoneticPr fontId="31" type="noConversion"/>
  </si>
  <si>
    <t>五级</t>
    <phoneticPr fontId="31" type="noConversion"/>
  </si>
  <si>
    <t>QJ8-9-25</t>
    <phoneticPr fontId="3" type="noConversion"/>
  </si>
  <si>
    <t>曲江新区裴家崆路以南、航天大道以北、新开门南路以西、29号路以东</t>
    <phoneticPr fontId="3" type="noConversion"/>
  </si>
  <si>
    <t>CB6-2-2222</t>
    <phoneticPr fontId="3" type="noConversion"/>
  </si>
  <si>
    <t>西安浐灞生态区南三环以北、田马路以西</t>
    <phoneticPr fontId="3" type="noConversion"/>
  </si>
  <si>
    <t>其他普通商品住房用地</t>
  </si>
  <si>
    <t>其他普通商品住房用地</t>
    <phoneticPr fontId="31" type="noConversion"/>
  </si>
  <si>
    <t>成本法</t>
  </si>
  <si>
    <t>*</t>
  </si>
  <si>
    <t>中铁.西派国际</t>
    <phoneticPr fontId="3" type="noConversion"/>
  </si>
  <si>
    <t>西安市城北太华路与北二环十字东南角（地铁4号线大明宫北站）</t>
    <phoneticPr fontId="3" type="noConversion"/>
  </si>
  <si>
    <t>住宅</t>
    <phoneticPr fontId="25" type="noConversion"/>
  </si>
  <si>
    <t>60-70（含）</t>
  </si>
  <si>
    <t>独栋别墅</t>
    <phoneticPr fontId="25" type="noConversion"/>
  </si>
  <si>
    <t>联排别墅</t>
    <phoneticPr fontId="25" type="noConversion"/>
  </si>
  <si>
    <t>叠拼别墅</t>
    <phoneticPr fontId="25" type="noConversion"/>
  </si>
  <si>
    <t>高层住宅</t>
  </si>
  <si>
    <t>高层住宅</t>
    <phoneticPr fontId="25" type="noConversion"/>
  </si>
  <si>
    <t>钢混</t>
  </si>
  <si>
    <t>钢混</t>
    <phoneticPr fontId="25" type="noConversion"/>
  </si>
  <si>
    <t>混合</t>
    <phoneticPr fontId="25" type="noConversion"/>
  </si>
  <si>
    <t>砖</t>
    <phoneticPr fontId="25" type="noConversion"/>
  </si>
  <si>
    <t>高档</t>
  </si>
  <si>
    <t>高档</t>
    <phoneticPr fontId="25" type="noConversion"/>
  </si>
  <si>
    <t>中档</t>
  </si>
  <si>
    <t>中档</t>
    <phoneticPr fontId="25" type="noConversion"/>
  </si>
  <si>
    <t>低档</t>
    <phoneticPr fontId="25" type="noConversion"/>
  </si>
  <si>
    <t>豪华装修</t>
  </si>
  <si>
    <t>豪华装修</t>
    <phoneticPr fontId="25" type="noConversion"/>
  </si>
  <si>
    <t>精装修</t>
  </si>
  <si>
    <t>精装修</t>
    <phoneticPr fontId="25" type="noConversion"/>
  </si>
  <si>
    <t>普通装修</t>
  </si>
  <si>
    <t>普通装修</t>
    <phoneticPr fontId="25" type="noConversion"/>
  </si>
  <si>
    <t>毛坯</t>
    <phoneticPr fontId="25" type="noConversion"/>
  </si>
  <si>
    <t>专业</t>
  </si>
  <si>
    <t>专业</t>
    <phoneticPr fontId="25" type="noConversion"/>
  </si>
  <si>
    <t>非专业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</si>
  <si>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</si>
  <si>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</si>
  <si>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</si>
  <si>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</si>
  <si>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</si>
  <si>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</si>
  <si>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120-150</t>
    <phoneticPr fontId="25" type="noConversion"/>
  </si>
  <si>
    <t>150-250</t>
    <phoneticPr fontId="25" type="noConversion"/>
  </si>
  <si>
    <t>售价</t>
  </si>
  <si>
    <t>地下车库</t>
    <phoneticPr fontId="32" type="noConversion"/>
  </si>
  <si>
    <t>40-50（含）</t>
  </si>
  <si>
    <t>住宅</t>
    <phoneticPr fontId="32" type="noConversion"/>
  </si>
  <si>
    <t>商业</t>
    <phoneticPr fontId="32" type="noConversion"/>
  </si>
  <si>
    <t>办公</t>
    <phoneticPr fontId="32" type="noConversion"/>
  </si>
  <si>
    <t>1:2</t>
    <phoneticPr fontId="32" type="noConversion"/>
  </si>
  <si>
    <t>精装修</t>
    <phoneticPr fontId="32" type="noConversion"/>
  </si>
  <si>
    <t>普通装修</t>
    <phoneticPr fontId="32" type="noConversion"/>
  </si>
  <si>
    <t>毛坯</t>
    <phoneticPr fontId="32" type="noConversion"/>
  </si>
  <si>
    <t>专业</t>
    <phoneticPr fontId="32" type="noConversion"/>
  </si>
  <si>
    <t>非专业</t>
    <phoneticPr fontId="32" type="noConversion"/>
  </si>
  <si>
    <t>平面</t>
  </si>
  <si>
    <t>平面</t>
    <phoneticPr fontId="32" type="noConversion"/>
  </si>
  <si>
    <t>立体</t>
    <phoneticPr fontId="32" type="noConversion"/>
  </si>
  <si>
    <t>是</t>
    <phoneticPr fontId="32" type="noConversion"/>
  </si>
  <si>
    <t>否</t>
    <phoneticPr fontId="32" type="noConversion"/>
  </si>
  <si>
    <t>西安大明宫万达公馆</t>
    <phoneticPr fontId="3" type="noConversion"/>
  </si>
  <si>
    <t>西安市北二环与太华北路交汇处向北200米</t>
    <phoneticPr fontId="3" type="noConversion"/>
  </si>
  <si>
    <t>龙湖·源著</t>
    <phoneticPr fontId="3" type="noConversion"/>
  </si>
  <si>
    <t>西安市城北东北二环交汇处-辛家庙立交向北500米路东</t>
    <phoneticPr fontId="3" type="noConversion"/>
  </si>
  <si>
    <t>1:1.05</t>
    <phoneticPr fontId="32" type="noConversion"/>
  </si>
  <si>
    <t>1:1.3</t>
    <phoneticPr fontId="32" type="noConversion"/>
  </si>
  <si>
    <t>4号楼</t>
  </si>
  <si>
    <t>5号楼</t>
  </si>
  <si>
    <t>6号楼</t>
  </si>
  <si>
    <t>7号楼</t>
  </si>
  <si>
    <t>8号楼</t>
  </si>
  <si>
    <t>假设开发法</t>
  </si>
  <si>
    <t>已全部缴纳</t>
  </si>
  <si>
    <t>未包含在土地购买价格中</t>
  </si>
  <si>
    <t>全部缴纳</t>
  </si>
  <si>
    <t>项目局部</t>
  </si>
  <si>
    <t>成本比率</t>
  </si>
  <si>
    <t>较不规则</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</si>
</sst>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5" fillId="7" borderId="1" xfId="0" applyNumberFormat="1" applyFont="1" applyFill="1" applyBorder="1" applyAlignment="1" applyProtection="1">
      <alignment horizontal="center" vertical="center"/>
      <protection locked="0"/>
    </xf>
    <xf numFmtId="177" fontId="137" fillId="0" borderId="3" xfId="1" applyNumberFormat="1"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7" borderId="9"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6" borderId="156" xfId="0" applyFont="1" applyFill="1" applyBorder="1" applyAlignment="1">
      <alignment horizontal="center"/>
    </xf>
    <xf numFmtId="0" fontId="256" fillId="16"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7" borderId="0" xfId="0" applyFont="1" applyFill="1" applyAlignment="1">
      <alignment horizontal="left" vertical="center" wrapText="1"/>
    </xf>
    <xf numFmtId="0" fontId="0" fillId="17" borderId="158" xfId="0" applyFill="1" applyBorder="1" applyAlignment="1">
      <alignment horizontal="right" vertical="center" wrapText="1"/>
    </xf>
    <xf numFmtId="0" fontId="99" fillId="17" borderId="158" xfId="0" applyFont="1" applyFill="1" applyBorder="1" applyAlignment="1">
      <alignment horizontal="right" vertical="center" wrapText="1"/>
    </xf>
    <xf numFmtId="0" fontId="257" fillId="13" borderId="0" xfId="0" applyFont="1" applyFill="1" applyAlignment="1">
      <alignment horizontal="left" vertical="center" wrapText="1"/>
    </xf>
    <xf numFmtId="0" fontId="257" fillId="13" borderId="158" xfId="0" applyFont="1" applyFill="1" applyBorder="1" applyAlignment="1">
      <alignment horizontal="right" vertical="center" wrapText="1"/>
    </xf>
    <xf numFmtId="0" fontId="191" fillId="0"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8" borderId="24"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陕西省西安市新城区华清西路以南、金花北路以西出让国有建设用地使用权及在建建筑物房地产抵押价值预评估</v>
      </c>
    </row>
    <row r="3" spans="1:2" s="1596" customFormat="1">
      <c r="A3" s="1594" t="s">
        <v>1222</v>
      </c>
      <c r="B3" s="1595" t="str">
        <f>'预评函-封皮'!B40</f>
        <v>西安胤博置业有限公司</v>
      </c>
    </row>
    <row r="4" spans="1:2" s="1596" customFormat="1">
      <c r="A4" s="1594" t="s">
        <v>1223</v>
      </c>
      <c r="B4" s="1595" t="str">
        <f ca="1">'预评函-封皮'!B46</f>
        <v>郑燚（注册号：1120070131)、王萌（注册号：1120130048)</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受贵公司委托，我公司对陕西省西安市新城区华清西路以南、金花北路以西出让国有建设用地使用权及在建建筑物房地产抵押价值进行了预评估。</v>
      </c>
    </row>
    <row r="7" spans="1:2" s="1596" customFormat="1">
      <c r="A7" s="1594" t="s">
        <v>1265</v>
      </c>
      <c r="B7" s="1595" t="str">
        <f>'预评函-1'!A7</f>
        <v>估价对象为陕西省西安市新城区华清西路以南、金花北路以西出让国有建设用地使用权及在建建筑物房地产，为所有。根据《不动产权证书》[陕（2017）西安市不动产权第0000405号]，估价对象（分摊）出让国有建设用地使用权面积为60945.37平方米，建筑面积为210072.84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陕西省西安市新城区华清西路以南、金花北路以西出让国有建设用地使用权及在建建筑物房地产,属开发建设的居住项目，该项目尚在开发建设中。根据《不动产权证书》[陕（2017）西安市不动产权第0000405号]，估价对象（分摊）出让国有建设用地使用权面积为60945.37平方米，规划建筑面积为210072.84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为估价委托人在向中信信托有限责任公司办理贷款手续过程中，确定房地产抵押贷款额度提供参考依据而评估房地产抵押价值。</v>
      </c>
    </row>
    <row r="12" spans="1:2" s="1596" customFormat="1">
      <c r="A12" s="1594" t="s">
        <v>1227</v>
      </c>
      <c r="B12" s="1595" t="str">
        <f>'预评函-1'!A15</f>
        <v>2017年10月17日（评估专业人员实地查勘之日）</v>
      </c>
    </row>
    <row r="13" spans="1:2" s="1596" customFormat="1">
      <c r="A13" s="1594" t="s">
        <v>1228</v>
      </c>
      <c r="B13" s="1595" t="str">
        <f>'预评函-1'!A18</f>
        <v>本次估价的“房地产价值”是指在正常市场情况下，在价值时点2017年10月17日，估价对象规划用途为住宅、商业、地下车库，土地取得方式为出让，出让国有建设用地使用权剩余土地使用年限为住宅69.2年，商业39.2年，地下车库49.2年，假定未设立法定优先受偿款下的房地产市场价值。</v>
      </c>
    </row>
    <row r="14" spans="1:2" s="1596" customFormat="1">
      <c r="A14" s="1594" t="s">
        <v>1229</v>
      </c>
      <c r="B14" s="1595" t="str">
        <f>'预评函-1'!A19</f>
        <v>其中，“出让国有建设用地使用权价值”是指估价对象用途为住宅、商业、地下车库，实际开发程度为宗地红线外“七通”（即通路、通电、通讯、通上水、通下水、燃气、通热）、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本次评估采用的主估价方法为成本法和假设开发法。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178812</v>
      </c>
    </row>
    <row r="21" spans="1:2" s="1596" customFormat="1">
      <c r="A21" s="1594" t="s">
        <v>1236</v>
      </c>
      <c r="B21" s="1595">
        <f ca="1">'预评函-2'!D7</f>
        <v>8512</v>
      </c>
    </row>
    <row r="22" spans="1:2" s="1596" customFormat="1">
      <c r="A22" s="1594" t="s">
        <v>1237</v>
      </c>
      <c r="B22" s="1595" t="str">
        <f ca="1">'预评函-2'!D6</f>
        <v>壹拾柒亿捌仟捌佰壹拾贰万元整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178812</v>
      </c>
    </row>
    <row r="31" spans="1:2" s="1596" customFormat="1">
      <c r="A31" s="1594" t="s">
        <v>1275</v>
      </c>
      <c r="B31" s="1595">
        <f ca="1">'预评函-2'!D15</f>
        <v>8512</v>
      </c>
    </row>
    <row r="32" spans="1:2" s="1596" customFormat="1">
      <c r="A32" s="1594" t="s">
        <v>1242</v>
      </c>
      <c r="B32" s="1595" t="str">
        <f ca="1">'预评函-2'!D14</f>
        <v>壹拾柒亿捌仟捌佰壹拾贰万元整</v>
      </c>
    </row>
    <row r="33" spans="1:2" s="1596" customFormat="1">
      <c r="A33" s="1594" t="s">
        <v>1277</v>
      </c>
      <c r="B33" s="1595" t="str">
        <f>'预评函-2'!B16</f>
        <v>4.抵押担保权已注销时的房地产抵押价值</v>
      </c>
    </row>
    <row r="34" spans="1:2" s="1596" customFormat="1">
      <c r="A34" s="1594" t="s">
        <v>1295</v>
      </c>
      <c r="B34" s="1595">
        <f ca="1">'预评函-2'!D16</f>
        <v>178812</v>
      </c>
    </row>
    <row r="35" spans="1:2" s="1596" customFormat="1">
      <c r="A35" s="1594" t="s">
        <v>1276</v>
      </c>
      <c r="B35" s="1595">
        <f ca="1">'预评函-2'!D18</f>
        <v>8512</v>
      </c>
    </row>
    <row r="36" spans="1:2" s="1596" customFormat="1">
      <c r="A36" s="1594" t="s">
        <v>1243</v>
      </c>
      <c r="B36" s="1595" t="str">
        <f ca="1">'预评函-2'!D17</f>
        <v>壹拾柒亿捌仟捌佰壹拾贰万元整</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陕西省西安市新城区华清西路以南、金花北路以西出让国有建设用地使用权及在建建筑物房地产</v>
      </c>
    </row>
    <row r="42" spans="1:2" s="1596" customFormat="1">
      <c r="A42" s="1594" t="s">
        <v>1289</v>
      </c>
      <c r="B42" s="1595" t="str">
        <f>'预评函-3'!B2</f>
        <v>建筑面积</v>
      </c>
    </row>
    <row r="43" spans="1:2" s="1596" customFormat="1">
      <c r="A43" s="1594" t="s">
        <v>1290</v>
      </c>
      <c r="B43" s="1595">
        <f>'预评函-3'!B4</f>
        <v>210072.84</v>
      </c>
    </row>
    <row r="44" spans="1:2" s="1596" customFormat="1">
      <c r="A44" s="1594" t="s">
        <v>1274</v>
      </c>
      <c r="B44" s="1595" t="str">
        <f>'预评函-3'!C2</f>
        <v>(分摊)土地面积</v>
      </c>
    </row>
    <row r="45" spans="1:2" s="1596" customFormat="1">
      <c r="A45" s="1594" t="s">
        <v>1246</v>
      </c>
      <c r="B45" s="1595">
        <f>'预评函-3'!C4</f>
        <v>60945.37</v>
      </c>
    </row>
    <row r="46" spans="1:2" s="1596" customFormat="1">
      <c r="A46" s="1594" t="s">
        <v>1272</v>
      </c>
      <c r="B46" s="1595" t="str">
        <f>'预评函-3'!D2</f>
        <v>出让国有建设用地使用权价值</v>
      </c>
    </row>
    <row r="47" spans="1:2" s="1596" customFormat="1">
      <c r="A47" s="1594" t="s">
        <v>1247</v>
      </c>
      <c r="B47" s="1595">
        <f ca="1">'预评函-3'!D4</f>
        <v>168799</v>
      </c>
    </row>
    <row r="48" spans="1:2" s="1596" customFormat="1">
      <c r="A48" s="1594" t="s">
        <v>1248</v>
      </c>
      <c r="B48" s="1595">
        <f ca="1">'预评函-3'!E4</f>
        <v>8035</v>
      </c>
    </row>
    <row r="49" spans="1:2" s="1596" customFormat="1">
      <c r="A49" s="1594" t="s">
        <v>1249</v>
      </c>
      <c r="B49" s="1595" t="str">
        <f ca="1">'预评函-3'!D5</f>
        <v>壹拾陆亿捌仟柒佰玖拾玖万元整</v>
      </c>
    </row>
    <row r="50" spans="1:2" s="1596" customFormat="1">
      <c r="A50" s="1594" t="s">
        <v>1273</v>
      </c>
      <c r="B50" s="1595" t="str">
        <f>'预评函-3'!F2</f>
        <v>在建建筑物价值</v>
      </c>
    </row>
    <row r="51" spans="1:2" s="1596" customFormat="1">
      <c r="A51" s="1594" t="s">
        <v>1250</v>
      </c>
      <c r="B51" s="1595">
        <f ca="1">'预评函-3'!F4</f>
        <v>10013</v>
      </c>
    </row>
    <row r="52" spans="1:2" s="1596" customFormat="1">
      <c r="A52" s="1594" t="s">
        <v>1251</v>
      </c>
      <c r="B52" s="1595">
        <f ca="1">'预评函-3'!G4</f>
        <v>477</v>
      </c>
    </row>
    <row r="53" spans="1:2" s="1596" customFormat="1">
      <c r="A53" s="1594" t="s">
        <v>1279</v>
      </c>
      <c r="B53" s="1595" t="str">
        <f ca="1">'预评函-3'!F5</f>
        <v>壹亿零壹拾叁万元整</v>
      </c>
    </row>
    <row r="54" spans="1:2" s="1596" customFormat="1">
      <c r="A54" s="1594" t="s">
        <v>1297</v>
      </c>
      <c r="B54" s="1595" t="str">
        <f>'预评函-3'!A8</f>
        <v>房地产抵押价值</v>
      </c>
    </row>
    <row r="55" spans="1:2" s="1596" customFormat="1">
      <c r="A55" s="1594" t="s">
        <v>1280</v>
      </c>
      <c r="B55" s="1595" t="str">
        <f>'预评函-3'!A10</f>
        <v>抵押担保权已注销时的房地产抵押价值</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原件、《不动产权证书》复印件，截至价值时点，估价对象已设定抵押。上述权属证件中未登记该抵押权的具体情况（债权数额、期限等）。根据《房屋他项权利证书》复印件，估价对象已抵押给，权利范围为，权利价值为。</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1270</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郑燚</v>
      </c>
    </row>
    <row r="71" spans="1:2">
      <c r="A71" s="1594" t="s">
        <v>1262</v>
      </c>
      <c r="B71" s="1595">
        <f ca="1">'预评函-4'!B4</f>
        <v>1120070131</v>
      </c>
    </row>
    <row r="72" spans="1:2">
      <c r="A72" s="1594" t="s">
        <v>1263</v>
      </c>
      <c r="B72" s="1603" t="str">
        <f>'预评函-4'!A5</f>
        <v>王萌</v>
      </c>
    </row>
    <row r="73" spans="1:2" s="1590" customFormat="1" ht="15" thickBot="1">
      <c r="A73" s="1597" t="s">
        <v>1264</v>
      </c>
      <c r="B73" s="1598">
        <f ca="1">'预评函-4'!B5</f>
        <v>1120130048</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胤博置业有限公司拟使用陕西省西安市新城区华清西路以南、金花北路以西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17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2998"/>
      <c r="B54" s="2025" t="s">
        <v>864</v>
      </c>
      <c r="C54" s="2022" t="s">
        <v>1282</v>
      </c>
    </row>
    <row r="55" spans="1:4">
      <c r="A55" s="2998"/>
      <c r="B55" s="2025" t="s">
        <v>865</v>
      </c>
      <c r="C55" s="2022" t="s">
        <v>1283</v>
      </c>
    </row>
    <row r="56" spans="1:4">
      <c r="A56" s="2998"/>
      <c r="B56" s="2025" t="s">
        <v>866</v>
      </c>
      <c r="C56" s="2022" t="s">
        <v>1287</v>
      </c>
    </row>
    <row r="57" spans="1:4">
      <c r="A57" s="2998"/>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H37" sqref="H37"/>
    </sheetView>
  </sheetViews>
  <sheetFormatPr defaultColWidth="10" defaultRowHeight="18" customHeight="1"/>
  <cols>
    <col min="1" max="1" width="14.875" style="2035" customWidth="1"/>
    <col min="2" max="2" width="12.1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1778</v>
      </c>
      <c r="B1" s="3007" t="str">
        <f>IF(B10="北京市","北京市",C10)&amp;F10&amp;IF(结果表!G1="在建","出让国有建设用地使用权及在建建筑物",IF(结果表!G1="土地","出让国有建设用地使用权",))&amp;B9&amp;"预评估"</f>
        <v>陕西省西安市新城区华清西路以南、金花北路以西出让国有建设用地使用权及在建建筑物房地产抵押价值预评估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陕西省西安市新城区华清西路以南、金花北路以西出让国有建设用地使用权及在建建筑物房地产抵押价值</v>
      </c>
    </row>
    <row r="2" spans="1:19" ht="18" customHeight="1">
      <c r="A2" s="2029" t="s">
        <v>1779</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陕西省西安市新城区华清西路以南、金花北路以西出让国有建设用地使用权及在建建筑物房地产</v>
      </c>
    </row>
    <row r="3" spans="1:19" ht="18" customHeight="1">
      <c r="A3" s="2038" t="s">
        <v>1780</v>
      </c>
      <c r="B3" s="2039">
        <v>43025</v>
      </c>
      <c r="C3" s="2040" t="s">
        <v>1781</v>
      </c>
      <c r="D3" s="2039">
        <v>43025</v>
      </c>
      <c r="E3" s="2029"/>
      <c r="F3" s="2029"/>
      <c r="G3" s="2029"/>
      <c r="H3" s="2029"/>
      <c r="I3" s="2029"/>
      <c r="J3" s="2029"/>
      <c r="K3" s="2030"/>
      <c r="L3" s="2031"/>
      <c r="M3" s="2031"/>
      <c r="N3" s="2032"/>
      <c r="O3" s="2033"/>
      <c r="P3" s="2032"/>
      <c r="Q3" s="2032"/>
      <c r="R3" s="2032"/>
      <c r="S3" s="2034"/>
    </row>
    <row r="4" spans="1:19" ht="18" customHeight="1" thickBot="1">
      <c r="A4" s="2041" t="s">
        <v>1782</v>
      </c>
      <c r="B4" s="2042" t="s">
        <v>3044</v>
      </c>
      <c r="C4" s="1040">
        <f ca="1">SUMIF(注册房地产估价师,B4,估价师及机构信息!B3:B24)</f>
        <v>1120070131</v>
      </c>
      <c r="D4" s="2042" t="s">
        <v>3045</v>
      </c>
      <c r="E4" s="1041">
        <f ca="1">SUMIF(注册房地产估价师,D4,估价师及机构信息!B3:B24)</f>
        <v>1120130048</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郑燚（注册号：1120070131)、王萌（注册号：1120130048)</v>
      </c>
      <c r="L4" s="2031"/>
      <c r="M4" s="2031"/>
      <c r="N4" s="2032"/>
      <c r="O4" s="2033"/>
      <c r="P4" s="2032"/>
      <c r="Q4" s="2032"/>
      <c r="R4" s="2032"/>
      <c r="S4" s="2034"/>
    </row>
    <row r="5" spans="1:19" ht="18" customHeight="1" thickTop="1">
      <c r="A5" s="2047" t="s">
        <v>1783</v>
      </c>
      <c r="B5" s="2927"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28"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9" t="s">
        <v>3046</v>
      </c>
      <c r="C7" s="2051"/>
      <c r="D7" s="2052"/>
      <c r="E7" s="2037"/>
      <c r="F7" s="2045"/>
      <c r="G7" s="2045"/>
      <c r="H7" s="2045"/>
      <c r="I7" s="2045"/>
      <c r="J7" s="2045"/>
      <c r="K7" s="2054"/>
      <c r="L7" s="2031"/>
      <c r="M7" s="2031"/>
      <c r="N7" s="2032"/>
      <c r="O7" s="2033"/>
      <c r="P7" s="2032"/>
      <c r="Q7" s="2032"/>
      <c r="R7" s="2032"/>
    </row>
    <row r="8" spans="1:19" ht="18" customHeight="1">
      <c r="A8" s="2050" t="s">
        <v>1786</v>
      </c>
      <c r="B8" s="2055" t="s">
        <v>3048</v>
      </c>
      <c r="C8" s="2056"/>
      <c r="D8" s="3010" t="s">
        <v>1787</v>
      </c>
      <c r="E8" s="2057" t="s">
        <v>3059</v>
      </c>
      <c r="F8" s="2058"/>
      <c r="G8" s="2029"/>
      <c r="H8" s="2029"/>
      <c r="I8" s="2029"/>
      <c r="J8" s="2045"/>
      <c r="K8" s="2046"/>
      <c r="L8" s="2031"/>
      <c r="M8" s="2031"/>
      <c r="N8" s="2032"/>
      <c r="O8" s="2033"/>
      <c r="P8" s="2032"/>
      <c r="Q8" s="2032"/>
      <c r="R8" s="2032"/>
    </row>
    <row r="9" spans="1:19" ht="18" customHeight="1" thickBot="1">
      <c r="A9" s="2043" t="s">
        <v>1788</v>
      </c>
      <c r="B9" s="2059" t="s">
        <v>3049</v>
      </c>
      <c r="C9" s="2060"/>
      <c r="D9" s="3011"/>
      <c r="E9" s="2059" t="s">
        <v>70</v>
      </c>
      <c r="F9" s="2061"/>
      <c r="G9" s="2062"/>
      <c r="H9" s="2062"/>
      <c r="I9" s="2062"/>
      <c r="J9" s="2045"/>
      <c r="K9" s="2054"/>
      <c r="L9" s="2031"/>
      <c r="M9" s="2031"/>
      <c r="N9" s="2032"/>
      <c r="O9" s="2033"/>
      <c r="P9" s="2032"/>
      <c r="Q9" s="2032"/>
      <c r="R9" s="2032"/>
    </row>
    <row r="10" spans="1:19" ht="18" customHeight="1" thickTop="1">
      <c r="A10" s="2063" t="s">
        <v>1789</v>
      </c>
      <c r="B10" s="2064" t="s">
        <v>3050</v>
      </c>
      <c r="C10" s="2930" t="s">
        <v>3051</v>
      </c>
      <c r="D10" s="2049"/>
      <c r="E10" s="2065" t="s">
        <v>1790</v>
      </c>
      <c r="F10" s="2931" t="s">
        <v>3052</v>
      </c>
      <c r="G10" s="2066"/>
      <c r="H10" s="2067"/>
      <c r="I10" s="2049"/>
      <c r="J10" s="2045"/>
      <c r="K10" s="2054"/>
      <c r="L10" s="2031"/>
      <c r="M10" s="2031"/>
      <c r="N10" s="2032"/>
      <c r="O10" s="2033"/>
      <c r="P10" s="2032"/>
      <c r="Q10" s="2032"/>
      <c r="R10" s="2032"/>
    </row>
    <row r="11" spans="1:19" ht="18" customHeight="1">
      <c r="A11" s="2068" t="s">
        <v>1791</v>
      </c>
      <c r="B11" s="2069" t="s">
        <v>3053</v>
      </c>
      <c r="C11" s="2070"/>
      <c r="D11" s="2071"/>
      <c r="E11" s="2045"/>
      <c r="F11" s="2045"/>
      <c r="G11" s="2045"/>
      <c r="H11" s="2045"/>
      <c r="I11" s="2045"/>
      <c r="J11" s="2045"/>
      <c r="K11" s="2054"/>
      <c r="L11" s="2031"/>
      <c r="M11" s="2031"/>
      <c r="N11" s="2032"/>
      <c r="O11" s="2033"/>
      <c r="P11" s="2032"/>
      <c r="Q11" s="2032"/>
      <c r="R11" s="2032"/>
    </row>
    <row r="12" spans="1:19" ht="18" customHeight="1">
      <c r="A12" s="2072" t="s">
        <v>1792</v>
      </c>
      <c r="B12" s="2069" t="s">
        <v>3054</v>
      </c>
      <c r="C12" s="2073" t="s">
        <v>1793</v>
      </c>
      <c r="D12" s="2074" t="s">
        <v>1794</v>
      </c>
      <c r="E12" s="2074" t="s">
        <v>1795</v>
      </c>
      <c r="F12" s="2074" t="s">
        <v>1796</v>
      </c>
      <c r="G12" s="2074" t="s">
        <v>1797</v>
      </c>
      <c r="H12" s="2074" t="s">
        <v>1798</v>
      </c>
      <c r="I12" s="2074" t="s">
        <v>1799</v>
      </c>
      <c r="J12" s="2045"/>
      <c r="K12" s="2054"/>
      <c r="L12" s="2031"/>
      <c r="M12" s="2031"/>
      <c r="N12" s="2032"/>
      <c r="O12" s="2033"/>
      <c r="P12" s="2032"/>
      <c r="Q12" s="2032"/>
      <c r="R12" s="2032"/>
    </row>
    <row r="13" spans="1:19" ht="18" customHeight="1">
      <c r="A13" s="2075"/>
      <c r="B13" s="2076"/>
      <c r="C13" s="2077" t="s">
        <v>1800</v>
      </c>
      <c r="D13" s="2078">
        <v>68293</v>
      </c>
      <c r="E13" s="2078">
        <v>57336</v>
      </c>
      <c r="F13" s="2078"/>
      <c r="G13" s="2078">
        <v>60988</v>
      </c>
      <c r="H13" s="2078"/>
      <c r="I13" s="1050"/>
      <c r="J13" s="2045"/>
      <c r="K13" s="2054"/>
      <c r="L13" s="2031"/>
      <c r="M13" s="2031"/>
      <c r="N13" s="2032"/>
      <c r="O13" s="2033"/>
      <c r="P13" s="2032"/>
      <c r="Q13" s="2032"/>
      <c r="R13" s="2032"/>
    </row>
    <row r="14" spans="1:19" ht="18" customHeight="1">
      <c r="A14" s="2075"/>
      <c r="B14" s="2076"/>
      <c r="C14" s="2077" t="s">
        <v>1801</v>
      </c>
      <c r="D14" s="1053">
        <v>70</v>
      </c>
      <c r="E14" s="1053">
        <v>40</v>
      </c>
      <c r="F14" s="1053"/>
      <c r="G14" s="1053">
        <v>50</v>
      </c>
      <c r="H14" s="1053"/>
      <c r="I14" s="1053"/>
      <c r="J14" s="2045"/>
      <c r="K14" s="2079"/>
      <c r="L14" s="2031"/>
      <c r="M14" s="2031"/>
      <c r="N14" s="2032"/>
      <c r="O14" s="2033"/>
      <c r="P14" s="2032"/>
      <c r="Q14" s="2032"/>
      <c r="R14" s="2032"/>
    </row>
    <row r="15" spans="1:19" ht="18" customHeight="1">
      <c r="A15" s="2063"/>
      <c r="B15" s="2080"/>
      <c r="C15" s="2077" t="s">
        <v>1802</v>
      </c>
      <c r="D15" s="1052">
        <f>IF(B12="出让",IF(D13="","",ROUNDDOWN(MIN((D13-$D$3)/365,D14),2)),D14)</f>
        <v>69.22</v>
      </c>
      <c r="E15" s="1052">
        <f>IF(B12="出让",IF(E13="","",ROUNDDOWN(MIN((E13-$D$3)/365,E14),2)),E14)</f>
        <v>39.200000000000003</v>
      </c>
      <c r="F15" s="1052" t="str">
        <f>IF(B12="出让",IF(F13="","",ROUNDDOWN(MIN((F13-$D$3)/365,F14),2)),F14)</f>
        <v/>
      </c>
      <c r="G15" s="1052">
        <f>IF(B12="出让",IF(G13="","",ROUNDDOWN(MIN((G13-$D$3)/365,G14),2)),G14)</f>
        <v>49.21</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1803</v>
      </c>
      <c r="B16" s="3017" t="s">
        <v>3056</v>
      </c>
      <c r="C16" s="3018"/>
      <c r="D16" s="3019"/>
      <c r="E16" s="2084" t="s">
        <v>1804</v>
      </c>
      <c r="F16" s="3020" t="s">
        <v>3055</v>
      </c>
      <c r="G16" s="3021"/>
      <c r="H16" s="3021"/>
      <c r="I16" s="3022"/>
      <c r="J16" s="2032"/>
      <c r="K16" s="2081"/>
      <c r="L16" s="2082"/>
      <c r="M16" s="2082"/>
      <c r="N16" s="2083"/>
      <c r="O16" s="2082"/>
      <c r="P16" s="2083"/>
      <c r="Q16" s="2032"/>
      <c r="R16" s="2032"/>
    </row>
    <row r="17" spans="1:22" ht="18" customHeight="1">
      <c r="A17" s="2085" t="s">
        <v>1805</v>
      </c>
      <c r="B17" s="2038" t="s">
        <v>1806</v>
      </c>
      <c r="C17" s="1057">
        <f>'数据-汇总表'!E3</f>
        <v>210072.84</v>
      </c>
      <c r="D17" s="2086" t="s">
        <v>1807</v>
      </c>
      <c r="E17" s="3023" t="s">
        <v>3058</v>
      </c>
      <c r="F17" s="3024"/>
      <c r="G17" s="3024"/>
      <c r="H17" s="3024"/>
      <c r="I17" s="3025"/>
      <c r="J17" s="2032"/>
      <c r="K17" s="2087"/>
      <c r="L17" s="2082"/>
      <c r="M17" s="2082"/>
      <c r="N17" s="2083"/>
      <c r="O17" s="2082"/>
      <c r="P17" s="2083"/>
      <c r="Q17" s="2032"/>
      <c r="R17" s="2032"/>
      <c r="S17" s="2032"/>
      <c r="T17" s="2032"/>
      <c r="U17" s="2032"/>
      <c r="V17" s="2032"/>
    </row>
    <row r="18" spans="1:22" ht="36" customHeight="1" thickBot="1">
      <c r="A18" s="2088" t="s">
        <v>1808</v>
      </c>
      <c r="B18" s="2041" t="s">
        <v>1809</v>
      </c>
      <c r="C18" s="1446">
        <f>'数据-汇总表'!D3</f>
        <v>60945.37</v>
      </c>
      <c r="D18" s="2089" t="s">
        <v>1807</v>
      </c>
      <c r="E18" s="3026" t="s">
        <v>3057</v>
      </c>
      <c r="F18" s="3027"/>
      <c r="G18" s="3027"/>
      <c r="H18" s="3027"/>
      <c r="I18" s="3028"/>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t="s">
        <v>3061</v>
      </c>
      <c r="D19" s="2091" t="s">
        <v>1812</v>
      </c>
      <c r="E19" s="2092" t="s">
        <v>3060</v>
      </c>
      <c r="F19" s="2093" t="str">
        <f>IF(AND(C19="是",E19="否"),"是否提供他项权证或相关说明","")</f>
        <v>是否提供他项权证或相关说明</v>
      </c>
      <c r="G19" s="2094" t="s">
        <v>3061</v>
      </c>
      <c r="H19" s="2045"/>
      <c r="I19" s="2045"/>
      <c r="J19" s="2045"/>
      <c r="K19" s="2054"/>
      <c r="L19" s="2031"/>
      <c r="M19" s="2031"/>
      <c r="N19" s="2083"/>
      <c r="O19" s="2082"/>
      <c r="P19" s="2083"/>
      <c r="Q19" s="2032"/>
      <c r="R19" s="2032"/>
      <c r="S19" s="2032"/>
      <c r="T19" s="2032"/>
      <c r="U19" s="2032"/>
      <c r="V19" s="2032"/>
    </row>
    <row r="20" spans="1:22" ht="18" customHeight="1">
      <c r="A20" s="2095" t="s">
        <v>1813</v>
      </c>
      <c r="B20" s="3013" t="s">
        <v>1814</v>
      </c>
      <c r="C20" s="3014"/>
      <c r="D20" s="3015" t="s">
        <v>1815</v>
      </c>
      <c r="E20" s="3016"/>
      <c r="F20" s="2096" t="s">
        <v>1816</v>
      </c>
      <c r="G20" s="2045"/>
      <c r="H20" s="2045"/>
      <c r="I20" s="2045"/>
      <c r="J20" s="2045"/>
      <c r="K20" s="3012" t="s">
        <v>1817</v>
      </c>
      <c r="L20" s="748"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2031"/>
      <c r="N20" s="2083"/>
      <c r="O20" s="2082"/>
      <c r="P20" s="2083"/>
      <c r="Q20" s="2032"/>
      <c r="R20" s="2032"/>
      <c r="S20" s="2032"/>
      <c r="T20" s="2032"/>
      <c r="U20" s="2032"/>
      <c r="V20" s="2032"/>
    </row>
    <row r="21" spans="1:22" ht="24.75" customHeight="1">
      <c r="A21" s="2095"/>
      <c r="B21" s="2097" t="s">
        <v>3062</v>
      </c>
      <c r="C21" s="2098" t="s">
        <v>1818</v>
      </c>
      <c r="D21" s="2099" t="s">
        <v>1819</v>
      </c>
      <c r="E21" s="2100" t="s">
        <v>3102</v>
      </c>
      <c r="F21" s="2101"/>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031"/>
      <c r="N21" s="2083"/>
      <c r="O21" s="2082"/>
      <c r="P21" s="2083"/>
      <c r="Q21" s="2032"/>
      <c r="R21" s="2032"/>
      <c r="S21" s="2032"/>
      <c r="T21" s="2032"/>
      <c r="U21" s="2032"/>
      <c r="V21" s="2032"/>
    </row>
    <row r="22" spans="1:22" ht="24.75" customHeight="1" thickBot="1">
      <c r="A22" s="2095"/>
      <c r="B22" s="2102" t="s">
        <v>3062</v>
      </c>
      <c r="C22" s="2098" t="s">
        <v>1820</v>
      </c>
      <c r="D22" s="2029"/>
      <c r="E22" s="2029"/>
      <c r="F22" s="2103"/>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1821</v>
      </c>
      <c r="B23" s="183" t="s">
        <v>1822</v>
      </c>
      <c r="C23" s="2105">
        <v>43005</v>
      </c>
      <c r="D23" s="2106" t="s">
        <v>1822</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1823</v>
      </c>
      <c r="C24" s="2936" t="s">
        <v>3047</v>
      </c>
      <c r="D24" s="2104" t="s">
        <v>1823</v>
      </c>
      <c r="E24" s="2110"/>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1824</v>
      </c>
      <c r="C25" s="2936" t="s">
        <v>3103</v>
      </c>
      <c r="D25" s="2104" t="s">
        <v>1824</v>
      </c>
      <c r="E25" s="2110"/>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1"/>
      <c r="B26" s="2112" t="s">
        <v>1825</v>
      </c>
      <c r="C26" s="2113">
        <v>170000</v>
      </c>
      <c r="D26" s="2114" t="s">
        <v>1826</v>
      </c>
      <c r="E26" s="2115"/>
      <c r="F26" s="2116"/>
      <c r="G26" s="2062"/>
      <c r="H26" s="2062"/>
      <c r="I26" s="2062"/>
      <c r="J26" s="2045"/>
      <c r="K26" s="2054"/>
      <c r="L26" s="2031"/>
      <c r="M26" s="2031"/>
      <c r="N26" s="2083"/>
      <c r="O26" s="2082"/>
      <c r="P26" s="2083"/>
      <c r="Q26" s="2032"/>
      <c r="R26" s="2032"/>
      <c r="S26" s="2032"/>
      <c r="T26" s="2032"/>
      <c r="U26" s="2032"/>
      <c r="V26" s="2032"/>
    </row>
    <row r="27" spans="1:22" ht="18" customHeight="1" thickTop="1">
      <c r="A27" s="3000" t="s">
        <v>1827</v>
      </c>
      <c r="B27" s="2063" t="s">
        <v>1828</v>
      </c>
      <c r="C27" s="2117" t="s">
        <v>3063</v>
      </c>
      <c r="D27" s="2118"/>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00"/>
      <c r="B28" s="2038" t="s">
        <v>1829</v>
      </c>
      <c r="C28" s="2119" t="s">
        <v>3064</v>
      </c>
      <c r="D28" s="2120"/>
      <c r="E28" s="2045"/>
      <c r="F28" s="2045"/>
      <c r="G28" s="2045"/>
      <c r="H28" s="2045"/>
      <c r="I28" s="2045"/>
      <c r="J28" s="2032"/>
      <c r="K28" s="2121"/>
      <c r="L28" s="2031"/>
      <c r="M28" s="2031"/>
      <c r="N28" s="2032"/>
      <c r="O28" s="2033"/>
      <c r="P28" s="2032"/>
      <c r="Q28" s="2032"/>
      <c r="R28" s="2032"/>
      <c r="S28" s="2032"/>
      <c r="T28" s="2032"/>
      <c r="U28" s="2032"/>
      <c r="V28" s="2032"/>
    </row>
    <row r="29" spans="1:22" ht="18" customHeight="1">
      <c r="A29" s="3000"/>
      <c r="B29" s="2038" t="s">
        <v>1830</v>
      </c>
      <c r="C29" s="2122" t="s">
        <v>3060</v>
      </c>
      <c r="D29" s="2123"/>
      <c r="E29" s="2045"/>
      <c r="F29" s="2045"/>
      <c r="G29" s="2045"/>
      <c r="H29" s="2045"/>
      <c r="I29" s="2045"/>
      <c r="J29" s="2032"/>
      <c r="K29" s="2121"/>
      <c r="L29" s="2031"/>
      <c r="M29" s="2031"/>
      <c r="N29" s="2032"/>
      <c r="O29" s="2033"/>
      <c r="P29" s="2032"/>
      <c r="Q29" s="2032"/>
      <c r="R29" s="2032"/>
      <c r="S29" s="2032"/>
      <c r="T29" s="2032"/>
      <c r="U29" s="2032"/>
      <c r="V29" s="2032"/>
    </row>
    <row r="30" spans="1:22" ht="18" customHeight="1">
      <c r="A30" s="3001"/>
      <c r="B30" s="2038" t="s">
        <v>1831</v>
      </c>
      <c r="C30" s="3002"/>
      <c r="D30" s="3003"/>
      <c r="E30" s="2045"/>
      <c r="F30" s="2045"/>
      <c r="G30" s="2045"/>
      <c r="H30" s="2045"/>
      <c r="I30" s="2045"/>
      <c r="J30" s="2032"/>
      <c r="K30" s="2121"/>
      <c r="L30" s="2031"/>
      <c r="M30" s="2031"/>
      <c r="N30" s="2032"/>
      <c r="O30" s="2033"/>
      <c r="P30" s="2032"/>
      <c r="Q30" s="2032"/>
      <c r="R30" s="2032"/>
      <c r="S30" s="2032"/>
      <c r="T30" s="2032"/>
      <c r="U30" s="2032"/>
      <c r="V30" s="2032"/>
    </row>
    <row r="31" spans="1:22" ht="18" customHeight="1">
      <c r="A31" s="3004" t="s">
        <v>1832</v>
      </c>
      <c r="B31" s="2124" t="s">
        <v>3065</v>
      </c>
      <c r="C31" s="2125" t="str">
        <f>IF(B31="现房","成新及维护状况正常否",IF(B31="在建","工程状态是否正常",IF(B31="土地","是否闲置","-")))</f>
        <v>工程状态是否正常</v>
      </c>
      <c r="D31" s="2126"/>
      <c r="E31" s="2127"/>
      <c r="F31" s="2045"/>
      <c r="G31" s="2045"/>
      <c r="H31" s="2045"/>
      <c r="I31" s="2045"/>
      <c r="J31" s="2045"/>
      <c r="K31" s="2053"/>
      <c r="L31" s="2031"/>
      <c r="M31" s="2031"/>
      <c r="N31" s="2032"/>
      <c r="O31" s="2033"/>
      <c r="P31" s="2032"/>
      <c r="Q31" s="2032"/>
      <c r="R31" s="2032"/>
      <c r="S31" s="2032"/>
      <c r="T31" s="2032"/>
      <c r="U31" s="2032"/>
      <c r="V31" s="2032"/>
    </row>
    <row r="32" spans="1:22" ht="18" customHeight="1">
      <c r="A32" s="3005"/>
      <c r="B32" s="2124" t="s">
        <v>3066</v>
      </c>
      <c r="C32" s="2125" t="str">
        <f>IF(B32="现房","成新及维护状况是否正常",IF(B32="在建","工程状态是否正常",IF(B32="土地","是否闲置","-")))</f>
        <v>-</v>
      </c>
      <c r="D32" s="2126"/>
      <c r="E32" s="2127"/>
      <c r="F32" s="2045"/>
      <c r="G32" s="2045"/>
      <c r="H32" s="2045"/>
      <c r="I32" s="2045"/>
      <c r="J32" s="2045"/>
      <c r="K32" s="2054"/>
      <c r="L32" s="2031"/>
      <c r="M32" s="2031"/>
      <c r="N32" s="2032"/>
      <c r="O32" s="2033"/>
      <c r="P32" s="2032"/>
      <c r="Q32" s="2032"/>
      <c r="R32" s="2032"/>
      <c r="S32" s="2032"/>
      <c r="T32" s="2032"/>
      <c r="U32" s="2032"/>
      <c r="V32" s="2032"/>
    </row>
    <row r="33" spans="1:22" ht="18" customHeight="1">
      <c r="A33" s="3005"/>
      <c r="B33" s="2128"/>
      <c r="C33" s="2068"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1" t="s">
        <v>3067</v>
      </c>
      <c r="C34" s="2131" t="s">
        <v>3068</v>
      </c>
      <c r="D34" s="2131" t="s">
        <v>3069</v>
      </c>
      <c r="E34" s="2131" t="s">
        <v>3070</v>
      </c>
      <c r="F34" s="2131" t="s">
        <v>3071</v>
      </c>
      <c r="G34" s="2131" t="s">
        <v>3072</v>
      </c>
      <c r="H34" s="2131" t="s">
        <v>3073</v>
      </c>
      <c r="I34" s="2045"/>
      <c r="J34" s="2045"/>
      <c r="K34" s="1798">
        <f>COUNTIF(B34:H34,"——")</f>
        <v>0</v>
      </c>
      <c r="L34" s="2073" t="s">
        <v>1834</v>
      </c>
      <c r="M34" s="2073" t="s">
        <v>1835</v>
      </c>
      <c r="N34" s="2073" t="s">
        <v>1836</v>
      </c>
      <c r="O34" s="2073" t="s">
        <v>1837</v>
      </c>
      <c r="P34" s="2073" t="s">
        <v>1838</v>
      </c>
      <c r="Q34" s="2073" t="s">
        <v>1839</v>
      </c>
      <c r="R34" s="2073" t="s">
        <v>1840</v>
      </c>
      <c r="S34" s="2999" t="s">
        <v>1841</v>
      </c>
      <c r="T34" s="2132" t="str">
        <f>NUMBERSTRING(7-K34,1)&amp;"通"</f>
        <v>七通</v>
      </c>
      <c r="U34" s="2032"/>
      <c r="V34" s="2032"/>
    </row>
    <row r="35" spans="1:22" ht="18" customHeight="1">
      <c r="A35" s="2133"/>
      <c r="B35" s="3006" t="s">
        <v>1842</v>
      </c>
      <c r="C35" s="3006"/>
      <c r="D35" s="3006"/>
      <c r="E35" s="3006"/>
      <c r="F35" s="2134" t="str">
        <f>C10</f>
        <v>陕西省西安市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2999"/>
      <c r="T35" s="48" t="str">
        <f>IF(T34="一通",L35,IF(T34="二通",M35,IF(T34="三通",N35,IF(T34="四通",O35,IF(T34="五通",P35,IF(T34="六通",Q35,R35))))))</f>
        <v>通路、通电、通讯、通上水、通下水、燃气、通热</v>
      </c>
      <c r="U35" s="2032"/>
      <c r="V35" s="2032"/>
    </row>
    <row r="36" spans="1:22" ht="18" customHeight="1">
      <c r="A36" s="2135"/>
      <c r="B36" s="2134" t="s">
        <v>1843</v>
      </c>
      <c r="C36" s="2134" t="s">
        <v>1844</v>
      </c>
      <c r="D36" s="2134" t="s">
        <v>1845</v>
      </c>
      <c r="E36" s="2134" t="s">
        <v>1846</v>
      </c>
      <c r="F36" s="2952" t="s">
        <v>3139</v>
      </c>
      <c r="G36" s="2045"/>
      <c r="H36" s="2045"/>
      <c r="I36" s="2045"/>
      <c r="J36" s="2045"/>
      <c r="K36" s="2054"/>
      <c r="L36" s="2031"/>
      <c r="M36" s="2031"/>
      <c r="N36" s="2032"/>
      <c r="O36" s="2033"/>
      <c r="P36" s="2032"/>
      <c r="Q36" s="2032"/>
      <c r="R36" s="2032"/>
      <c r="S36" s="2032"/>
      <c r="T36" s="2032"/>
      <c r="U36" s="2032"/>
      <c r="V36" s="2032"/>
    </row>
    <row r="37" spans="1:22" ht="18" customHeight="1">
      <c r="A37" s="2137" t="s">
        <v>1847</v>
      </c>
      <c r="B37" s="2138"/>
      <c r="C37" s="2138"/>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1848</v>
      </c>
      <c r="B38" s="2140"/>
      <c r="C38" s="2140"/>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3"/>
      <c r="K40" s="666"/>
      <c r="L40" s="2082"/>
      <c r="M40" s="2082"/>
      <c r="N40" s="2083"/>
      <c r="O40" s="2082"/>
      <c r="P40" s="2032"/>
      <c r="Q40" s="2032"/>
      <c r="R40" s="2032"/>
      <c r="S40" s="2032"/>
      <c r="T40" s="2032"/>
      <c r="U40" s="2032"/>
      <c r="V40" s="2032"/>
    </row>
    <row r="41" spans="1:22" ht="18" customHeight="1">
      <c r="A41" s="8" t="s">
        <v>1850</v>
      </c>
      <c r="B41" s="2148"/>
      <c r="C41" s="2149"/>
      <c r="D41" s="2032"/>
      <c r="E41" s="2032"/>
      <c r="F41" s="2032"/>
      <c r="G41" s="2032"/>
      <c r="H41" s="2032"/>
      <c r="I41" s="2033"/>
      <c r="J41" s="2032"/>
      <c r="K41" s="2121"/>
      <c r="L41" s="2031"/>
      <c r="M41" s="2031"/>
      <c r="N41" s="2032"/>
      <c r="O41" s="2033"/>
      <c r="P41" s="2032"/>
      <c r="Q41" s="2032"/>
      <c r="R41" s="2032"/>
      <c r="S41" s="2032"/>
      <c r="T41" s="2032"/>
      <c r="U41" s="2032"/>
      <c r="V41" s="2032"/>
    </row>
    <row r="42" spans="1:22" ht="18" customHeight="1">
      <c r="A42" s="2073" t="s">
        <v>1851</v>
      </c>
      <c r="B42" s="1798" t="s">
        <v>1852</v>
      </c>
      <c r="C42" s="1798" t="s">
        <v>1853</v>
      </c>
      <c r="D42" s="1798" t="s">
        <v>1854</v>
      </c>
      <c r="E42" s="1798" t="s">
        <v>1855</v>
      </c>
      <c r="F42" s="1798" t="s">
        <v>1856</v>
      </c>
      <c r="G42" s="1798" t="s">
        <v>1857</v>
      </c>
      <c r="H42" s="1798" t="s">
        <v>1858</v>
      </c>
      <c r="I42" s="1798" t="s">
        <v>1859</v>
      </c>
      <c r="J42" s="2150" t="s">
        <v>1860</v>
      </c>
      <c r="K42" s="2074" t="s">
        <v>1861</v>
      </c>
      <c r="L42" s="2074" t="s">
        <v>1862</v>
      </c>
      <c r="M42" s="2074" t="s">
        <v>1863</v>
      </c>
      <c r="N42" s="1798" t="s">
        <v>1864</v>
      </c>
      <c r="O42" s="1798" t="s">
        <v>1865</v>
      </c>
      <c r="P42" s="1798" t="s">
        <v>1866</v>
      </c>
      <c r="Q42" s="2073" t="s">
        <v>1867</v>
      </c>
      <c r="R42" s="2073" t="s">
        <v>1868</v>
      </c>
      <c r="S42" s="2032"/>
      <c r="T42" s="2032"/>
      <c r="U42" s="2032"/>
      <c r="V42" s="2032"/>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D26" sqref="K26:AD3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1874</v>
      </c>
      <c r="AZ2" s="1272"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70334.78</v>
      </c>
      <c r="B3" s="14">
        <f>IF(C3="否",G5-AT5,G5)</f>
        <v>242437.23</v>
      </c>
      <c r="C3" s="2166" t="s">
        <v>3060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6"/>
      <c r="C5" s="1806"/>
      <c r="D5" s="1809"/>
      <c r="E5" s="16" t="s">
        <v>1</v>
      </c>
      <c r="F5" s="16">
        <f>SUM(F13:F587)</f>
        <v>0</v>
      </c>
      <c r="G5" s="16">
        <f>SUM(G13:G587)</f>
        <v>250366.23</v>
      </c>
      <c r="H5" s="16">
        <f t="shared" ref="H5:AT5" si="0">SUM(H13:H656)</f>
        <v>238657.51</v>
      </c>
      <c r="I5" s="16">
        <f t="shared" si="0"/>
        <v>164586.51</v>
      </c>
      <c r="J5" s="16">
        <f t="shared" si="0"/>
        <v>32364.39</v>
      </c>
      <c r="K5" s="16">
        <f t="shared" si="0"/>
        <v>74071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3779.7200000000003</v>
      </c>
      <c r="AD5" s="16">
        <f t="shared" si="0"/>
        <v>3779.7200000000003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7929</v>
      </c>
      <c r="AU5" s="1805"/>
      <c r="AV5" s="15" t="s">
        <v>1877</v>
      </c>
      <c r="AW5" s="1806"/>
      <c r="AX5" s="1806"/>
      <c r="AY5" s="17" t="s">
        <v>3</v>
      </c>
      <c r="AZ5" s="18">
        <f t="shared" ref="AZ5:BT5" si="1">SUM(AZ13:AZ656)</f>
        <v>210072.84</v>
      </c>
      <c r="BA5" s="18">
        <f t="shared" si="1"/>
        <v>209855.13</v>
      </c>
      <c r="BB5" s="18">
        <f t="shared" si="1"/>
        <v>135784.13</v>
      </c>
      <c r="BC5" s="18">
        <f t="shared" si="1"/>
        <v>74071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217.71</v>
      </c>
      <c r="BM5" s="18">
        <f t="shared" si="1"/>
        <v>217.71</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1878</v>
      </c>
      <c r="B6" s="2172"/>
      <c r="C6" s="2172"/>
      <c r="D6" s="2173"/>
      <c r="E6" s="16">
        <f>H6+AC6+AT6</f>
        <v>70334.789999999994</v>
      </c>
      <c r="F6" s="16" t="s">
        <v>1</v>
      </c>
      <c r="G6" s="16" t="s">
        <v>2</v>
      </c>
      <c r="H6" s="20">
        <f>SUMIF(I$12:AB$12,"总值",I6:AB6)</f>
        <v>69238.23</v>
      </c>
      <c r="I6" s="16">
        <f t="shared" ref="I6:AB6" si="2">ROUND($A$3*I5/$B$3,2)</f>
        <v>47749.09</v>
      </c>
      <c r="J6" s="16">
        <f t="shared" si="2"/>
        <v>9389.41</v>
      </c>
      <c r="K6" s="16">
        <f t="shared" si="2"/>
        <v>21489.14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1096.56</v>
      </c>
      <c r="AD6" s="16">
        <f t="shared" ref="AD6:AS6" si="3">ROUND($A$3*AD5/$B$3,2)</f>
        <v>1096.56</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60945.37</v>
      </c>
      <c r="AZ6" s="16" t="s">
        <v>3</v>
      </c>
      <c r="BA6" s="16">
        <f>ROUND($AY$6*BA5/$AZ$5,2)</f>
        <v>60882.21</v>
      </c>
      <c r="BB6" s="16">
        <f>ROUND($AY$6*BB5/$AZ$5,2)</f>
        <v>39393.07</v>
      </c>
      <c r="BC6" s="16">
        <f t="shared" ref="BC6:BH6" si="4">ROUND($AY$6*BC5/$AZ$5,2)</f>
        <v>21489.14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63.16</v>
      </c>
      <c r="BM6" s="16">
        <f t="shared" si="5"/>
        <v>63.16</v>
      </c>
      <c r="BN6" s="16">
        <f t="shared" si="5"/>
        <v>0</v>
      </c>
      <c r="BO6" s="16">
        <f t="shared" si="5"/>
        <v>0</v>
      </c>
      <c r="BP6" s="16">
        <f t="shared" si="5"/>
        <v>0</v>
      </c>
      <c r="BQ6" s="16">
        <f t="shared" si="5"/>
        <v>0</v>
      </c>
      <c r="BR6" s="16">
        <f t="shared" si="5"/>
        <v>0</v>
      </c>
      <c r="BS6" s="16">
        <f t="shared" si="5"/>
        <v>0</v>
      </c>
      <c r="BT6" s="22">
        <f t="shared" si="5"/>
        <v>0</v>
      </c>
    </row>
    <row r="7" spans="1:72" s="2165" customFormat="1" ht="24.75">
      <c r="A7" s="2108" t="s">
        <v>1879</v>
      </c>
      <c r="B7" s="2108" t="s">
        <v>1880</v>
      </c>
      <c r="C7" s="2108" t="s">
        <v>1881</v>
      </c>
      <c r="D7" s="2108" t="s">
        <v>1882</v>
      </c>
      <c r="E7" s="2108" t="s">
        <v>1883</v>
      </c>
      <c r="F7" s="2108"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1886</v>
      </c>
      <c r="AV7" s="23" t="s">
        <v>1887</v>
      </c>
      <c r="AW7" s="2164" t="s">
        <v>1888</v>
      </c>
      <c r="AX7" s="23" t="s">
        <v>1881</v>
      </c>
      <c r="AY7" s="1806"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21"/>
      <c r="K8" s="1821"/>
      <c r="L8" s="1821"/>
      <c r="M8" s="1821"/>
      <c r="N8" s="1821"/>
      <c r="O8" s="1821"/>
      <c r="P8" s="1821"/>
      <c r="Q8" s="1821"/>
      <c r="R8" s="1821"/>
      <c r="S8" s="1821"/>
      <c r="T8" s="1821"/>
      <c r="U8" s="1821"/>
      <c r="V8" s="2184"/>
      <c r="W8" s="1821"/>
      <c r="X8" s="1821"/>
      <c r="Y8" s="1821"/>
      <c r="Z8" s="1821"/>
      <c r="AA8" s="2184"/>
      <c r="AB8" s="2185"/>
      <c r="AC8" s="984" t="s">
        <v>1892</v>
      </c>
      <c r="AD8" s="2186"/>
      <c r="AE8" s="2178"/>
      <c r="AF8" s="1821"/>
      <c r="AG8" s="1821"/>
      <c r="AH8" s="1821"/>
      <c r="AI8" s="1821"/>
      <c r="AJ8" s="1821"/>
      <c r="AK8" s="1821"/>
      <c r="AL8" s="1821"/>
      <c r="AM8" s="1821"/>
      <c r="AN8" s="1821"/>
      <c r="AO8" s="1821"/>
      <c r="AP8" s="1821"/>
      <c r="AQ8" s="1821"/>
      <c r="AR8" s="1821"/>
      <c r="AS8" s="1821"/>
      <c r="AT8" s="1294" t="s">
        <v>1893</v>
      </c>
      <c r="AU8" s="2180" t="s">
        <v>1894</v>
      </c>
      <c r="AV8" s="1294"/>
      <c r="AW8" s="2163"/>
      <c r="AX8" s="1294"/>
      <c r="AY8" s="2164"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4"/>
      <c r="H9" s="2188" t="s">
        <v>1897</v>
      </c>
      <c r="I9" s="2189" t="s">
        <v>3075</v>
      </c>
      <c r="J9" s="984"/>
      <c r="K9" s="2189" t="s">
        <v>3078</v>
      </c>
      <c r="L9" s="984"/>
      <c r="M9" s="2189"/>
      <c r="N9" s="984"/>
      <c r="O9" s="2189"/>
      <c r="P9" s="984"/>
      <c r="Q9" s="2189"/>
      <c r="R9" s="984"/>
      <c r="S9" s="2189"/>
      <c r="T9" s="984"/>
      <c r="U9" s="2189"/>
      <c r="V9" s="984"/>
      <c r="W9" s="2189"/>
      <c r="X9" s="2190"/>
      <c r="Y9" s="2189"/>
      <c r="Z9" s="984"/>
      <c r="AA9" s="2189"/>
      <c r="AB9" s="984"/>
      <c r="AC9" s="2181"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1"/>
      <c r="AT9" s="2180"/>
      <c r="AU9" s="2180" t="s">
        <v>1900</v>
      </c>
      <c r="AV9" s="1294"/>
      <c r="AW9" s="2163"/>
      <c r="AX9" s="1294"/>
      <c r="AY9" s="28"/>
      <c r="AZ9" s="28" t="s">
        <v>1890</v>
      </c>
      <c r="BA9" s="2192" t="s">
        <v>1901</v>
      </c>
      <c r="BB9" s="2193"/>
      <c r="BC9" s="1340"/>
      <c r="BD9" s="1340"/>
      <c r="BE9" s="1340"/>
      <c r="BF9" s="1340"/>
      <c r="BG9" s="1340"/>
      <c r="BH9" s="1340"/>
      <c r="BI9" s="1340"/>
      <c r="BJ9" s="1340"/>
      <c r="BK9" s="2194"/>
      <c r="BL9" s="15" t="s">
        <v>1902</v>
      </c>
      <c r="BM9" s="1821"/>
      <c r="BN9" s="2183"/>
      <c r="BO9" s="1821"/>
      <c r="BP9" s="1821"/>
      <c r="BQ9" s="1821"/>
      <c r="BR9" s="1821"/>
      <c r="BS9" s="1821"/>
      <c r="BT9" s="26"/>
    </row>
    <row r="10" spans="1:72" s="2187" customFormat="1" ht="12.75">
      <c r="A10" s="2180"/>
      <c r="B10" s="2180"/>
      <c r="C10" s="2180"/>
      <c r="D10" s="2180"/>
      <c r="E10" s="2180"/>
      <c r="F10" s="2180"/>
      <c r="G10" s="1294"/>
      <c r="H10" s="28"/>
      <c r="I10" s="2189" t="s">
        <v>3076</v>
      </c>
      <c r="J10" s="984"/>
      <c r="K10" s="2195" t="s">
        <v>3079</v>
      </c>
      <c r="L10" s="984"/>
      <c r="M10" s="2195"/>
      <c r="N10" s="984"/>
      <c r="O10" s="2195"/>
      <c r="P10" s="984"/>
      <c r="Q10" s="2195"/>
      <c r="R10" s="984"/>
      <c r="S10" s="2195"/>
      <c r="T10" s="984"/>
      <c r="U10" s="2195"/>
      <c r="V10" s="984"/>
      <c r="W10" s="2195"/>
      <c r="X10" s="984"/>
      <c r="Y10" s="2195"/>
      <c r="Z10" s="984"/>
      <c r="AA10" s="2195"/>
      <c r="AB10" s="984"/>
      <c r="AC10" s="1294"/>
      <c r="AD10" s="15" t="s">
        <v>1903</v>
      </c>
      <c r="AE10" s="2196"/>
      <c r="AF10" s="15" t="s">
        <v>1903</v>
      </c>
      <c r="AG10" s="2196"/>
      <c r="AH10" s="15" t="s">
        <v>1904</v>
      </c>
      <c r="AI10" s="2196"/>
      <c r="AJ10" s="15" t="s">
        <v>1904</v>
      </c>
      <c r="AK10" s="2196"/>
      <c r="AL10" s="15" t="s">
        <v>1905</v>
      </c>
      <c r="AM10" s="1300"/>
      <c r="AN10" s="15" t="s">
        <v>1905</v>
      </c>
      <c r="AO10" s="1300"/>
      <c r="AP10" s="15" t="s">
        <v>1906</v>
      </c>
      <c r="AQ10" s="1300"/>
      <c r="AR10" s="15" t="s">
        <v>1906</v>
      </c>
      <c r="AS10" s="1300"/>
      <c r="AT10" s="2180"/>
      <c r="AU10" s="2180"/>
      <c r="AV10" s="1294"/>
      <c r="AW10" s="2163"/>
      <c r="AX10" s="1294"/>
      <c r="AY10" s="28"/>
      <c r="AZ10" s="28"/>
      <c r="BA10" s="2197" t="s">
        <v>1897</v>
      </c>
      <c r="BB10" s="2198" t="str">
        <f>I9</f>
        <v>地上</v>
      </c>
      <c r="BC10" s="29" t="str">
        <f>K9</f>
        <v>地下</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4"/>
      <c r="H11" s="2197"/>
      <c r="I11" s="2200" t="s">
        <v>3077</v>
      </c>
      <c r="J11" s="2201"/>
      <c r="K11" s="2200" t="s">
        <v>3079</v>
      </c>
      <c r="L11" s="2201"/>
      <c r="M11" s="2200"/>
      <c r="N11" s="2201"/>
      <c r="O11" s="2200"/>
      <c r="P11" s="2201"/>
      <c r="Q11" s="2200"/>
      <c r="R11" s="2201"/>
      <c r="S11" s="2200"/>
      <c r="T11" s="2201"/>
      <c r="U11" s="2200"/>
      <c r="V11" s="2201"/>
      <c r="W11" s="2200"/>
      <c r="X11" s="2201"/>
      <c r="Y11" s="2200"/>
      <c r="Z11" s="2201"/>
      <c r="AA11" s="2200"/>
      <c r="AB11" s="2201"/>
      <c r="AC11" s="1294"/>
      <c r="AD11" s="2202" t="s">
        <v>1907</v>
      </c>
      <c r="AE11" s="1822"/>
      <c r="AF11" s="2202" t="s">
        <v>1907</v>
      </c>
      <c r="AG11" s="1822"/>
      <c r="AH11" s="2202" t="s">
        <v>1908</v>
      </c>
      <c r="AI11" s="2203"/>
      <c r="AJ11" s="2202" t="s">
        <v>1908</v>
      </c>
      <c r="AK11" s="1822"/>
      <c r="AL11" s="1820"/>
      <c r="AM11" s="1822"/>
      <c r="AN11" s="1820"/>
      <c r="AO11" s="1822"/>
      <c r="AP11" s="1820"/>
      <c r="AQ11" s="1822"/>
      <c r="AR11" s="1820"/>
      <c r="AS11" s="1822"/>
      <c r="AT11" s="2163"/>
      <c r="AU11" s="2180"/>
      <c r="AV11" s="1294"/>
      <c r="AW11" s="2163"/>
      <c r="AX11" s="1294"/>
      <c r="AY11" s="28"/>
      <c r="AZ11" s="28"/>
      <c r="BA11" s="28"/>
      <c r="BB11" s="2185" t="str">
        <f>I10</f>
        <v>住宅</v>
      </c>
      <c r="BC11" s="2185" t="str">
        <f>K10</f>
        <v>车库</v>
      </c>
      <c r="BD11" s="2185">
        <f>M10</f>
        <v>0</v>
      </c>
      <c r="BE11" s="2185">
        <f>O10</f>
        <v>0</v>
      </c>
      <c r="BF11" s="2185">
        <f>Q10</f>
        <v>0</v>
      </c>
      <c r="BG11" s="2185">
        <f>S10</f>
        <v>0</v>
      </c>
      <c r="BH11" s="2185">
        <f>U10</f>
        <v>0</v>
      </c>
      <c r="BI11" s="2185">
        <f>W10</f>
        <v>0</v>
      </c>
      <c r="BJ11" s="2185">
        <f>Y10</f>
        <v>0</v>
      </c>
      <c r="BK11" s="2185">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07"/>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平层住宅</v>
      </c>
      <c r="BC12" s="2210" t="str">
        <f>K11</f>
        <v>车库</v>
      </c>
      <c r="BD12" s="2210">
        <f>M11</f>
        <v>0</v>
      </c>
      <c r="BE12" s="2185">
        <f>O11</f>
        <v>0</v>
      </c>
      <c r="BF12" s="2185">
        <f>Q11</f>
        <v>0</v>
      </c>
      <c r="BG12" s="2185">
        <f>S11</f>
        <v>0</v>
      </c>
      <c r="BH12" s="2185">
        <f>U11</f>
        <v>0</v>
      </c>
      <c r="BI12" s="2185">
        <f>W11</f>
        <v>0</v>
      </c>
      <c r="BJ12" s="2185">
        <f>Y11</f>
        <v>0</v>
      </c>
      <c r="BK12" s="2185">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1274" t="s">
        <v>3074</v>
      </c>
      <c r="D13" s="2211" t="s">
        <v>3060</v>
      </c>
      <c r="E13" s="16">
        <f>IF($C$3="是",ROUND($A$3*G13/$B$3,2),ROUND($A$3*(G13-AT13)/$B$3,2))</f>
        <v>297.95</v>
      </c>
      <c r="F13" s="32"/>
      <c r="G13" s="33">
        <f>H13+AC13+AT13</f>
        <v>1027.01</v>
      </c>
      <c r="H13" s="20">
        <f>SUMIF(I$12:AB$12,"总值",I13:AB13)</f>
        <v>0</v>
      </c>
      <c r="I13" s="2212"/>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1027.01</v>
      </c>
      <c r="AD13" s="2213">
        <v>1027.01</v>
      </c>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1号楼</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1274" t="s">
        <v>3080</v>
      </c>
      <c r="D14" s="2211" t="s">
        <v>3061</v>
      </c>
      <c r="E14" s="16">
        <f>IF($C$3="是",ROUND($A$3*G14/$B$3,2),ROUND($A$3*(G14-AT14)/$B$3,2))</f>
        <v>7202.18</v>
      </c>
      <c r="F14" s="32"/>
      <c r="G14" s="33">
        <f>H14+AC14+AT14</f>
        <v>24825.22</v>
      </c>
      <c r="H14" s="20">
        <f>SUMIF(I$12:AB$12,"总值",I14:AB14)</f>
        <v>24825.22</v>
      </c>
      <c r="I14" s="2212">
        <v>24825.22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2号楼</v>
      </c>
      <c r="AY14" s="1809">
        <f>ROUND($AY$6*AZ14/$AZ$5,2)</f>
        <v>7202.18</v>
      </c>
      <c r="AZ14" s="16">
        <f>BA14+BL14</f>
        <v>24825.22</v>
      </c>
      <c r="BA14" s="16">
        <f>SUM(BB14:BK14)</f>
        <v>24825.22</v>
      </c>
      <c r="BB14" s="16">
        <f>IF($D14="是",I14-J14,0)</f>
        <v>24825.22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1274" t="s">
        <v>3081</v>
      </c>
      <c r="D15" s="2211" t="s">
        <v>3061</v>
      </c>
      <c r="E15" s="16">
        <f>IF($C$3="是",ROUND($A$3*G15/$B$3,2),ROUND($A$3*(G15-AT15)/$B$3,2))</f>
        <v>5923.58</v>
      </c>
      <c r="F15" s="32"/>
      <c r="G15" s="33">
        <f>H15+AC15+AT15</f>
        <v>20418.02</v>
      </c>
      <c r="H15" s="20">
        <f>SUMIF(I$12:AB$12,"总值",I15:AB15)</f>
        <v>20418.02</v>
      </c>
      <c r="I15" s="2212">
        <v>20418.02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3号楼</v>
      </c>
      <c r="AY15" s="1809">
        <f>ROUND($AY$6*AZ15/$AZ$5,2)</f>
        <v>5923.58</v>
      </c>
      <c r="AZ15" s="16">
        <f>BA15+BL15</f>
        <v>20418.02</v>
      </c>
      <c r="BA15" s="16">
        <f>SUM(BB15:BK15)</f>
        <v>20418.02</v>
      </c>
      <c r="BB15" s="16">
        <f>IF($D15="是",I15-J15,0)</f>
        <v>20418.02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1274" t="s">
        <v>3082</v>
      </c>
      <c r="D16" s="2211" t="s">
        <v>3061</v>
      </c>
      <c r="E16" s="16">
        <f>IF($C$3="是",ROUND($A$3*G16/$B$3,2),ROUND($A$3*(G16-AT16)/$B$3,2))</f>
        <v>4178.01</v>
      </c>
      <c r="F16" s="32"/>
      <c r="G16" s="33">
        <f>H16+AC16+AT16</f>
        <v>14401.19</v>
      </c>
      <c r="H16" s="20">
        <f>SUMIF(I$12:AB$12,"总值",I16:AB16)</f>
        <v>14401.19</v>
      </c>
      <c r="I16" s="2212">
        <v>14401.19</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4号楼</v>
      </c>
      <c r="AY16" s="1809">
        <f>ROUND($AY$6*AZ16/$AZ$5,2)</f>
        <v>4178.01</v>
      </c>
      <c r="AZ16" s="16">
        <f>BA16+BL16</f>
        <v>14401.19</v>
      </c>
      <c r="BA16" s="16">
        <f>SUM(BB16:BK16)</f>
        <v>14401.19</v>
      </c>
      <c r="BB16" s="16">
        <f>IF($D16="是",I16-J16,0)</f>
        <v>14401.19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1274" t="s">
        <v>3083</v>
      </c>
      <c r="D17" s="2211" t="s">
        <v>3061</v>
      </c>
      <c r="E17" s="16">
        <f>IF($C$3="是",ROUND($A$3*G17/$B$3,2),ROUND($A$3*(G17-AT17)/$B$3,2))</f>
        <v>4178.01</v>
      </c>
      <c r="F17" s="32"/>
      <c r="G17" s="33">
        <f>H17+AC17+AT17</f>
        <v>14401.19</v>
      </c>
      <c r="H17" s="20">
        <f>SUMIF(I$12:AB$12,"总值",I17:AB17)</f>
        <v>14401.19</v>
      </c>
      <c r="I17" s="2212">
        <v>14401.19</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5号楼</v>
      </c>
      <c r="AY17" s="1809">
        <f>ROUND($AY$6*AZ17/$AZ$5,2)</f>
        <v>4178.01</v>
      </c>
      <c r="AZ17" s="16">
        <f>BA17+BL17</f>
        <v>14401.19</v>
      </c>
      <c r="BA17" s="16">
        <f>SUM(BB17:BK17)</f>
        <v>14401.19</v>
      </c>
      <c r="BB17" s="16">
        <f>IF($D17="是",I17-J17,0)</f>
        <v>14401.19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4" t="s">
        <v>3084</v>
      </c>
      <c r="D18" s="2216" t="s">
        <v>3061</v>
      </c>
      <c r="E18" s="35">
        <f t="shared" ref="E18:E112" si="7">IF($C$3="是",ROUND($A$3*G18/$B$3,2),ROUND($A$3*(G18-AT18)/$B$3,2))</f>
        <v>4228.66</v>
      </c>
      <c r="F18" s="36"/>
      <c r="G18" s="37">
        <f t="shared" ref="G18:G109" si="8">H18+AC18+AT18</f>
        <v>14575.77</v>
      </c>
      <c r="H18" s="38">
        <f t="shared" ref="H18:H109" si="9">SUMIF(I$12:AB$12,"总值",I18:AB18)</f>
        <v>14575.77</v>
      </c>
      <c r="I18" s="39">
        <v>14575.77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t="str">
        <f t="shared" ref="AX18:AX112" si="13">C18</f>
        <v>6号楼</v>
      </c>
      <c r="AY18" s="42">
        <f t="shared" ref="AY18:AY109" si="14">ROUND($AY$6*AZ18/$AZ$5,2)</f>
        <v>4228.66</v>
      </c>
      <c r="AZ18" s="35">
        <f t="shared" ref="AZ18:AZ109" si="15">BA18+BL18</f>
        <v>14575.77</v>
      </c>
      <c r="BA18" s="35">
        <f t="shared" ref="BA18:BA109" si="16">SUM(BB18:BK18)</f>
        <v>14575.77</v>
      </c>
      <c r="BB18" s="35">
        <f t="shared" ref="BB18:BB109" si="17">IF($D18="是",I18-J18,0)</f>
        <v>14575.77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3085</v>
      </c>
      <c r="D19" s="2216" t="s">
        <v>3061</v>
      </c>
      <c r="E19" s="35">
        <f t="shared" si="7"/>
        <v>6841.32</v>
      </c>
      <c r="F19" s="36"/>
      <c r="G19" s="37">
        <f t="shared" si="8"/>
        <v>23581.37</v>
      </c>
      <c r="H19" s="38">
        <f t="shared" si="9"/>
        <v>23581.37</v>
      </c>
      <c r="I19" s="39">
        <v>23581.37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t="str">
        <f t="shared" si="13"/>
        <v>7号楼</v>
      </c>
      <c r="AY19" s="42">
        <f t="shared" si="14"/>
        <v>6841.32</v>
      </c>
      <c r="AZ19" s="35">
        <f t="shared" si="15"/>
        <v>23581.37</v>
      </c>
      <c r="BA19" s="35">
        <f t="shared" si="16"/>
        <v>23581.37</v>
      </c>
      <c r="BB19" s="35">
        <f t="shared" si="17"/>
        <v>23581.37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3086</v>
      </c>
      <c r="D20" s="2216" t="s">
        <v>3061</v>
      </c>
      <c r="E20" s="35">
        <f t="shared" si="7"/>
        <v>6841.32</v>
      </c>
      <c r="F20" s="36"/>
      <c r="G20" s="37">
        <f t="shared" si="8"/>
        <v>23581.37</v>
      </c>
      <c r="H20" s="38">
        <f t="shared" si="9"/>
        <v>23581.37</v>
      </c>
      <c r="I20" s="39">
        <v>23581.37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t="str">
        <f t="shared" si="13"/>
        <v>8号楼</v>
      </c>
      <c r="AY20" s="42">
        <f t="shared" si="14"/>
        <v>6841.32</v>
      </c>
      <c r="AZ20" s="35">
        <f t="shared" si="15"/>
        <v>23581.37</v>
      </c>
      <c r="BA20" s="35">
        <f t="shared" si="16"/>
        <v>23581.37</v>
      </c>
      <c r="BB20" s="35">
        <f t="shared" si="17"/>
        <v>23581.37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3087</v>
      </c>
      <c r="D21" s="2216" t="s">
        <v>3061</v>
      </c>
      <c r="E21" s="35">
        <f t="shared" si="7"/>
        <v>63.16</v>
      </c>
      <c r="F21" s="36"/>
      <c r="G21" s="37">
        <f t="shared" si="8"/>
        <v>217.71</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217.71</v>
      </c>
      <c r="AD21" s="40">
        <v>217.71</v>
      </c>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t="str">
        <f t="shared" si="13"/>
        <v>9号楼</v>
      </c>
      <c r="AY21" s="42">
        <f t="shared" si="14"/>
        <v>63.16</v>
      </c>
      <c r="AZ21" s="35">
        <f t="shared" si="15"/>
        <v>217.71</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217.71</v>
      </c>
      <c r="BM21" s="35">
        <f t="shared" si="28"/>
        <v>217.71</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3088</v>
      </c>
      <c r="D22" s="2216" t="s">
        <v>3060</v>
      </c>
      <c r="E22" s="35">
        <f t="shared" si="7"/>
        <v>4178.01</v>
      </c>
      <c r="F22" s="36"/>
      <c r="G22" s="37">
        <f t="shared" si="8"/>
        <v>14401.19</v>
      </c>
      <c r="H22" s="38">
        <f t="shared" si="9"/>
        <v>14401.19</v>
      </c>
      <c r="I22" s="39">
        <v>14401.19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t="str">
        <f t="shared" si="13"/>
        <v>10号楼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3089</v>
      </c>
      <c r="D23" s="2216" t="s">
        <v>3060</v>
      </c>
      <c r="E23" s="35">
        <f t="shared" si="7"/>
        <v>4178.01</v>
      </c>
      <c r="F23" s="36"/>
      <c r="G23" s="37">
        <f t="shared" si="8"/>
        <v>14401.19</v>
      </c>
      <c r="H23" s="38">
        <f t="shared" si="9"/>
        <v>14401.19</v>
      </c>
      <c r="I23" s="39">
        <v>14401.19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t="str">
        <f t="shared" si="13"/>
        <v>11号楼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3090</v>
      </c>
      <c r="D24" s="2216" t="s">
        <v>3060</v>
      </c>
      <c r="E24" s="35">
        <f t="shared" si="7"/>
        <v>735.44</v>
      </c>
      <c r="F24" s="36"/>
      <c r="G24" s="37">
        <f t="shared" si="8"/>
        <v>2535</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2535</v>
      </c>
      <c r="AD24" s="40">
        <v>2535</v>
      </c>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t="str">
        <f t="shared" si="13"/>
        <v>12号楼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32" t="s">
        <v>3091</v>
      </c>
      <c r="D25" s="2216" t="s">
        <v>3061</v>
      </c>
      <c r="E25" s="35">
        <f t="shared" si="7"/>
        <v>21489.14</v>
      </c>
      <c r="F25" s="36"/>
      <c r="G25" s="37">
        <f t="shared" si="8"/>
        <v>82000</v>
      </c>
      <c r="H25" s="38">
        <f t="shared" si="9"/>
        <v>74071</v>
      </c>
      <c r="I25" s="39"/>
      <c r="J25" s="39"/>
      <c r="K25" s="39">
        <f>82000-AT25</f>
        <v>74071</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v>7929</v>
      </c>
      <c r="AU25" s="2217"/>
      <c r="AV25" s="1798">
        <f t="shared" si="11"/>
        <v>0</v>
      </c>
      <c r="AW25" s="1798">
        <f t="shared" si="12"/>
        <v>0</v>
      </c>
      <c r="AX25" s="1798" t="str">
        <f t="shared" si="13"/>
        <v>地下车库</v>
      </c>
      <c r="AY25" s="42">
        <f t="shared" si="14"/>
        <v>21489.14</v>
      </c>
      <c r="AZ25" s="35">
        <f t="shared" si="15"/>
        <v>74071</v>
      </c>
      <c r="BA25" s="35">
        <f t="shared" si="16"/>
        <v>74071</v>
      </c>
      <c r="BB25" s="35">
        <f t="shared" si="17"/>
        <v>0</v>
      </c>
      <c r="BC25" s="35">
        <f t="shared" si="18"/>
        <v>74071</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f>G13+G22+G23+G24</f>
        <v>32364.39</v>
      </c>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27" sqref="F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4"/>
      <c r="C1" s="1394"/>
      <c r="D1" s="1394"/>
      <c r="E1" s="1394"/>
      <c r="F1" s="1394"/>
      <c r="G1" s="1394"/>
      <c r="H1" s="1394"/>
      <c r="I1" s="1394"/>
      <c r="J1" s="1394"/>
      <c r="K1" s="1394"/>
      <c r="L1" s="1394"/>
      <c r="M1" s="1394"/>
      <c r="N1" s="1394"/>
      <c r="O1" s="1394"/>
      <c r="P1" s="1394"/>
    </row>
    <row r="2" spans="1:16" ht="15">
      <c r="A2" s="3040" t="s">
        <v>1937</v>
      </c>
      <c r="B2" s="3040"/>
      <c r="C2" s="3040"/>
      <c r="D2" s="970" t="s">
        <v>1913</v>
      </c>
      <c r="E2" s="2225" t="s">
        <v>1914</v>
      </c>
      <c r="F2" s="1394"/>
      <c r="G2" s="2226"/>
      <c r="H2" s="2227"/>
      <c r="I2" s="2228" t="s">
        <v>1938</v>
      </c>
      <c r="J2" s="1394"/>
      <c r="K2" s="1394"/>
      <c r="L2" s="1394"/>
      <c r="M2" s="1394"/>
      <c r="N2" s="1429"/>
      <c r="O2" s="1394"/>
      <c r="P2" s="1394"/>
    </row>
    <row r="3" spans="1:16" ht="15.75" thickBot="1">
      <c r="A3" s="3041" t="s">
        <v>1911</v>
      </c>
      <c r="B3" s="3041"/>
      <c r="C3" s="3041"/>
      <c r="D3" s="46">
        <f>'数据-基础表'!AY6</f>
        <v>60945.37</v>
      </c>
      <c r="E3" s="46">
        <f>'数据-基础表'!AZ5</f>
        <v>210072.84</v>
      </c>
      <c r="F3" s="1394"/>
      <c r="G3" s="1401"/>
      <c r="H3" s="1249" t="s">
        <v>1912</v>
      </c>
      <c r="I3" s="55">
        <f>ROUND('数据-基础表'!B3/'数据-基础表'!A3,2)</f>
        <v>3.45</v>
      </c>
      <c r="J3" s="1394"/>
      <c r="K3" s="1394"/>
      <c r="L3" s="1394"/>
      <c r="M3" s="1394"/>
      <c r="N3" s="1429"/>
      <c r="O3" s="1394"/>
      <c r="P3" s="1394"/>
    </row>
    <row r="4" spans="1:16" ht="15">
      <c r="A4" s="3042"/>
      <c r="B4" s="3043"/>
      <c r="C4" s="3044"/>
      <c r="D4" s="2229" t="s">
        <v>1913</v>
      </c>
      <c r="E4" s="2230" t="s">
        <v>1914</v>
      </c>
      <c r="F4" s="1394"/>
      <c r="G4" s="2231" t="s">
        <v>1939</v>
      </c>
      <c r="H4" s="1249" t="s">
        <v>1919</v>
      </c>
      <c r="I4" s="55">
        <f>ROUND(SUMIF('数据-基础表'!I9:AS9,"地上",'数据-基础表'!I5:AS5)/'数据-基础表'!A3,2)</f>
        <v>2.39</v>
      </c>
      <c r="J4" s="1394"/>
      <c r="K4" s="1394"/>
      <c r="L4" s="1394"/>
      <c r="M4" s="1394"/>
      <c r="N4" s="1429"/>
      <c r="O4" s="1394"/>
      <c r="P4" s="1394"/>
    </row>
    <row r="5" spans="1:16">
      <c r="A5" s="47" t="s">
        <v>1915</v>
      </c>
      <c r="B5" s="3045" t="s">
        <v>1916</v>
      </c>
      <c r="C5" s="3045"/>
      <c r="D5" s="48">
        <f>ROUND($D$3*E5/$E$3,2)</f>
        <v>39393.07</v>
      </c>
      <c r="E5" s="49">
        <f>SUMIF('数据-基础表'!$11:$11,"住宅",'数据-基础表'!$5:$5)</f>
        <v>135784.13</v>
      </c>
      <c r="F5" s="1394"/>
      <c r="G5" s="1401"/>
      <c r="H5" s="1249" t="s">
        <v>1912</v>
      </c>
      <c r="I5" s="55">
        <f>ROUND(E31/D31,2)</f>
        <v>3.45</v>
      </c>
      <c r="J5" s="1394"/>
      <c r="K5" s="1394"/>
      <c r="L5" s="1394"/>
      <c r="M5" s="1394"/>
      <c r="N5" s="1394"/>
      <c r="O5" s="1394"/>
      <c r="P5" s="1394"/>
    </row>
    <row r="6" spans="1:16" ht="15" thickBot="1">
      <c r="A6" s="2232"/>
      <c r="B6" s="3045" t="s">
        <v>1917</v>
      </c>
      <c r="C6" s="3045"/>
      <c r="D6" s="48">
        <f>ROUND($D$3*E6/$E$3,2)</f>
        <v>21552.3</v>
      </c>
      <c r="E6" s="49">
        <f>E3-E5</f>
        <v>74288.709999999992</v>
      </c>
      <c r="F6" s="1394"/>
      <c r="G6" s="2233" t="s">
        <v>1918</v>
      </c>
      <c r="H6" s="1401" t="s">
        <v>1919</v>
      </c>
      <c r="I6" s="942">
        <f>ROUND(F31/D31,2)</f>
        <v>2.23</v>
      </c>
      <c r="J6" s="1394"/>
      <c r="K6" s="1394"/>
      <c r="L6" s="1394"/>
      <c r="M6" s="1394"/>
      <c r="N6" s="1394"/>
      <c r="O6" s="1394"/>
      <c r="P6" s="1394"/>
    </row>
    <row r="7" spans="1:16" ht="15">
      <c r="A7" s="3037"/>
      <c r="B7" s="3038"/>
      <c r="C7" s="3039"/>
      <c r="D7" s="2229" t="s">
        <v>1913</v>
      </c>
      <c r="E7" s="2234" t="s">
        <v>1920</v>
      </c>
      <c r="F7" s="1394"/>
      <c r="G7" s="2226" t="s">
        <v>1921</v>
      </c>
      <c r="H7" s="63"/>
      <c r="I7" s="420"/>
      <c r="J7" s="1394"/>
      <c r="K7" s="1394"/>
      <c r="L7" s="1394"/>
      <c r="M7" s="1394"/>
      <c r="N7" s="1394"/>
      <c r="O7" s="1394"/>
      <c r="P7" s="1394"/>
    </row>
    <row r="8" spans="1:16">
      <c r="A8" s="47" t="s">
        <v>1922</v>
      </c>
      <c r="B8" s="50" t="s">
        <v>1923</v>
      </c>
      <c r="C8" s="48" t="s">
        <v>1924</v>
      </c>
      <c r="D8" s="48">
        <f t="shared" ref="D8:D15" si="0">ROUND($D$3*E8/$E$3,2)</f>
        <v>39393.07</v>
      </c>
      <c r="E8" s="51">
        <f>SUMIF('数据-基础表'!BB10:BK10,"地上",'数据-基础表'!BB5:BK5)</f>
        <v>135784.13</v>
      </c>
      <c r="F8" s="1394"/>
      <c r="G8" s="2235"/>
      <c r="H8" s="2235"/>
      <c r="I8" s="1394"/>
      <c r="J8" s="1394"/>
      <c r="K8" s="1394"/>
      <c r="L8" s="1394"/>
      <c r="M8" s="1394"/>
      <c r="N8" s="1394"/>
      <c r="O8" s="1394"/>
      <c r="P8" s="1394"/>
    </row>
    <row r="9" spans="1:16">
      <c r="A9" s="2236"/>
      <c r="B9" s="2237"/>
      <c r="C9" s="48" t="s">
        <v>1925</v>
      </c>
      <c r="D9" s="48">
        <f t="shared" si="0"/>
        <v>0</v>
      </c>
      <c r="E9" s="52">
        <v>0</v>
      </c>
      <c r="F9" s="1394"/>
      <c r="G9" s="2235"/>
      <c r="H9" s="2235"/>
      <c r="I9" s="1394"/>
      <c r="J9" s="1394"/>
      <c r="K9" s="1394"/>
      <c r="L9" s="1394"/>
      <c r="M9" s="1394"/>
      <c r="N9" s="1394"/>
      <c r="O9" s="1394"/>
      <c r="P9" s="1394"/>
    </row>
    <row r="10" spans="1:16">
      <c r="A10" s="2236"/>
      <c r="B10" s="2237"/>
      <c r="C10" s="48" t="s">
        <v>1934</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1926</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1927</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1928</v>
      </c>
      <c r="D13" s="48">
        <f t="shared" si="0"/>
        <v>21489.14</v>
      </c>
      <c r="E13" s="51">
        <f>SUMPRODUCT(('数据-基础表'!BB10:BK10="地下")*('数据-基础表'!BB11:BK11="车库")*('数据-基础表'!BB5:BK5))</f>
        <v>74071</v>
      </c>
      <c r="F13" s="1394"/>
      <c r="G13" s="2235"/>
      <c r="H13" s="2235"/>
      <c r="I13" s="1394"/>
      <c r="J13" s="1394"/>
      <c r="K13" s="1394"/>
      <c r="L13" s="1394"/>
      <c r="M13" s="1394"/>
      <c r="N13" s="1394"/>
      <c r="O13" s="1394"/>
      <c r="P13" s="1394"/>
    </row>
    <row r="14" spans="1:16">
      <c r="A14" s="2236"/>
      <c r="B14" s="2237"/>
      <c r="C14" s="48" t="s">
        <v>1940</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1935</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1929</v>
      </c>
      <c r="D16" s="50">
        <f>SUM(D8:D15)</f>
        <v>60882.21</v>
      </c>
      <c r="E16" s="53">
        <f>SUM(E8:E15)</f>
        <v>209855.13</v>
      </c>
      <c r="F16" s="1394"/>
      <c r="G16" s="2235"/>
      <c r="H16" s="2238" t="s">
        <v>1941</v>
      </c>
      <c r="I16" s="2239"/>
      <c r="J16" s="1394"/>
      <c r="K16" s="3034" t="s">
        <v>1941</v>
      </c>
      <c r="L16" s="3035"/>
      <c r="M16" s="3035"/>
      <c r="N16" s="3035"/>
      <c r="O16" s="3035"/>
      <c r="P16" s="3036"/>
    </row>
    <row r="17" spans="1:19" ht="15">
      <c r="A17" s="2240" t="s">
        <v>1942</v>
      </c>
      <c r="B17" s="2241" t="s">
        <v>1943</v>
      </c>
      <c r="C17" s="2242" t="s">
        <v>1944</v>
      </c>
      <c r="D17" s="2243" t="s">
        <v>1932</v>
      </c>
      <c r="E17" s="2244" t="s">
        <v>1933</v>
      </c>
      <c r="F17" s="2245"/>
      <c r="G17" s="2246"/>
      <c r="H17" s="2247" t="s">
        <v>1945</v>
      </c>
      <c r="I17" s="2248" t="s">
        <v>1930</v>
      </c>
      <c r="J17" s="1394"/>
      <c r="K17" s="3031" t="s">
        <v>1946</v>
      </c>
      <c r="L17" s="3032"/>
      <c r="M17" s="3033"/>
      <c r="N17" s="3031" t="s">
        <v>1947</v>
      </c>
      <c r="O17" s="3032"/>
      <c r="P17" s="3033"/>
      <c r="R17" s="2226" t="s">
        <v>1948</v>
      </c>
      <c r="S17" s="63"/>
    </row>
    <row r="18" spans="1:19" ht="15">
      <c r="A18" s="2236"/>
      <c r="B18" s="2249"/>
      <c r="C18" s="2250"/>
      <c r="D18" s="2251"/>
      <c r="E18" s="2252" t="s">
        <v>1949</v>
      </c>
      <c r="F18" s="2253" t="s">
        <v>1950</v>
      </c>
      <c r="G18" s="2254" t="s">
        <v>1951</v>
      </c>
      <c r="H18" s="1264" t="s">
        <v>1952</v>
      </c>
      <c r="I18" s="2255" t="s">
        <v>1953</v>
      </c>
      <c r="J18" s="1394"/>
      <c r="K18" s="1264" t="s">
        <v>1954</v>
      </c>
      <c r="L18" s="2256" t="s">
        <v>1955</v>
      </c>
      <c r="M18" s="1049" t="s">
        <v>1956</v>
      </c>
      <c r="N18" s="1264" t="s">
        <v>1954</v>
      </c>
      <c r="O18" s="2256" t="s">
        <v>1955</v>
      </c>
      <c r="P18" s="1049" t="s">
        <v>1956</v>
      </c>
      <c r="R18" s="1249" t="s">
        <v>1957</v>
      </c>
      <c r="S18" s="1249" t="s">
        <v>1958</v>
      </c>
    </row>
    <row r="19" spans="1:19">
      <c r="A19" s="2257"/>
      <c r="B19" s="50" t="s">
        <v>1931</v>
      </c>
      <c r="C19" s="2933" t="s">
        <v>3094</v>
      </c>
      <c r="D19" s="48">
        <f>ROUND($D$3*E19/$E$3,2)</f>
        <v>7202.18</v>
      </c>
      <c r="E19" s="56">
        <f t="shared" ref="E19:E25" si="1">SUM(F19:G19)</f>
        <v>24825.22</v>
      </c>
      <c r="F19" s="57">
        <f>'数据-基础表'!I14</f>
        <v>24825.22</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7202.18</v>
      </c>
      <c r="S19" s="1250">
        <f t="shared" si="5"/>
        <v>24825.22</v>
      </c>
    </row>
    <row r="20" spans="1:19">
      <c r="A20" s="2261"/>
      <c r="B20" s="50" t="s">
        <v>1959</v>
      </c>
      <c r="C20" s="2933" t="s">
        <v>3098</v>
      </c>
      <c r="D20" s="48">
        <f t="shared" ref="D20:D26" si="6">ROUND($D$3*E20/$E$3,2)</f>
        <v>5923.58</v>
      </c>
      <c r="E20" s="56">
        <f t="shared" si="1"/>
        <v>20418.02</v>
      </c>
      <c r="F20" s="57">
        <f>'数据-基础表'!I15</f>
        <v>20418.02</v>
      </c>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5923.58</v>
      </c>
      <c r="S20" s="1250">
        <f t="shared" si="5"/>
        <v>20418.02</v>
      </c>
    </row>
    <row r="21" spans="1:19">
      <c r="A21" s="2261"/>
      <c r="B21" s="50" t="s">
        <v>1959</v>
      </c>
      <c r="C21" s="2258" t="s">
        <v>3099</v>
      </c>
      <c r="D21" s="48">
        <f t="shared" si="6"/>
        <v>4178.01</v>
      </c>
      <c r="E21" s="56">
        <f t="shared" si="1"/>
        <v>14401.19</v>
      </c>
      <c r="F21" s="57">
        <f>'数据-基础表'!I16</f>
        <v>14401.19</v>
      </c>
      <c r="G21" s="58"/>
      <c r="H21" s="723">
        <f t="shared" si="7"/>
        <v>0</v>
      </c>
      <c r="I21" s="51">
        <f t="shared" si="2"/>
        <v>0</v>
      </c>
      <c r="J21" s="1394"/>
      <c r="K21" s="1393">
        <f t="shared" si="3"/>
        <v>0</v>
      </c>
      <c r="L21" s="1249">
        <f t="shared" si="4"/>
        <v>0</v>
      </c>
      <c r="M21" s="1405">
        <f t="shared" si="8"/>
        <v>0</v>
      </c>
      <c r="N21" s="2259"/>
      <c r="O21" s="2260"/>
      <c r="P21" s="1405">
        <f t="shared" si="9"/>
        <v>0</v>
      </c>
      <c r="R21" s="1249">
        <f t="shared" si="5"/>
        <v>4178.01</v>
      </c>
      <c r="S21" s="1250">
        <f t="shared" si="5"/>
        <v>14401.19</v>
      </c>
    </row>
    <row r="22" spans="1:19">
      <c r="A22" s="2261"/>
      <c r="B22" s="50" t="s">
        <v>1959</v>
      </c>
      <c r="C22" s="60" t="s">
        <v>3095</v>
      </c>
      <c r="D22" s="48">
        <f t="shared" si="6"/>
        <v>4178.01</v>
      </c>
      <c r="E22" s="56">
        <f t="shared" si="1"/>
        <v>14401.19</v>
      </c>
      <c r="F22" s="61">
        <f>'数据-基础表'!I17</f>
        <v>14401.19</v>
      </c>
      <c r="G22" s="62"/>
      <c r="H22" s="723">
        <f t="shared" si="7"/>
        <v>0</v>
      </c>
      <c r="I22" s="51">
        <f t="shared" si="2"/>
        <v>0</v>
      </c>
      <c r="J22" s="1394"/>
      <c r="K22" s="1393">
        <f t="shared" si="3"/>
        <v>0</v>
      </c>
      <c r="L22" s="1249">
        <f t="shared" si="4"/>
        <v>0</v>
      </c>
      <c r="M22" s="1405">
        <f t="shared" si="8"/>
        <v>0</v>
      </c>
      <c r="N22" s="2259"/>
      <c r="O22" s="2260"/>
      <c r="P22" s="1405">
        <f t="shared" si="9"/>
        <v>0</v>
      </c>
      <c r="R22" s="1249">
        <f t="shared" si="5"/>
        <v>4178.01</v>
      </c>
      <c r="S22" s="1250">
        <f t="shared" si="5"/>
        <v>14401.19</v>
      </c>
    </row>
    <row r="23" spans="1:19">
      <c r="A23" s="2261"/>
      <c r="B23" s="50" t="s">
        <v>1959</v>
      </c>
      <c r="C23" s="60" t="s">
        <v>3096</v>
      </c>
      <c r="D23" s="48">
        <f>ROUND($D$3*E23/$E$3,2)</f>
        <v>4228.66</v>
      </c>
      <c r="E23" s="56">
        <f>SUM(F23:G23)</f>
        <v>14575.77</v>
      </c>
      <c r="F23" s="61">
        <f>'数据-基础表'!I18</f>
        <v>14575.77</v>
      </c>
      <c r="G23" s="62"/>
      <c r="H23" s="723">
        <f>ROUND($D$3*I23/$E$3,2)</f>
        <v>0</v>
      </c>
      <c r="I23" s="51">
        <f t="shared" si="2"/>
        <v>0</v>
      </c>
      <c r="J23" s="1394"/>
      <c r="K23" s="1393">
        <f t="shared" si="3"/>
        <v>0</v>
      </c>
      <c r="L23" s="1249">
        <f t="shared" si="4"/>
        <v>0</v>
      </c>
      <c r="M23" s="1405">
        <f t="shared" si="8"/>
        <v>0</v>
      </c>
      <c r="N23" s="2259"/>
      <c r="O23" s="2260"/>
      <c r="P23" s="1405">
        <f t="shared" si="9"/>
        <v>0</v>
      </c>
      <c r="R23" s="1249">
        <f t="shared" si="5"/>
        <v>4228.66</v>
      </c>
      <c r="S23" s="1250">
        <f t="shared" si="5"/>
        <v>14575.77</v>
      </c>
    </row>
    <row r="24" spans="1:19">
      <c r="A24" s="2261"/>
      <c r="B24" s="50" t="s">
        <v>1959</v>
      </c>
      <c r="C24" s="60" t="s">
        <v>3100</v>
      </c>
      <c r="D24" s="48">
        <f>ROUND($D$3*E24/$E$3,2)</f>
        <v>6841.32</v>
      </c>
      <c r="E24" s="56">
        <f>SUM(F24:G24)</f>
        <v>23581.37</v>
      </c>
      <c r="F24" s="61">
        <f>'数据-基础表'!I19</f>
        <v>23581.37</v>
      </c>
      <c r="G24" s="62"/>
      <c r="H24" s="723">
        <f>ROUND($D$3*I24/$E$3,2)</f>
        <v>0</v>
      </c>
      <c r="I24" s="51">
        <f t="shared" si="2"/>
        <v>0</v>
      </c>
      <c r="J24" s="1394"/>
      <c r="K24" s="1393">
        <f t="shared" si="3"/>
        <v>0</v>
      </c>
      <c r="L24" s="1249">
        <f t="shared" si="4"/>
        <v>0</v>
      </c>
      <c r="M24" s="1405">
        <f t="shared" si="8"/>
        <v>0</v>
      </c>
      <c r="N24" s="2259"/>
      <c r="O24" s="2260"/>
      <c r="P24" s="1405">
        <f t="shared" si="9"/>
        <v>0</v>
      </c>
      <c r="R24" s="1249">
        <f t="shared" si="5"/>
        <v>6841.32</v>
      </c>
      <c r="S24" s="1250">
        <f t="shared" si="5"/>
        <v>23581.37</v>
      </c>
    </row>
    <row r="25" spans="1:19">
      <c r="A25" s="2261"/>
      <c r="B25" s="50" t="s">
        <v>1959</v>
      </c>
      <c r="C25" s="60" t="s">
        <v>3101</v>
      </c>
      <c r="D25" s="48">
        <f t="shared" si="6"/>
        <v>6841.32</v>
      </c>
      <c r="E25" s="56">
        <f t="shared" si="1"/>
        <v>23581.37</v>
      </c>
      <c r="F25" s="61">
        <f>'数据-基础表'!I20</f>
        <v>23581.37</v>
      </c>
      <c r="G25" s="62"/>
      <c r="H25" s="47">
        <f t="shared" si="7"/>
        <v>0</v>
      </c>
      <c r="I25" s="51">
        <f t="shared" si="2"/>
        <v>0</v>
      </c>
      <c r="J25" s="1394"/>
      <c r="K25" s="1393">
        <f t="shared" si="3"/>
        <v>0</v>
      </c>
      <c r="L25" s="1249">
        <f t="shared" si="4"/>
        <v>0</v>
      </c>
      <c r="M25" s="1405">
        <f t="shared" si="8"/>
        <v>0</v>
      </c>
      <c r="N25" s="2259"/>
      <c r="O25" s="2260"/>
      <c r="P25" s="1405">
        <f t="shared" si="9"/>
        <v>0</v>
      </c>
      <c r="R25" s="1249">
        <f t="shared" si="5"/>
        <v>6841.32</v>
      </c>
      <c r="S25" s="1250">
        <f t="shared" si="5"/>
        <v>23581.37</v>
      </c>
    </row>
    <row r="26" spans="1:19">
      <c r="A26" s="2261"/>
      <c r="B26" s="50" t="s">
        <v>1959</v>
      </c>
      <c r="C26" s="2935" t="s">
        <v>3092</v>
      </c>
      <c r="D26" s="48">
        <f t="shared" si="6"/>
        <v>21489.14</v>
      </c>
      <c r="E26" s="56">
        <f>SUM(F26:G26)</f>
        <v>74071</v>
      </c>
      <c r="F26" s="61"/>
      <c r="G26" s="58">
        <f>'数据-基础表'!K25</f>
        <v>74071</v>
      </c>
      <c r="H26" s="47">
        <f t="shared" si="7"/>
        <v>0</v>
      </c>
      <c r="I26" s="51">
        <f t="shared" si="2"/>
        <v>0</v>
      </c>
      <c r="J26" s="1394"/>
      <c r="K26" s="1400">
        <f t="shared" si="3"/>
        <v>0</v>
      </c>
      <c r="L26" s="1401">
        <f t="shared" si="4"/>
        <v>0</v>
      </c>
      <c r="M26" s="66">
        <f t="shared" si="8"/>
        <v>0</v>
      </c>
      <c r="N26" s="2262"/>
      <c r="O26" s="2263"/>
      <c r="P26" s="66">
        <f t="shared" si="9"/>
        <v>0</v>
      </c>
      <c r="R26" s="1249">
        <f t="shared" si="5"/>
        <v>21489.14</v>
      </c>
      <c r="S26" s="1250">
        <f t="shared" si="5"/>
        <v>74071</v>
      </c>
    </row>
    <row r="27" spans="1:19" ht="43.5" thickBot="1">
      <c r="A27" s="2261"/>
      <c r="B27" s="48"/>
      <c r="C27" s="2264" t="s">
        <v>1960</v>
      </c>
      <c r="D27" s="1395">
        <f>SUM(D19:D26)</f>
        <v>60882.22</v>
      </c>
      <c r="E27" s="1396">
        <f>IF(SUM(E19:E26)='数据-基础表'!BA5,SUM(E19:E26),IF(F27="地上面积有误","面积有误","地下面积有误"))</f>
        <v>209855.13</v>
      </c>
      <c r="F27" s="1395">
        <f>IF(SUM(F19:F26)=E8,SUM(F19:F26),"地上面积有误")</f>
        <v>135784.13</v>
      </c>
      <c r="G27" s="1397">
        <f>SUM(G19:G26)</f>
        <v>74071</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t="str">
        <f>IF(SUM(R19:R26)=$D$3,SUM(R19:R26),SUM(R19:R26)&amp;"误差"&amp;ROUND(SUM(R19:R26)-$D$3,2))</f>
        <v>60882.22误差-63.15</v>
      </c>
      <c r="S27" s="1249" t="str">
        <f>IF(SUM(S19:S26)=$E$3,SUM(S19:S26),SUM(S19:S26)&amp;"误差"&amp;ROUND(SUM(S19:S26)-E3,2))</f>
        <v>209855.13误差-217.71</v>
      </c>
    </row>
    <row r="28" spans="1:19">
      <c r="A28" s="2261"/>
      <c r="B28" s="50" t="s">
        <v>1961</v>
      </c>
      <c r="C28" s="1261" t="s">
        <v>1962</v>
      </c>
      <c r="D28" s="48">
        <f>ROUND($D$3*E28/$E$3,2)</f>
        <v>0</v>
      </c>
      <c r="E28" s="56">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1"/>
      <c r="B29" s="50" t="s">
        <v>1961</v>
      </c>
      <c r="C29" s="2265" t="s">
        <v>1963</v>
      </c>
      <c r="D29" s="48">
        <f>ROUND($D$3*E29/$E$3,2)</f>
        <v>63.16</v>
      </c>
      <c r="E29" s="56">
        <f>SUM(F29:G29)</f>
        <v>217.71</v>
      </c>
      <c r="F29" s="65">
        <f>'数据-基础表'!BM5+'数据-基础表'!BO5</f>
        <v>217.71</v>
      </c>
      <c r="G29" s="66">
        <f>'数据-基础表'!BN5+'数据-基础表'!BP5</f>
        <v>0</v>
      </c>
      <c r="H29" s="1394"/>
      <c r="I29" s="1394"/>
      <c r="J29" s="1394"/>
      <c r="K29" s="1394"/>
      <c r="L29" s="1394"/>
      <c r="M29" s="1394"/>
      <c r="N29" s="1394"/>
      <c r="O29" s="1394"/>
      <c r="P29" s="1394"/>
    </row>
    <row r="30" spans="1:19" ht="15">
      <c r="A30" s="2261"/>
      <c r="B30" s="50"/>
      <c r="C30" s="2266" t="s">
        <v>1960</v>
      </c>
      <c r="D30" s="1395">
        <f>SUM(D28:D29)</f>
        <v>63.16</v>
      </c>
      <c r="E30" s="1395">
        <f>SUM(E28:E29)</f>
        <v>217.71</v>
      </c>
      <c r="F30" s="1395">
        <f>SUM(F28:F29)</f>
        <v>217.71</v>
      </c>
      <c r="G30" s="1397">
        <f>SUM(G28:G29)</f>
        <v>0</v>
      </c>
      <c r="H30" s="1394"/>
      <c r="I30" s="1394"/>
      <c r="J30" s="1394"/>
      <c r="K30" s="1394"/>
      <c r="L30" s="1394"/>
      <c r="M30" s="1394"/>
      <c r="N30" s="1394"/>
      <c r="O30" s="1394"/>
      <c r="P30" s="1394"/>
    </row>
    <row r="31" spans="1:19" ht="15.75" thickBot="1">
      <c r="A31" s="2267"/>
      <c r="B31" s="2268"/>
      <c r="C31" s="1010" t="s">
        <v>1964</v>
      </c>
      <c r="D31" s="729">
        <f>D27+D30</f>
        <v>60945.380000000005</v>
      </c>
      <c r="E31" s="729">
        <f>E27+E30</f>
        <v>210072.84</v>
      </c>
      <c r="F31" s="730">
        <f>F27+F30</f>
        <v>136001.84</v>
      </c>
      <c r="G31" s="731">
        <f>G27+G30</f>
        <v>74071</v>
      </c>
      <c r="H31" s="1394"/>
      <c r="I31" s="1394"/>
      <c r="J31" s="1394"/>
      <c r="K31" s="1394"/>
      <c r="L31" s="1394"/>
      <c r="M31" s="1394"/>
      <c r="N31" s="1394"/>
      <c r="O31" s="1394"/>
      <c r="P31" s="1394"/>
    </row>
    <row r="32" spans="1:19">
      <c r="A32" s="2231"/>
      <c r="B32" s="2231" t="s">
        <v>1965</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F12"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1966</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1967</v>
      </c>
      <c r="B2" s="1268">
        <f>项目基本情况!D3</f>
        <v>43025</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7" t="s">
        <v>1968</v>
      </c>
      <c r="B4" s="2279"/>
      <c r="C4" s="2280"/>
      <c r="D4" s="2281"/>
      <c r="E4" s="2280" t="s">
        <v>1969</v>
      </c>
      <c r="F4" s="2280"/>
      <c r="G4" s="2280"/>
      <c r="H4" s="2280"/>
      <c r="I4" s="2280"/>
      <c r="J4" s="2282"/>
      <c r="K4" s="2283"/>
      <c r="L4" s="2284"/>
      <c r="M4" s="2280"/>
      <c r="N4" s="2280" t="s">
        <v>1970</v>
      </c>
      <c r="O4" s="2280"/>
      <c r="P4" s="2280"/>
      <c r="Q4" s="2280"/>
      <c r="R4" s="2280"/>
      <c r="S4" s="2282"/>
      <c r="T4" s="2285" t="str">
        <f>'数据-汇总表'!I17</f>
        <v>按面积比例</v>
      </c>
      <c r="U4" s="2279" t="s">
        <v>1971</v>
      </c>
      <c r="V4" s="2280"/>
      <c r="W4" s="2280"/>
      <c r="X4" s="2280"/>
      <c r="Y4" s="2282"/>
      <c r="Z4" s="2242" t="s">
        <v>1972</v>
      </c>
      <c r="AA4" s="2242"/>
      <c r="AB4" s="2242"/>
      <c r="AC4" s="2242"/>
      <c r="AD4" s="2242"/>
      <c r="AE4" s="2240" t="s">
        <v>1973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1974</v>
      </c>
      <c r="B5" s="2288" t="s">
        <v>1975</v>
      </c>
      <c r="C5" s="2289" t="s">
        <v>1976</v>
      </c>
      <c r="D5" s="2290" t="s">
        <v>1977</v>
      </c>
      <c r="E5" s="1270" t="s">
        <v>1978</v>
      </c>
      <c r="F5" s="2291" t="s">
        <v>1979</v>
      </c>
      <c r="G5" s="1270" t="s">
        <v>1980</v>
      </c>
      <c r="H5" s="1270" t="s">
        <v>1981</v>
      </c>
      <c r="I5" s="1270" t="s">
        <v>1982</v>
      </c>
      <c r="J5" s="2292" t="s">
        <v>1983</v>
      </c>
      <c r="K5" s="2293" t="s">
        <v>1984</v>
      </c>
      <c r="L5" s="2294" t="s">
        <v>1985</v>
      </c>
      <c r="M5" s="2295" t="s">
        <v>1986</v>
      </c>
      <c r="N5" s="2296" t="s">
        <v>1987</v>
      </c>
      <c r="O5" s="2294" t="s">
        <v>1988</v>
      </c>
      <c r="P5" s="2297" t="s">
        <v>1989</v>
      </c>
      <c r="Q5" s="68" t="s">
        <v>1990</v>
      </c>
      <c r="R5" s="2298" t="s">
        <v>1991</v>
      </c>
      <c r="S5" s="2299" t="s">
        <v>1992</v>
      </c>
      <c r="T5" s="2300" t="s">
        <v>1993</v>
      </c>
      <c r="U5" s="1269" t="s">
        <v>1994</v>
      </c>
      <c r="V5" s="1270" t="s">
        <v>1995</v>
      </c>
      <c r="W5" s="1270" t="s">
        <v>1996</v>
      </c>
      <c r="X5" s="70"/>
      <c r="Y5" s="69" t="s">
        <v>1997</v>
      </c>
      <c r="Z5" s="2301" t="s">
        <v>1994</v>
      </c>
      <c r="AA5" s="1270" t="s">
        <v>1995</v>
      </c>
      <c r="AB5" s="1270" t="s">
        <v>1996</v>
      </c>
      <c r="AC5" s="70"/>
      <c r="AD5" s="70" t="s">
        <v>1997</v>
      </c>
      <c r="AE5" s="1269" t="s">
        <v>1998</v>
      </c>
      <c r="AF5" s="1270" t="s">
        <v>1999</v>
      </c>
      <c r="AG5" s="69" t="s">
        <v>2000</v>
      </c>
      <c r="AH5" s="1269" t="s">
        <v>2001</v>
      </c>
      <c r="AI5" s="2301" t="s">
        <v>2002</v>
      </c>
      <c r="AJ5" s="2301" t="s">
        <v>2003</v>
      </c>
      <c r="AK5" s="1270" t="s">
        <v>2004</v>
      </c>
      <c r="AL5" s="1270" t="s">
        <v>2005</v>
      </c>
      <c r="AM5" s="69" t="s">
        <v>2006</v>
      </c>
      <c r="AN5" s="2302" t="s">
        <v>2007</v>
      </c>
      <c r="AO5" s="2073" t="s">
        <v>2008</v>
      </c>
      <c r="AP5" s="1251" t="s">
        <v>2009</v>
      </c>
      <c r="AQ5" s="2303" t="s">
        <v>2010</v>
      </c>
      <c r="AR5" s="2303"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4" t="str">
        <f>'数据-汇总表'!C19</f>
        <v>2号楼</v>
      </c>
      <c r="B6" s="2305" t="str">
        <f>IF(A6=0,"","经营性")</f>
        <v>经营性</v>
      </c>
      <c r="C6" s="2306" t="s">
        <v>3076</v>
      </c>
      <c r="D6" s="1054">
        <f>SUMIF(项目基本情况!D$12:I$12,C6,项目基本情况!D$14:I$14)</f>
        <v>70</v>
      </c>
      <c r="E6" s="1051">
        <f>IF(B6="","",SUMIF(项目基本情况!D$12:I$12,C6,项目基本情况!D$13:I$13))</f>
        <v>68293</v>
      </c>
      <c r="F6" s="71">
        <f>SUMIF(项目基本情况!D$12:I$12,C6,项目基本情况!D$15:I$15)</f>
        <v>69.22</v>
      </c>
      <c r="G6" s="72">
        <f>IF(ISERROR(ROUND(POWER(1+H6,D6-F6)*(POWER(1+H6,F6)-1)/(POWER(1+H6,D6)-1),3)),0,ROUND(POWER(1+H6,D6-F6)*(POWER(1+H6,F6)-1)/(POWER(1+H6,D6)-1),3))</f>
        <v>0.998</v>
      </c>
      <c r="H6" s="2934">
        <v>0.04</v>
      </c>
      <c r="I6" s="802">
        <v>0.05</v>
      </c>
      <c r="J6" s="73">
        <v>8.5000000000000006E-2</v>
      </c>
      <c r="K6" s="1253">
        <f>SUMIF('数据-汇总表'!C$19:C$33,A6,'数据-汇总表'!E$19:E$33)</f>
        <v>24825.22</v>
      </c>
      <c r="L6" s="803">
        <v>3000</v>
      </c>
      <c r="M6" s="74">
        <f t="shared" ref="M6:M14" si="0">ROUND(K6*L6/10000,0)</f>
        <v>7448</v>
      </c>
      <c r="N6" s="801">
        <v>0.05</v>
      </c>
      <c r="O6" s="74">
        <f>IF($N$5="成新度","——",ROUND(M6*N6,0))</f>
        <v>372</v>
      </c>
      <c r="P6" s="75">
        <f>IF($N$5="成新度","——",M6-O6)</f>
        <v>7076</v>
      </c>
      <c r="Q6" s="804">
        <v>0.1</v>
      </c>
      <c r="R6" s="76">
        <f ca="1">SUMIF('数据-汇总表'!C$19:C$33,A6,'数据-汇总表'!R$19:R$27)</f>
        <v>7202.18</v>
      </c>
      <c r="S6" s="54">
        <f>IF('数据-汇总表'!$I$17="按面积比例",SUMIF('数据-汇总表'!C$19:C$33,A6,'数据-汇总表'!K$19:K$33),SUMIF('数据-汇总表'!C$19:C$33,A6,'数据-汇总表'!N$19:N$33))</f>
        <v>0</v>
      </c>
      <c r="T6" s="1445">
        <f>ROUND($L$14*S6/10000,0)</f>
        <v>0</v>
      </c>
      <c r="U6" s="77"/>
      <c r="V6" s="78"/>
      <c r="W6" s="78"/>
      <c r="X6" s="1263"/>
      <c r="Y6" s="79"/>
      <c r="Z6" s="80"/>
      <c r="AA6" s="73"/>
      <c r="AB6" s="73"/>
      <c r="AC6" s="1263"/>
      <c r="AD6" s="81"/>
      <c r="AE6" s="1264">
        <f ca="1">IF(AN6="",0,SUMIF(INDIRECT("'"&amp;AN6&amp;"'"&amp;"!E:E"),$AE$5,INDIRECT("'"&amp;AN6&amp;"'"&amp;"!F:F")))</f>
        <v>0</v>
      </c>
      <c r="AF6" s="1807"/>
      <c r="AG6" s="146">
        <f>IF(AF6="",0,AE6-AF6)</f>
        <v>0</v>
      </c>
      <c r="AH6" s="82"/>
      <c r="AI6" s="84"/>
      <c r="AJ6" s="85"/>
      <c r="AK6" s="86"/>
      <c r="AL6" s="87"/>
      <c r="AM6" s="88"/>
      <c r="AN6" s="2307"/>
      <c r="AO6" s="55" t="e">
        <f ca="1">SUMIF(INDIRECT("'"&amp;AN6&amp;"'"&amp;"!A:A"),"总价",INDIRECT("'"&amp;AN6&amp;"'"&amp;"!B:B"))</f>
        <v>#REF!</v>
      </c>
      <c r="AP6" s="2308">
        <f>IF(C6="住宅",K6*L6,0)</f>
        <v>74475660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t="str">
        <f>'数据-汇总表'!C20</f>
        <v>3号楼</v>
      </c>
      <c r="B7" s="2305" t="str">
        <f t="shared" ref="B7:B13" si="1">IF(A7=0,"","经营性")</f>
        <v>经营性</v>
      </c>
      <c r="C7" s="2306" t="s">
        <v>3076</v>
      </c>
      <c r="D7" s="1054">
        <f>SUMIF(项目基本情况!D$12:I$12,C7,项目基本情况!D$14:I$14)</f>
        <v>70</v>
      </c>
      <c r="E7" s="1051">
        <f>IF(B7="","",SUMIF(项目基本情况!D$12:I$12,C7,项目基本情况!D$13:I$13))</f>
        <v>68293</v>
      </c>
      <c r="F7" s="71">
        <f>SUMIF(项目基本情况!D$12:I$12,C7,项目基本情况!D$15:I$15)</f>
        <v>69.22</v>
      </c>
      <c r="G7" s="72">
        <f t="shared" ref="G7:G11" si="2">IF(ISERROR(ROUND(POWER(1+H7,D7-F7)*(POWER(1+H7,F7)-1)/(POWER(1+H7,D7)-1),3)),0,ROUND(POWER(1+H7,D7-F7)*(POWER(1+H7,F7)-1)/(POWER(1+H7,D7)-1),3))</f>
        <v>0.998</v>
      </c>
      <c r="H7" s="2934">
        <v>0.04</v>
      </c>
      <c r="I7" s="802">
        <v>0.05</v>
      </c>
      <c r="J7" s="73">
        <v>8.5000000000000006E-2</v>
      </c>
      <c r="K7" s="1253">
        <f>SUMIF('数据-汇总表'!C$19:C$33,A7,'数据-汇总表'!E$19:E$33)</f>
        <v>20418.02</v>
      </c>
      <c r="L7" s="803">
        <v>3000</v>
      </c>
      <c r="M7" s="74">
        <f t="shared" si="0"/>
        <v>6125</v>
      </c>
      <c r="N7" s="801">
        <v>0.05</v>
      </c>
      <c r="O7" s="74">
        <f t="shared" ref="O7:O14" si="3">IF($N$5="成新度","——",ROUND(M7*N7,0))</f>
        <v>306</v>
      </c>
      <c r="P7" s="75">
        <f t="shared" ref="P7:P14" si="4">IF($N$5="成新度","——",M7-O7)</f>
        <v>5819</v>
      </c>
      <c r="Q7" s="804">
        <v>0.1</v>
      </c>
      <c r="R7" s="76">
        <f ca="1">SUMIF('数据-汇总表'!C$19:C$33,A7,'数据-汇总表'!R$19:R$27)</f>
        <v>5923.58</v>
      </c>
      <c r="S7" s="54">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7"/>
      <c r="AG7" s="146">
        <f t="shared" ref="AG7:AG13" si="7">IF(AF7="",0,AE7-AF7)</f>
        <v>0</v>
      </c>
      <c r="AH7" s="82"/>
      <c r="AI7" s="84"/>
      <c r="AJ7" s="85"/>
      <c r="AK7" s="86"/>
      <c r="AL7" s="87"/>
      <c r="AM7" s="88"/>
      <c r="AN7" s="2307"/>
      <c r="AO7" s="55" t="e">
        <f t="shared" ref="AO7:AO13" ca="1" si="8">SUMIF(INDIRECT("'"&amp;AN7&amp;"'"&amp;"!A:A"),"总价",INDIRECT("'"&amp;AN7&amp;"'"&amp;"!B:B"))</f>
        <v>#REF!</v>
      </c>
      <c r="AP7" s="2308">
        <f t="shared" ref="AP7:AP13" si="9">IF(C7="住宅",K7*L7,0)</f>
        <v>61254060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c r="A8" s="2304" t="str">
        <f>'数据-汇总表'!C21</f>
        <v>4号楼</v>
      </c>
      <c r="B8" s="2305" t="str">
        <f t="shared" si="1"/>
        <v>经营性</v>
      </c>
      <c r="C8" s="2306" t="s">
        <v>3076</v>
      </c>
      <c r="D8" s="1054">
        <f>SUMIF(项目基本情况!D$12:I$12,C8,项目基本情况!D$14:I$14)</f>
        <v>70</v>
      </c>
      <c r="E8" s="1051">
        <f>IF(B8="","",SUMIF(项目基本情况!D$12:I$12,C8,项目基本情况!D$13:I$13))</f>
        <v>68293</v>
      </c>
      <c r="F8" s="71">
        <f>SUMIF(项目基本情况!D$12:I$12,C8,项目基本情况!D$15:I$15)</f>
        <v>69.22</v>
      </c>
      <c r="G8" s="72">
        <f t="shared" si="2"/>
        <v>0.998</v>
      </c>
      <c r="H8" s="2934">
        <v>0.04</v>
      </c>
      <c r="I8" s="802">
        <v>0.05</v>
      </c>
      <c r="J8" s="73">
        <v>8.5000000000000006E-2</v>
      </c>
      <c r="K8" s="1253">
        <f>SUMIF('数据-汇总表'!C$19:C$33,A8,'数据-汇总表'!E$19:E$33)</f>
        <v>14401.19</v>
      </c>
      <c r="L8" s="803">
        <v>3000</v>
      </c>
      <c r="M8" s="74">
        <f>ROUND(K8*L8/10000,0)</f>
        <v>4320</v>
      </c>
      <c r="N8" s="801">
        <v>0.15</v>
      </c>
      <c r="O8" s="74">
        <f t="shared" si="3"/>
        <v>648</v>
      </c>
      <c r="P8" s="75">
        <f t="shared" si="4"/>
        <v>3672</v>
      </c>
      <c r="Q8" s="804">
        <v>0.1</v>
      </c>
      <c r="R8" s="76">
        <f ca="1">SUMIF('数据-汇总表'!C$19:C$33,A8,'数据-汇总表'!R$19:R$27)</f>
        <v>4178.01</v>
      </c>
      <c r="S8" s="54">
        <f>IF('数据-汇总表'!$I$17="按面积比例",SUMIF('数据-汇总表'!C$19:C$33,A8,'数据-汇总表'!K$19:K$33),SUMIF('数据-汇总表'!C$19:C$33,A8,'数据-汇总表'!N$19:N$33))</f>
        <v>0</v>
      </c>
      <c r="T8" s="1445">
        <f t="shared" si="5"/>
        <v>0</v>
      </c>
      <c r="U8" s="805"/>
      <c r="V8" s="806"/>
      <c r="W8" s="806"/>
      <c r="X8" s="1263"/>
      <c r="Y8" s="807"/>
      <c r="Z8" s="80"/>
      <c r="AA8" s="73"/>
      <c r="AB8" s="73"/>
      <c r="AC8" s="1263"/>
      <c r="AD8" s="81"/>
      <c r="AE8" s="1264">
        <f t="shared" ca="1" si="6"/>
        <v>0</v>
      </c>
      <c r="AF8" s="1807"/>
      <c r="AG8" s="146">
        <f t="shared" si="7"/>
        <v>0</v>
      </c>
      <c r="AH8" s="808"/>
      <c r="AI8" s="84"/>
      <c r="AJ8" s="85"/>
      <c r="AK8" s="809"/>
      <c r="AL8" s="810"/>
      <c r="AM8" s="811"/>
      <c r="AN8" s="2307"/>
      <c r="AO8" s="55" t="e">
        <f t="shared" ca="1" si="8"/>
        <v>#REF!</v>
      </c>
      <c r="AP8" s="2308">
        <f t="shared" si="9"/>
        <v>43203570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c r="A9" s="2304" t="str">
        <f>'数据-汇总表'!C22</f>
        <v>5号楼</v>
      </c>
      <c r="B9" s="2305" t="str">
        <f t="shared" si="1"/>
        <v>经营性</v>
      </c>
      <c r="C9" s="2306" t="s">
        <v>3076</v>
      </c>
      <c r="D9" s="1054">
        <f>SUMIF(项目基本情况!D$12:I$12,C9,项目基本情况!D$14:I$14)</f>
        <v>70</v>
      </c>
      <c r="E9" s="1051">
        <f>IF(B9="","",SUMIF(项目基本情况!D$12:I$12,C9,项目基本情况!D$13:I$13))</f>
        <v>68293</v>
      </c>
      <c r="F9" s="71">
        <f>SUMIF(项目基本情况!D$12:I$12,C9,项目基本情况!D$15:I$15)</f>
        <v>69.22</v>
      </c>
      <c r="G9" s="72">
        <f t="shared" si="2"/>
        <v>0.998</v>
      </c>
      <c r="H9" s="2934">
        <v>0.04</v>
      </c>
      <c r="I9" s="802">
        <v>0.05</v>
      </c>
      <c r="J9" s="73">
        <v>8.5000000000000006E-2</v>
      </c>
      <c r="K9" s="1253">
        <f>SUMIF('数据-汇总表'!C$19:C$33,A9,'数据-汇总表'!E$19:E$33)</f>
        <v>14401.19</v>
      </c>
      <c r="L9" s="803">
        <v>3000</v>
      </c>
      <c r="M9" s="74">
        <f t="shared" si="0"/>
        <v>4320</v>
      </c>
      <c r="N9" s="801">
        <v>0.2</v>
      </c>
      <c r="O9" s="74">
        <f t="shared" si="3"/>
        <v>864</v>
      </c>
      <c r="P9" s="75">
        <f t="shared" si="4"/>
        <v>3456</v>
      </c>
      <c r="Q9" s="804">
        <v>0.1</v>
      </c>
      <c r="R9" s="76">
        <f ca="1">SUMIF('数据-汇总表'!C$19:C$33,A9,'数据-汇总表'!R$19:R$27)</f>
        <v>4178.01</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7"/>
      <c r="AG9" s="146">
        <f t="shared" si="7"/>
        <v>0</v>
      </c>
      <c r="AH9" s="82"/>
      <c r="AI9" s="84"/>
      <c r="AJ9" s="85"/>
      <c r="AK9" s="86"/>
      <c r="AL9" s="87"/>
      <c r="AM9" s="88"/>
      <c r="AN9" s="2307"/>
      <c r="AO9" s="55" t="e">
        <f t="shared" ca="1" si="8"/>
        <v>#REF!</v>
      </c>
      <c r="AP9" s="2308">
        <f t="shared" si="9"/>
        <v>43203570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c r="A10" s="2304" t="str">
        <f>'数据-汇总表'!C23</f>
        <v>6号楼</v>
      </c>
      <c r="B10" s="2305" t="str">
        <f t="shared" si="1"/>
        <v>经营性</v>
      </c>
      <c r="C10" s="2306" t="s">
        <v>3076</v>
      </c>
      <c r="D10" s="1054">
        <f>SUMIF(项目基本情况!D$12:I$12,C10,项目基本情况!D$14:I$14)</f>
        <v>70</v>
      </c>
      <c r="E10" s="1051">
        <f>IF(B10="","",SUMIF(项目基本情况!D$12:I$12,C10,项目基本情况!D$13:I$13))</f>
        <v>68293</v>
      </c>
      <c r="F10" s="71">
        <f>SUMIF(项目基本情况!D$12:I$12,C10,项目基本情况!D$15:I$15)</f>
        <v>69.22</v>
      </c>
      <c r="G10" s="72">
        <f t="shared" si="2"/>
        <v>0.998</v>
      </c>
      <c r="H10" s="2934">
        <v>0.04</v>
      </c>
      <c r="I10" s="802">
        <v>0.05</v>
      </c>
      <c r="J10" s="73">
        <v>8.5000000000000006E-2</v>
      </c>
      <c r="K10" s="1253">
        <f>SUMIF('数据-汇总表'!C$19:C$33,A10,'数据-汇总表'!E$19:E$33)</f>
        <v>14575.77</v>
      </c>
      <c r="L10" s="803">
        <v>3000</v>
      </c>
      <c r="M10" s="74">
        <f t="shared" si="0"/>
        <v>4373</v>
      </c>
      <c r="N10" s="801">
        <v>0.05</v>
      </c>
      <c r="O10" s="74">
        <f t="shared" si="3"/>
        <v>219</v>
      </c>
      <c r="P10" s="75">
        <f t="shared" si="4"/>
        <v>4154</v>
      </c>
      <c r="Q10" s="804">
        <v>0.1</v>
      </c>
      <c r="R10" s="76">
        <f ca="1">SUMIF('数据-汇总表'!C$19:C$33,A10,'数据-汇总表'!R$19:R$27)</f>
        <v>4228.66</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7"/>
      <c r="AG10" s="146">
        <f t="shared" si="7"/>
        <v>0</v>
      </c>
      <c r="AH10" s="82"/>
      <c r="AI10" s="84"/>
      <c r="AJ10" s="85"/>
      <c r="AK10" s="86"/>
      <c r="AL10" s="87"/>
      <c r="AM10" s="88"/>
      <c r="AN10" s="2307"/>
      <c r="AO10" s="55" t="e">
        <f t="shared" ca="1" si="8"/>
        <v>#REF!</v>
      </c>
      <c r="AP10" s="2308">
        <f t="shared" si="9"/>
        <v>43727310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c r="A11" s="2304" t="str">
        <f>'数据-汇总表'!C24</f>
        <v>7号楼</v>
      </c>
      <c r="B11" s="2305" t="str">
        <f t="shared" si="1"/>
        <v>经营性</v>
      </c>
      <c r="C11" s="2306" t="s">
        <v>3076</v>
      </c>
      <c r="D11" s="1054">
        <f>SUMIF(项目基本情况!D$12:I$12,C11,项目基本情况!D$14:I$14)</f>
        <v>70</v>
      </c>
      <c r="E11" s="1051">
        <f>IF(B11="","",SUMIF(项目基本情况!D$12:I$12,C11,项目基本情况!D$13:I$13))</f>
        <v>68293</v>
      </c>
      <c r="F11" s="71">
        <f>SUMIF(项目基本情况!D$12:I$12,C11,项目基本情况!D$15:I$15)</f>
        <v>69.22</v>
      </c>
      <c r="G11" s="72">
        <f t="shared" si="2"/>
        <v>0.998</v>
      </c>
      <c r="H11" s="2934">
        <v>0.04</v>
      </c>
      <c r="I11" s="802">
        <v>0.05</v>
      </c>
      <c r="J11" s="73">
        <v>8.5000000000000006E-2</v>
      </c>
      <c r="K11" s="1253">
        <f>SUMIF('数据-汇总表'!C$19:C$33,A11,'数据-汇总表'!E$19:E$33)</f>
        <v>23581.37</v>
      </c>
      <c r="L11" s="803">
        <v>3000</v>
      </c>
      <c r="M11" s="74">
        <f t="shared" si="0"/>
        <v>7074</v>
      </c>
      <c r="N11" s="91">
        <v>0.05</v>
      </c>
      <c r="O11" s="74">
        <f t="shared" si="3"/>
        <v>354</v>
      </c>
      <c r="P11" s="75">
        <f t="shared" si="4"/>
        <v>6720</v>
      </c>
      <c r="Q11" s="804">
        <v>0.1</v>
      </c>
      <c r="R11" s="76">
        <f ca="1">SUMIF('数据-汇总表'!C$19:C$33,A11,'数据-汇总表'!R$19:R$27)</f>
        <v>6841.32</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7"/>
      <c r="AG11" s="146">
        <f t="shared" si="7"/>
        <v>0</v>
      </c>
      <c r="AH11" s="82"/>
      <c r="AI11" s="84"/>
      <c r="AJ11" s="85"/>
      <c r="AK11" s="93"/>
      <c r="AL11" s="94"/>
      <c r="AM11" s="95"/>
      <c r="AN11" s="2307"/>
      <c r="AO11" s="55" t="e">
        <f t="shared" ca="1" si="8"/>
        <v>#REF!</v>
      </c>
      <c r="AP11" s="2308">
        <f t="shared" si="9"/>
        <v>70744110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c r="A12" s="2304" t="str">
        <f>'数据-汇总表'!C25</f>
        <v>8号楼</v>
      </c>
      <c r="B12" s="2305" t="str">
        <f t="shared" si="1"/>
        <v>经营性</v>
      </c>
      <c r="C12" s="2306" t="s">
        <v>3076</v>
      </c>
      <c r="D12" s="1054">
        <f>SUMIF(项目基本情况!D$12:I$12,C12,项目基本情况!D$14:I$14)</f>
        <v>70</v>
      </c>
      <c r="E12" s="1051">
        <f>IF(B12="","",SUMIF(项目基本情况!D$12:I$12,C12,项目基本情况!D$13:I$13))</f>
        <v>68293</v>
      </c>
      <c r="F12" s="71">
        <f>SUMIF(项目基本情况!D$12:I$12,C12,项目基本情况!D$15:I$15)</f>
        <v>69.22</v>
      </c>
      <c r="G12" s="72">
        <f>IF(ISERROR(ROUND(POWER(1+H12,D12-F12)*(POWER(1+H12,F12)-1)/(POWER(1+H12,D12)-1),3)),0,ROUND(POWER(1+H12,D12-F12)*(POWER(1+H12,F12)-1)/(POWER(1+H12,D12)-1),3))</f>
        <v>0.998</v>
      </c>
      <c r="H12" s="2934">
        <v>0.04</v>
      </c>
      <c r="I12" s="802">
        <v>0.05</v>
      </c>
      <c r="J12" s="73">
        <v>8.5000000000000006E-2</v>
      </c>
      <c r="K12" s="1253">
        <f>SUMIF('数据-汇总表'!C$19:C$33,A12,'数据-汇总表'!E$19:E$33)</f>
        <v>23581.37</v>
      </c>
      <c r="L12" s="803">
        <v>3000</v>
      </c>
      <c r="M12" s="74">
        <f>ROUND(K12*L12/10000,0)</f>
        <v>7074</v>
      </c>
      <c r="N12" s="91">
        <v>0.05</v>
      </c>
      <c r="O12" s="74">
        <f t="shared" si="3"/>
        <v>354</v>
      </c>
      <c r="P12" s="75">
        <f t="shared" si="4"/>
        <v>6720</v>
      </c>
      <c r="Q12" s="804">
        <v>0.1</v>
      </c>
      <c r="R12" s="76">
        <f ca="1">SUMIF('数据-汇总表'!C$19:C$33,A12,'数据-汇总表'!R$19:R$27)</f>
        <v>6841.32</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7"/>
      <c r="AG12" s="146">
        <f t="shared" si="7"/>
        <v>0</v>
      </c>
      <c r="AH12" s="82"/>
      <c r="AI12" s="84"/>
      <c r="AJ12" s="85"/>
      <c r="AK12" s="93"/>
      <c r="AL12" s="94"/>
      <c r="AM12" s="95"/>
      <c r="AN12" s="2307"/>
      <c r="AO12" s="55" t="e">
        <f t="shared" ca="1" si="8"/>
        <v>#REF!</v>
      </c>
      <c r="AP12" s="2308">
        <f t="shared" si="9"/>
        <v>70744110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c r="A13" s="2304" t="str">
        <f>'数据-汇总表'!C26</f>
        <v>地下车库</v>
      </c>
      <c r="B13" s="2305" t="str">
        <f t="shared" si="1"/>
        <v>经营性</v>
      </c>
      <c r="C13" s="2306" t="s">
        <v>3079</v>
      </c>
      <c r="D13" s="1054">
        <f>SUMIF(项目基本情况!D$12:I$12,C13,项目基本情况!D$14:I$14)</f>
        <v>50</v>
      </c>
      <c r="E13" s="1051">
        <f>IF(B13="","",SUMIF(项目基本情况!D$12:I$12,C13,项目基本情况!D$13:I$13))</f>
        <v>60988</v>
      </c>
      <c r="F13" s="71">
        <f>SUMIF(项目基本情况!D$12:I$12,C13,项目基本情况!D$15:I$15)</f>
        <v>49.21</v>
      </c>
      <c r="G13" s="72">
        <f>IF(ISERROR(ROUND(POWER(1+H13,D13-F13)*(POWER(1+H13,F13)-1)/(POWER(1+H13,D13)-1),3)),0,ROUND(POWER(1+H13,D13-F13)*(POWER(1+H13,F13)-1)/(POWER(1+H13,D13)-1),3))</f>
        <v>0.995</v>
      </c>
      <c r="H13" s="2934">
        <v>0.04</v>
      </c>
      <c r="I13" s="802">
        <v>4.4999999999999998E-2</v>
      </c>
      <c r="J13" s="73">
        <v>0.08</v>
      </c>
      <c r="K13" s="1253">
        <f>SUMIF('数据-汇总表'!C$19:C$33,A13,'数据-汇总表'!E$19:E$33)</f>
        <v>74071</v>
      </c>
      <c r="L13" s="90">
        <v>2000</v>
      </c>
      <c r="M13" s="74">
        <f>ROUND(K13*L13/10000,0)</f>
        <v>14814</v>
      </c>
      <c r="N13" s="91">
        <v>0.1</v>
      </c>
      <c r="O13" s="74">
        <f t="shared" si="3"/>
        <v>1481</v>
      </c>
      <c r="P13" s="75">
        <f t="shared" si="4"/>
        <v>13333</v>
      </c>
      <c r="Q13" s="89">
        <v>0.03</v>
      </c>
      <c r="R13" s="76">
        <f ca="1">SUMIF('数据-汇总表'!C$19:C$33,A13,'数据-汇总表'!R$19:R$27)</f>
        <v>21489.14</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7"/>
      <c r="AG13" s="146">
        <f t="shared" si="7"/>
        <v>0</v>
      </c>
      <c r="AH13" s="82"/>
      <c r="AI13" s="84"/>
      <c r="AJ13" s="85"/>
      <c r="AK13" s="86"/>
      <c r="AL13" s="87"/>
      <c r="AM13" s="88"/>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2012</v>
      </c>
      <c r="B14" s="2305" t="s">
        <v>2013</v>
      </c>
      <c r="C14" s="2310" t="s">
        <v>2012</v>
      </c>
      <c r="D14" s="1054"/>
      <c r="E14" s="1051"/>
      <c r="F14" s="71"/>
      <c r="G14" s="72"/>
      <c r="H14" s="1252"/>
      <c r="I14" s="1252"/>
      <c r="J14" s="1252"/>
      <c r="K14" s="1253">
        <f>SUMIF('数据-汇总表'!C$19:C$33,A14,'数据-汇总表'!E$19:E$33)</f>
        <v>0</v>
      </c>
      <c r="L14" s="90"/>
      <c r="M14" s="74">
        <f t="shared" si="0"/>
        <v>0</v>
      </c>
      <c r="N14" s="91"/>
      <c r="O14" s="74">
        <f t="shared" si="3"/>
        <v>0</v>
      </c>
      <c r="P14" s="75">
        <f t="shared" si="4"/>
        <v>0</v>
      </c>
      <c r="Q14" s="1256"/>
      <c r="R14" s="76"/>
      <c r="S14" s="54"/>
      <c r="T14" s="1445"/>
      <c r="U14" s="723"/>
      <c r="V14" s="1258"/>
      <c r="W14" s="1258"/>
      <c r="X14" s="1259"/>
      <c r="Y14" s="1260"/>
      <c r="Z14" s="1261"/>
      <c r="AA14" s="1262"/>
      <c r="AB14" s="1262"/>
      <c r="AC14" s="1263"/>
      <c r="AD14" s="1259"/>
      <c r="AE14" s="1264"/>
      <c r="AF14" s="55"/>
      <c r="AG14" s="146"/>
      <c r="AH14" s="1264"/>
      <c r="AI14" s="1818"/>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2014</v>
      </c>
      <c r="B15" s="2305" t="s">
        <v>2013</v>
      </c>
      <c r="C15" s="2310" t="s">
        <v>2015</v>
      </c>
      <c r="D15" s="1054"/>
      <c r="E15" s="1051"/>
      <c r="F15" s="71"/>
      <c r="G15" s="72"/>
      <c r="H15" s="1252"/>
      <c r="I15" s="1252"/>
      <c r="J15" s="1252"/>
      <c r="K15" s="1253">
        <f>SUMIF('数据-汇总表'!C$19:C$33,A15,'数据-汇总表'!E$19:E$33)</f>
        <v>217.71</v>
      </c>
      <c r="L15" s="1254"/>
      <c r="M15" s="74"/>
      <c r="N15" s="1255"/>
      <c r="O15" s="74"/>
      <c r="P15" s="75"/>
      <c r="Q15" s="1256"/>
      <c r="R15" s="76"/>
      <c r="S15" s="54"/>
      <c r="T15" s="1445"/>
      <c r="U15" s="723"/>
      <c r="V15" s="1258"/>
      <c r="W15" s="1258"/>
      <c r="X15" s="1259"/>
      <c r="Y15" s="1260"/>
      <c r="Z15" s="1261"/>
      <c r="AA15" s="1262"/>
      <c r="AB15" s="1262"/>
      <c r="AC15" s="1263"/>
      <c r="AD15" s="1259"/>
      <c r="AE15" s="1264"/>
      <c r="AF15" s="55"/>
      <c r="AG15" s="146"/>
      <c r="AH15" s="1264"/>
      <c r="AI15" s="1818"/>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2016</v>
      </c>
      <c r="B16" s="96"/>
      <c r="C16" s="1008"/>
      <c r="D16" s="2312"/>
      <c r="E16" s="96"/>
      <c r="F16" s="96"/>
      <c r="G16" s="97">
        <f>ROUND(SUMPRODUCT(G6:G13,K6:K13)/SUMPRODUCT((G6:G13&gt;0)*(K6:K13)),3)</f>
        <v>0.997</v>
      </c>
      <c r="H16" s="98">
        <f>ROUND(SUMPRODUCT(H6:H13,K6:K13)/SUMPRODUCT((H6:H13&gt;0)*(K6:K13)),3)</f>
        <v>0.04</v>
      </c>
      <c r="I16" s="99"/>
      <c r="J16" s="99"/>
      <c r="K16" s="100">
        <f>SUM(K6:K15)</f>
        <v>210072.84</v>
      </c>
      <c r="L16" s="101">
        <f>ROUND(M16*10000/SUM(K6:K14),0)</f>
        <v>2647</v>
      </c>
      <c r="M16" s="101">
        <f>SUM(M6:M14)</f>
        <v>55548</v>
      </c>
      <c r="N16" s="102">
        <f>ROUND(SUMPRODUCT(M6:M14,N6:N14)/M16,3)</f>
        <v>8.3000000000000004E-2</v>
      </c>
      <c r="O16" s="101">
        <f>SUM(O6:O14)</f>
        <v>4598</v>
      </c>
      <c r="P16" s="101">
        <f>SUM(P6:P14)</f>
        <v>50950</v>
      </c>
      <c r="Q16" s="103">
        <f>ROUND(SUMPRODUCT(Q6:Q13,K6:K13)/SUMPRODUCT((Q6:Q13&gt;0)*(K6:K13)),2)</f>
        <v>0.08</v>
      </c>
      <c r="R16" s="1257">
        <f ca="1">SUM(R6:R13)</f>
        <v>60882.22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7" t="s">
        <v>2017</v>
      </c>
      <c r="B18" s="2278"/>
      <c r="C18" s="2275"/>
      <c r="D18" s="2276"/>
      <c r="E18" s="2275"/>
      <c r="F18" s="2275"/>
      <c r="G18" s="2275"/>
      <c r="H18" s="2275"/>
      <c r="I18" s="2275"/>
      <c r="J18" s="2275"/>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2018</v>
      </c>
      <c r="B19" s="111">
        <v>0</v>
      </c>
      <c r="C19" s="2275" t="s">
        <v>2019</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2020</v>
      </c>
      <c r="B20" s="112">
        <v>2</v>
      </c>
      <c r="C20" s="2275" t="s">
        <v>2021</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2022</v>
      </c>
      <c r="B21" s="112">
        <v>0.5</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2023</v>
      </c>
      <c r="B22" s="113">
        <f>B19+B20</f>
        <v>2</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2024</v>
      </c>
      <c r="B23" s="113">
        <f>B19+B21</f>
        <v>0.5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2025</v>
      </c>
      <c r="B24" s="114">
        <f>B20-B21</f>
        <v>1.5</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2026</v>
      </c>
      <c r="B26" s="2318" t="s">
        <v>2027</v>
      </c>
      <c r="C26" s="2319" t="s">
        <v>2028</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2029</v>
      </c>
      <c r="B27" s="115">
        <v>0</v>
      </c>
      <c r="C27" s="1767" t="s">
        <v>2030</v>
      </c>
      <c r="D27" s="2321"/>
      <c r="E27" s="1429"/>
      <c r="F27" s="1429"/>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2031</v>
      </c>
      <c r="B28" s="2954">
        <f ca="1">ROUND(B29*10000/假设开发法!D20,2)</f>
        <v>749.91</v>
      </c>
      <c r="C28" s="2324"/>
      <c r="D28" s="2321"/>
      <c r="E28" s="1429"/>
      <c r="F28" s="1429"/>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2032</v>
      </c>
      <c r="B29" s="120">
        <v>5571</v>
      </c>
      <c r="C29" s="1767" t="s">
        <v>2033</v>
      </c>
      <c r="D29" s="2321"/>
      <c r="E29" s="1429"/>
      <c r="F29" s="1429"/>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2034</v>
      </c>
      <c r="B30" s="724">
        <v>200</v>
      </c>
      <c r="C30" s="2324"/>
      <c r="D30" s="2321"/>
      <c r="E30" s="1429"/>
      <c r="F30" s="1429"/>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2035</v>
      </c>
      <c r="B31" s="119">
        <f>B30-B32</f>
        <v>200</v>
      </c>
      <c r="C31" s="1767"/>
      <c r="D31" s="2321"/>
      <c r="E31" s="1429"/>
      <c r="F31" s="1429"/>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2036</v>
      </c>
      <c r="B32" s="725">
        <v>0</v>
      </c>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2037</v>
      </c>
      <c r="B33" s="726">
        <v>0.05</v>
      </c>
      <c r="C33" s="1766" t="s">
        <v>2038</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2039</v>
      </c>
      <c r="B34" s="121">
        <v>0.05</v>
      </c>
      <c r="C34" s="1766" t="s">
        <v>2040</v>
      </c>
      <c r="D34" s="2276" t="s">
        <v>2041</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2042</v>
      </c>
      <c r="B35" s="118">
        <v>200</v>
      </c>
      <c r="C35" s="1766" t="s">
        <v>2043</v>
      </c>
      <c r="D35" s="2321"/>
      <c r="E35" s="1429"/>
      <c r="F35" s="1429"/>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2044</v>
      </c>
      <c r="B36" s="122">
        <v>1.4999999999999999E-2</v>
      </c>
      <c r="C36" s="1766" t="s">
        <v>2045</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2046</v>
      </c>
      <c r="B37" s="123">
        <v>0.02</v>
      </c>
      <c r="C37" s="1766" t="s">
        <v>2047</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2048</v>
      </c>
      <c r="B38" s="121">
        <v>0.03</v>
      </c>
      <c r="C38" s="1766" t="s">
        <v>2047</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2049</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2050</v>
      </c>
      <c r="B40" s="1302">
        <f ca="1">存贷款利率!G1</f>
        <v>4.7500000000000001E-2</v>
      </c>
      <c r="C40" s="1766" t="s">
        <v>2051</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2052</v>
      </c>
      <c r="B41" s="124">
        <f>B42+B43</f>
        <v>6.2719999999999998E-2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2053</v>
      </c>
      <c r="B42" s="125">
        <v>5.6000000000000001E-2</v>
      </c>
      <c r="C42" s="2329">
        <f>IF(B2&lt;DATE(2016,5,1),0,B42)</f>
        <v>5.6000000000000001E-2</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2054</v>
      </c>
      <c r="B43" s="126">
        <f>B42*(B44+B45+B46)+B47</f>
        <v>6.7200000000000003E-3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2055</v>
      </c>
      <c r="B44" s="127">
        <v>7.0000000000000007E-2</v>
      </c>
      <c r="C44" s="1766" t="s">
        <v>2056</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2057</v>
      </c>
      <c r="B45" s="125">
        <v>0.03</v>
      </c>
      <c r="C45" s="1767" t="s">
        <v>2058</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2059</v>
      </c>
      <c r="B46" s="125">
        <v>0.02</v>
      </c>
      <c r="C46" s="1767" t="s">
        <v>2060</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2061</v>
      </c>
      <c r="B47" s="128"/>
      <c r="C47" s="1767" t="s">
        <v>2062</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2063</v>
      </c>
      <c r="B48" s="129">
        <v>0.03</v>
      </c>
      <c r="C48" s="1774" t="s">
        <v>2064</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2065</v>
      </c>
      <c r="B49" s="125">
        <v>5.0000000000000001E-4</v>
      </c>
      <c r="C49" s="1774" t="s">
        <v>2066</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2067</v>
      </c>
      <c r="B50" s="130">
        <v>1.2E-2</v>
      </c>
      <c r="C50" s="1429"/>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2068</v>
      </c>
      <c r="B51" s="131">
        <v>0.12</v>
      </c>
      <c r="C51" s="1429"/>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2069</v>
      </c>
      <c r="B52" s="132">
        <f>SUMIF(A54:A63,B53,B54:B63)</f>
        <v>20</v>
      </c>
      <c r="C52" s="1429"/>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2070</v>
      </c>
      <c r="B53" s="2334" t="s">
        <v>442</v>
      </c>
      <c r="C53" s="1429" t="s">
        <v>2071</v>
      </c>
      <c r="D53" s="2335" t="s">
        <v>2072</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2073</v>
      </c>
      <c r="B54" s="83"/>
      <c r="C54" s="1429">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2074</v>
      </c>
      <c r="B55" s="83"/>
      <c r="C55" s="1429">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2075</v>
      </c>
      <c r="B56" s="83">
        <v>20</v>
      </c>
      <c r="C56" s="1429">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2076</v>
      </c>
      <c r="B57" s="83"/>
      <c r="C57" s="1429">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2077</v>
      </c>
      <c r="B58" s="83"/>
      <c r="C58" s="1429">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2078</v>
      </c>
      <c r="B59" s="83"/>
      <c r="C59" s="1429">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2079</v>
      </c>
      <c r="B60" s="83"/>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2080</v>
      </c>
      <c r="B61" s="83"/>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2081</v>
      </c>
      <c r="B62" s="83"/>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2082</v>
      </c>
      <c r="B63" s="133"/>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6" t="s">
        <v>2083</v>
      </c>
      <c r="B1" s="3047"/>
      <c r="C1" s="3047"/>
      <c r="D1" s="3047"/>
      <c r="E1" s="3047"/>
      <c r="F1" s="3047"/>
      <c r="G1" s="304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54">
      <c r="A3" s="415" t="s">
        <v>2086</v>
      </c>
      <c r="B3" s="1270" t="s">
        <v>2087</v>
      </c>
      <c r="C3" s="2368" t="s">
        <v>2088</v>
      </c>
      <c r="D3" s="2369"/>
      <c r="E3" s="431" t="s">
        <v>2086</v>
      </c>
      <c r="F3" s="2370" t="s">
        <v>2089</v>
      </c>
      <c r="G3" s="2371" t="s">
        <v>2090</v>
      </c>
      <c r="H3" s="2366"/>
      <c r="I3" s="2366"/>
      <c r="J3" s="2366"/>
      <c r="K3" s="2366"/>
      <c r="L3" s="2366"/>
      <c r="M3" s="2366"/>
      <c r="N3" s="2366"/>
      <c r="O3" s="2366"/>
      <c r="P3" s="2366"/>
      <c r="Q3" s="2366"/>
      <c r="R3" s="2366"/>
    </row>
    <row r="4" spans="1:29" ht="41.25">
      <c r="A4" s="431"/>
      <c r="B4" s="1798" t="s">
        <v>2091</v>
      </c>
      <c r="C4" s="2372" t="s">
        <v>2092</v>
      </c>
      <c r="D4" s="2369"/>
      <c r="E4" s="2373"/>
      <c r="F4" s="42" t="s">
        <v>2093</v>
      </c>
      <c r="G4" s="2374" t="s">
        <v>2094</v>
      </c>
      <c r="H4" s="2366"/>
      <c r="I4" s="2366"/>
      <c r="J4" s="2366"/>
      <c r="K4" s="2366"/>
      <c r="L4" s="2366"/>
      <c r="M4" s="2366"/>
      <c r="N4" s="2366"/>
      <c r="O4" s="2366"/>
      <c r="P4" s="2366"/>
      <c r="Q4" s="2366"/>
      <c r="R4" s="2366"/>
    </row>
    <row r="5" spans="1:29" ht="41.25">
      <c r="A5" s="431"/>
      <c r="B5" s="1798" t="s">
        <v>2095</v>
      </c>
      <c r="C5" s="2372" t="s">
        <v>2096</v>
      </c>
      <c r="D5" s="2369"/>
      <c r="E5" s="2373"/>
      <c r="F5" s="1798" t="s">
        <v>2097</v>
      </c>
      <c r="G5" s="2374" t="s">
        <v>2098</v>
      </c>
      <c r="H5" s="2366"/>
      <c r="I5" s="2366"/>
      <c r="J5" s="2366"/>
      <c r="K5" s="2366"/>
      <c r="L5" s="2366"/>
      <c r="M5" s="2366"/>
      <c r="N5" s="2366"/>
      <c r="O5" s="2366"/>
      <c r="P5" s="2366"/>
      <c r="Q5" s="2366"/>
      <c r="R5" s="2366"/>
    </row>
    <row r="6" spans="1:29" ht="54">
      <c r="A6" s="431"/>
      <c r="B6" s="1798" t="s">
        <v>2099</v>
      </c>
      <c r="C6" s="2374" t="s">
        <v>2094</v>
      </c>
      <c r="D6" s="2369"/>
      <c r="E6" s="2373"/>
      <c r="F6" s="1798" t="s">
        <v>2100</v>
      </c>
      <c r="G6" s="2374" t="s">
        <v>2101</v>
      </c>
      <c r="H6" s="2366"/>
      <c r="I6" s="2366"/>
      <c r="J6" s="2366"/>
      <c r="K6" s="2366"/>
      <c r="L6" s="2366"/>
      <c r="M6" s="2366"/>
      <c r="N6" s="2366"/>
      <c r="O6" s="2366"/>
      <c r="P6" s="2366"/>
      <c r="Q6" s="2366"/>
      <c r="R6" s="2366"/>
    </row>
    <row r="7" spans="1:29" ht="41.25" thickBot="1">
      <c r="A7" s="431"/>
      <c r="B7" s="1798" t="s">
        <v>2097</v>
      </c>
      <c r="C7" s="2374" t="s">
        <v>2098</v>
      </c>
      <c r="D7" s="2375"/>
      <c r="E7" s="2376"/>
      <c r="F7" s="2377" t="s">
        <v>2102</v>
      </c>
      <c r="G7" s="2378" t="s">
        <v>2103</v>
      </c>
      <c r="H7" s="2366"/>
      <c r="I7" s="2366"/>
      <c r="J7" s="2366"/>
      <c r="K7" s="2366"/>
      <c r="L7" s="2366"/>
      <c r="M7" s="2366"/>
      <c r="N7" s="2366"/>
      <c r="O7" s="2366"/>
      <c r="P7" s="2366"/>
      <c r="Q7" s="2366"/>
      <c r="R7" s="2366"/>
    </row>
    <row r="8" spans="1:29" ht="27">
      <c r="A8" s="431"/>
      <c r="B8" s="1798" t="s">
        <v>2100</v>
      </c>
      <c r="C8" s="2374" t="s">
        <v>2101</v>
      </c>
      <c r="D8" s="2375"/>
      <c r="E8" s="2375"/>
      <c r="F8" s="1135"/>
      <c r="G8" s="1135"/>
      <c r="H8" s="2366"/>
      <c r="I8" s="2366"/>
      <c r="J8" s="2366"/>
      <c r="K8" s="2366"/>
      <c r="L8" s="2366"/>
      <c r="M8" s="2366"/>
      <c r="N8" s="2366"/>
      <c r="O8" s="2366"/>
      <c r="P8" s="2366"/>
      <c r="Q8" s="2366"/>
      <c r="R8" s="2366"/>
    </row>
    <row r="9" spans="1:29" ht="27">
      <c r="A9" s="431"/>
      <c r="B9" s="1798" t="s">
        <v>2104</v>
      </c>
      <c r="C9" s="2372" t="s">
        <v>2105</v>
      </c>
      <c r="D9" s="2369"/>
      <c r="E9" s="2375"/>
      <c r="F9" s="1135"/>
      <c r="G9" s="1135"/>
      <c r="H9" s="2366"/>
      <c r="I9" s="2366"/>
      <c r="J9" s="2366"/>
      <c r="K9" s="2366"/>
      <c r="L9" s="2366"/>
      <c r="M9" s="2366"/>
      <c r="N9" s="2366"/>
      <c r="O9" s="2366"/>
      <c r="P9" s="2366"/>
      <c r="Q9" s="2366"/>
      <c r="R9" s="2366"/>
    </row>
    <row r="10" spans="1:29" s="116" customFormat="1" ht="15.75" thickBot="1">
      <c r="A10" s="2379"/>
      <c r="B10" s="2380" t="s">
        <v>2106</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2107</v>
      </c>
      <c r="B13" s="2386"/>
      <c r="C13" s="2386"/>
      <c r="D13" s="2393"/>
      <c r="E13" s="2386"/>
      <c r="F13" s="2386"/>
      <c r="G13" s="2386"/>
    </row>
    <row r="14" spans="1:29" ht="15.75" thickBot="1">
      <c r="A14" s="2397"/>
      <c r="B14" s="2398"/>
      <c r="C14" s="2399" t="s">
        <v>2108</v>
      </c>
      <c r="D14" s="2369"/>
      <c r="E14" s="2400"/>
      <c r="F14" s="2400"/>
      <c r="G14" s="2363" t="s">
        <v>2109</v>
      </c>
    </row>
    <row r="15" spans="1:29" ht="57">
      <c r="A15" s="67" t="s">
        <v>2110</v>
      </c>
      <c r="B15" s="1269" t="s">
        <v>2087</v>
      </c>
      <c r="C15" s="2401" t="str">
        <f>C3</f>
        <v>估价对象周边居住用地比例、居住小区规模和社区发展完善程度，综合评价居住社区成熟度一般</v>
      </c>
      <c r="D15" s="2369"/>
      <c r="E15" s="2402" t="s">
        <v>2111</v>
      </c>
      <c r="F15" s="1269" t="s">
        <v>2112</v>
      </c>
      <c r="G15" s="134" t="str">
        <f>G3</f>
        <v>估价对象位于XX开发区，园区建设成熟度XX，产业集聚程度XX</v>
      </c>
    </row>
    <row r="16" spans="1:29" ht="42.75">
      <c r="A16" s="645"/>
      <c r="B16" s="2403" t="s">
        <v>2091</v>
      </c>
      <c r="C16" s="2404" t="str">
        <f>C4</f>
        <v>估价对象位于XX商圈，周边商业氛围成熟，人流量大，商业繁华度好</v>
      </c>
      <c r="D16" s="2369"/>
      <c r="E16" s="2405"/>
      <c r="F16" s="2406" t="s">
        <v>2093</v>
      </c>
      <c r="G16" s="135" t="str">
        <f>G4</f>
        <v>估价对象周边道路状况、公共交通通达情况、停车便捷程度，综合评价交通便捷度较好</v>
      </c>
    </row>
    <row r="17" spans="1:18" ht="42.75">
      <c r="A17" s="645"/>
      <c r="B17" s="2403" t="s">
        <v>2095</v>
      </c>
      <c r="C17" s="2404" t="str">
        <f>C5</f>
        <v>估价对象位于XX商圈，周边办公楼项目较多，入驻率高，办公集聚程度较好</v>
      </c>
      <c r="D17" s="2375"/>
      <c r="E17" s="2405"/>
      <c r="F17" s="2406" t="s">
        <v>2113</v>
      </c>
      <c r="G17" s="1572"/>
    </row>
    <row r="18" spans="1:18" ht="57">
      <c r="A18" s="645"/>
      <c r="B18" s="2406" t="s">
        <v>2099</v>
      </c>
      <c r="C18" s="135" t="str">
        <f>C6</f>
        <v>估价对象周边道路状况、公共交通通达情况、停车便捷程度，综合评价交通便捷度较好</v>
      </c>
      <c r="D18" s="2375"/>
      <c r="E18" s="2405"/>
      <c r="F18" s="2406" t="s">
        <v>2102</v>
      </c>
      <c r="G18" s="135" t="str">
        <f>G7</f>
        <v>该园区内是否有污染型企业，绿化情况，卫生条件，整体环境状况判断</v>
      </c>
    </row>
    <row r="19" spans="1:18" ht="28.5">
      <c r="A19" s="645"/>
      <c r="B19" s="2406" t="s">
        <v>2114</v>
      </c>
      <c r="C19" s="1572"/>
      <c r="D19" s="2369"/>
      <c r="E19" s="2405"/>
      <c r="F19" s="1798" t="s">
        <v>2097</v>
      </c>
      <c r="G19" s="135" t="str">
        <f>G5</f>
        <v>估价对象所在区域公共配套设施齐备情况</v>
      </c>
    </row>
    <row r="20" spans="1:18" ht="28.5">
      <c r="A20" s="645"/>
      <c r="B20" s="2406" t="s">
        <v>2115</v>
      </c>
      <c r="C20" s="2404" t="str">
        <f>C9</f>
        <v>区域自然环境：；人文环境；综合评价环境状况一般</v>
      </c>
      <c r="D20" s="2375"/>
      <c r="E20" s="2405"/>
      <c r="F20" s="1798" t="s">
        <v>2116</v>
      </c>
      <c r="G20" s="135" t="str">
        <f>G6</f>
        <v>估价对象所在区域基础设施水平</v>
      </c>
    </row>
    <row r="21" spans="1:18" ht="28.5">
      <c r="A21" s="645"/>
      <c r="B21" s="1798" t="s">
        <v>2097</v>
      </c>
      <c r="C21" s="135" t="str">
        <f>C7</f>
        <v>估价对象所在区域公共配套设施齐备情况</v>
      </c>
      <c r="D21" s="2369"/>
      <c r="E21" s="2405"/>
      <c r="F21" s="2406" t="s">
        <v>2117</v>
      </c>
      <c r="G21" s="2407"/>
    </row>
    <row r="22" spans="1:18" ht="13.5" customHeight="1">
      <c r="A22" s="645"/>
      <c r="B22" s="1798" t="s">
        <v>2100</v>
      </c>
      <c r="C22" s="135" t="str">
        <f>C8</f>
        <v>估价对象所在区域基础设施水平</v>
      </c>
      <c r="D22" s="2369"/>
      <c r="E22" s="2405"/>
      <c r="F22" s="2406" t="s">
        <v>2106</v>
      </c>
      <c r="G22" s="1572"/>
    </row>
    <row r="23" spans="1:18" s="2366" customFormat="1" ht="15.75" thickBot="1">
      <c r="A23" s="645"/>
      <c r="B23" s="2406" t="s">
        <v>2117</v>
      </c>
      <c r="C23" s="2407"/>
      <c r="D23" s="2394"/>
      <c r="E23" s="2408"/>
      <c r="F23" s="2409" t="s">
        <v>2118</v>
      </c>
      <c r="G23" s="2410"/>
      <c r="H23" s="2394"/>
      <c r="I23" s="2395"/>
      <c r="J23" s="2394"/>
      <c r="K23" s="2394"/>
      <c r="L23" s="2395"/>
      <c r="M23" s="2394"/>
      <c r="N23" s="2394"/>
      <c r="O23" s="2395"/>
      <c r="P23" s="2394"/>
      <c r="Q23" s="2394"/>
      <c r="R23" s="2396"/>
    </row>
    <row r="24" spans="1:18" s="2366" customFormat="1" ht="15.75" thickBot="1">
      <c r="A24" s="2411"/>
      <c r="B24" s="2409" t="s">
        <v>2119</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A3" sqref="A3"/>
    </sheetView>
  </sheetViews>
  <sheetFormatPr defaultRowHeight="13.5"/>
  <cols>
    <col min="1" max="1" width="23.375" style="1741" customWidth="1"/>
    <col min="2" max="9" width="15.75" style="1741" customWidth="1"/>
    <col min="10" max="16384" width="9" style="1741"/>
  </cols>
  <sheetData>
    <row r="1" spans="1:10" ht="16.5">
      <c r="A1" s="1746" t="s">
        <v>1366</v>
      </c>
      <c r="B1" s="1746">
        <f>SUM(B14:B23)</f>
        <v>210072.84</v>
      </c>
      <c r="C1" s="1745"/>
      <c r="D1" s="1745"/>
      <c r="E1" s="1745"/>
      <c r="F1" s="1745"/>
      <c r="G1" s="1743"/>
    </row>
    <row r="2" spans="1:10" ht="16.5">
      <c r="A2" s="1746" t="s">
        <v>1354</v>
      </c>
      <c r="B2" s="1746">
        <f>SUM(C14:C23)</f>
        <v>60945.37</v>
      </c>
      <c r="C2" s="1745"/>
      <c r="D2" s="1745"/>
      <c r="E2" s="1745"/>
      <c r="F2" s="1745"/>
      <c r="G2" s="1743"/>
    </row>
    <row r="3" spans="1:10" ht="16.5">
      <c r="A3" s="1746" t="s">
        <v>1363</v>
      </c>
      <c r="B3" s="1747">
        <f>项目基本情况!D3</f>
        <v>43025</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178812</v>
      </c>
      <c r="C5" s="1746">
        <f ca="1">ROUND(B5*10000/$B$1,0)</f>
        <v>8512</v>
      </c>
      <c r="D5" s="1746">
        <f ca="1">ROUND(B5*10000/$B$2,0)</f>
        <v>29340</v>
      </c>
      <c r="E5" s="1745"/>
      <c r="F5" s="1743"/>
      <c r="G5" s="1743"/>
    </row>
    <row r="6" spans="1:10" ht="16.5">
      <c r="A6" s="1746" t="s">
        <v>1357</v>
      </c>
      <c r="B6" s="1746">
        <f ca="1">SUM(G14:G23)</f>
        <v>178812</v>
      </c>
      <c r="C6" s="1746">
        <f ca="1">ROUND(B6*10000/$B$1,0)</f>
        <v>8512</v>
      </c>
      <c r="D6" s="1746">
        <f ca="1">ROUND(B6*10000/$B$2,0)</f>
        <v>29340</v>
      </c>
      <c r="E6" s="1745"/>
      <c r="F6" s="1743"/>
      <c r="G6" s="1743"/>
    </row>
    <row r="7" spans="1:10" ht="16.5">
      <c r="A7" s="1746" t="s">
        <v>1365</v>
      </c>
      <c r="B7" s="1746">
        <f ca="1">SUM(H14:H23)</f>
        <v>178812</v>
      </c>
      <c r="C7" s="1746">
        <f ca="1">ROUND(B7*10000/$B$1,0)</f>
        <v>8512</v>
      </c>
      <c r="D7" s="1746">
        <f ca="1">ROUND(B7*10000/$B$2,0)</f>
        <v>29340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'数据-汇总表'!E3</f>
        <v>210072.84</v>
      </c>
      <c r="C14" s="1744">
        <f>'数据-汇总表'!D3</f>
        <v>60945.37</v>
      </c>
      <c r="D14" s="1744">
        <f ca="1">结果表!H118</f>
        <v>178812</v>
      </c>
      <c r="E14" s="1744">
        <f ca="1">ROUND(D14*10000/B14,0)</f>
        <v>8512</v>
      </c>
      <c r="F14" s="1744">
        <f ca="1">ROUND(D14*10000/C14,0)</f>
        <v>29340</v>
      </c>
      <c r="G14" s="1744">
        <f ca="1">结果表!D122</f>
        <v>178812</v>
      </c>
      <c r="H14" s="1744">
        <f ca="1">结果表!D124</f>
        <v>178812</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4" zoomScaleSheetLayoutView="100" zoomScalePageLayoutView="80" workbookViewId="0">
      <selection activeCell="K32" sqref="K3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2120</v>
      </c>
      <c r="B1" s="2417"/>
      <c r="C1" s="2418"/>
      <c r="D1" s="2417"/>
      <c r="E1" s="2417"/>
      <c r="F1" s="2419" t="s">
        <v>2121</v>
      </c>
      <c r="G1" s="2069" t="s">
        <v>2122</v>
      </c>
      <c r="H1" s="2420" t="str">
        <f>IF(G1="现房","——","估价对象范围")</f>
        <v>估价对象范围</v>
      </c>
      <c r="I1" s="2421" t="s">
        <v>3221</v>
      </c>
    </row>
    <row r="2" spans="1:12" ht="21.75" customHeight="1" thickBot="1">
      <c r="A2" s="3081" t="str">
        <f>项目基本情况!S2</f>
        <v>陕西省西安市新城区华清西路以南、金花北路以西出让国有建设用地使用权及在建建筑物房地产</v>
      </c>
      <c r="B2" s="3082"/>
      <c r="C2" s="3082"/>
      <c r="D2" s="3082"/>
      <c r="E2" s="3082"/>
      <c r="F2" s="3082"/>
      <c r="G2" s="3082"/>
      <c r="H2" s="3082"/>
      <c r="I2" s="3083"/>
    </row>
    <row r="3" spans="1:12" ht="12.75">
      <c r="A3" s="3085" t="s">
        <v>2123</v>
      </c>
      <c r="B3" s="3086"/>
      <c r="C3" s="3086"/>
      <c r="D3" s="3086"/>
      <c r="E3" s="3086"/>
      <c r="F3" s="3086"/>
      <c r="G3" s="3086"/>
      <c r="H3" s="3086"/>
      <c r="I3" s="3086"/>
    </row>
    <row r="4" spans="1:12" ht="14.25">
      <c r="A4" s="2424" t="s">
        <v>2124</v>
      </c>
      <c r="B4" s="2425" t="s">
        <v>2125</v>
      </c>
      <c r="C4" s="2426" t="s">
        <v>3151</v>
      </c>
      <c r="D4" s="2426" t="s">
        <v>3217</v>
      </c>
      <c r="E4" s="3078" t="s">
        <v>2126</v>
      </c>
      <c r="F4" s="3079"/>
      <c r="G4" s="3079"/>
      <c r="H4" s="3079"/>
      <c r="I4" s="308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61" t="s">
        <v>2127</v>
      </c>
      <c r="B5" s="2999">
        <v>25</v>
      </c>
      <c r="C5" s="3064"/>
      <c r="D5" s="3084"/>
      <c r="E5" s="139" t="s">
        <v>2128</v>
      </c>
      <c r="F5" s="2428"/>
      <c r="G5" s="2428"/>
      <c r="H5" s="2428"/>
      <c r="I5" s="1834"/>
    </row>
    <row r="6" spans="1:12" ht="12.75">
      <c r="A6" s="3061"/>
      <c r="B6" s="2999"/>
      <c r="C6" s="3065"/>
      <c r="D6" s="3084"/>
      <c r="E6" s="139" t="s">
        <v>2129</v>
      </c>
      <c r="F6" s="2428"/>
      <c r="G6" s="2428"/>
      <c r="H6" s="2428"/>
      <c r="I6" s="1834"/>
    </row>
    <row r="7" spans="1:12" ht="12.75">
      <c r="A7" s="3061"/>
      <c r="B7" s="2999"/>
      <c r="C7" s="3066"/>
      <c r="D7" s="3084"/>
      <c r="E7" s="139" t="s">
        <v>2130</v>
      </c>
      <c r="F7" s="2428"/>
      <c r="G7" s="2428"/>
      <c r="H7" s="2428"/>
      <c r="I7" s="1834"/>
    </row>
    <row r="8" spans="1:12" ht="12.75">
      <c r="A8" s="3061" t="s">
        <v>2131</v>
      </c>
      <c r="B8" s="2999">
        <v>15</v>
      </c>
      <c r="C8" s="3064"/>
      <c r="D8" s="3084"/>
      <c r="E8" s="139" t="s">
        <v>2132</v>
      </c>
      <c r="F8" s="2428"/>
      <c r="G8" s="2428"/>
      <c r="H8" s="2428"/>
      <c r="I8" s="1834"/>
    </row>
    <row r="9" spans="1:12" ht="12.75">
      <c r="A9" s="3061"/>
      <c r="B9" s="2999"/>
      <c r="C9" s="3066"/>
      <c r="D9" s="3084"/>
      <c r="E9" s="139" t="s">
        <v>2133</v>
      </c>
      <c r="F9" s="2428"/>
      <c r="G9" s="2428"/>
      <c r="H9" s="2428"/>
      <c r="I9" s="1834"/>
    </row>
    <row r="10" spans="1:12" ht="12.75">
      <c r="A10" s="3061" t="s">
        <v>2134</v>
      </c>
      <c r="B10" s="2999">
        <v>15</v>
      </c>
      <c r="C10" s="3064"/>
      <c r="D10" s="3084"/>
      <c r="E10" s="139" t="s">
        <v>2135</v>
      </c>
      <c r="F10" s="2428"/>
      <c r="G10" s="2428"/>
      <c r="H10" s="2428"/>
      <c r="I10" s="1834"/>
    </row>
    <row r="11" spans="1:12" ht="12.75">
      <c r="A11" s="3061"/>
      <c r="B11" s="2999"/>
      <c r="C11" s="3066"/>
      <c r="D11" s="3084"/>
      <c r="E11" s="139" t="s">
        <v>2136</v>
      </c>
      <c r="F11" s="2428"/>
      <c r="G11" s="2428"/>
      <c r="H11" s="2428"/>
      <c r="I11" s="1834"/>
    </row>
    <row r="12" spans="1:12" ht="12.75">
      <c r="A12" s="3061" t="s">
        <v>2137</v>
      </c>
      <c r="B12" s="2999">
        <v>15</v>
      </c>
      <c r="C12" s="3064"/>
      <c r="D12" s="3084"/>
      <c r="E12" s="139" t="s">
        <v>2138</v>
      </c>
      <c r="F12" s="2428"/>
      <c r="G12" s="2428"/>
      <c r="H12" s="2428"/>
      <c r="I12" s="1834"/>
    </row>
    <row r="13" spans="1:12" ht="12.75">
      <c r="A13" s="3061"/>
      <c r="B13" s="2999"/>
      <c r="C13" s="3066"/>
      <c r="D13" s="3084"/>
      <c r="E13" s="139" t="s">
        <v>2139</v>
      </c>
      <c r="F13" s="2428"/>
      <c r="G13" s="2428"/>
      <c r="H13" s="2428"/>
      <c r="I13" s="1834"/>
    </row>
    <row r="14" spans="1:12" ht="12.75">
      <c r="A14" s="3061" t="s">
        <v>2140</v>
      </c>
      <c r="B14" s="2999">
        <v>30</v>
      </c>
      <c r="C14" s="3064">
        <v>3</v>
      </c>
      <c r="D14" s="3084">
        <v>7</v>
      </c>
      <c r="E14" s="139" t="s">
        <v>2141</v>
      </c>
      <c r="F14" s="2428"/>
      <c r="G14" s="2428"/>
      <c r="H14" s="2428"/>
      <c r="I14" s="1834"/>
    </row>
    <row r="15" spans="1:12" ht="12.75">
      <c r="A15" s="3061"/>
      <c r="B15" s="2999"/>
      <c r="C15" s="3065"/>
      <c r="D15" s="3084"/>
      <c r="E15" s="139" t="s">
        <v>2142</v>
      </c>
      <c r="F15" s="2428"/>
      <c r="G15" s="2428"/>
      <c r="H15" s="2428"/>
      <c r="I15" s="1834"/>
    </row>
    <row r="16" spans="1:12" ht="12.75">
      <c r="A16" s="3061"/>
      <c r="B16" s="2999"/>
      <c r="C16" s="3066"/>
      <c r="D16" s="3084"/>
      <c r="E16" s="139" t="s">
        <v>2143</v>
      </c>
      <c r="F16" s="2428"/>
      <c r="G16" s="2428"/>
      <c r="H16" s="2428"/>
      <c r="I16" s="1834"/>
    </row>
    <row r="17" spans="1:35" ht="15">
      <c r="A17" s="2429" t="s">
        <v>2144</v>
      </c>
      <c r="B17" s="63"/>
      <c r="C17" s="140">
        <f>SUM(C5:C16)</f>
        <v>3</v>
      </c>
      <c r="D17" s="140">
        <f>SUM(D5:D16)</f>
        <v>7</v>
      </c>
      <c r="E17" s="137"/>
      <c r="F17" s="137"/>
      <c r="G17" s="137"/>
      <c r="H17" s="137"/>
      <c r="I17" s="137"/>
      <c r="K17" s="2427"/>
      <c r="L17" s="2430" t="s">
        <v>2145</v>
      </c>
      <c r="M17" s="2430" t="s">
        <v>2146</v>
      </c>
    </row>
    <row r="18" spans="1:35" ht="15.75" thickBot="1">
      <c r="A18" s="2431" t="s">
        <v>2147</v>
      </c>
      <c r="B18" s="2432"/>
      <c r="C18" s="141">
        <f>ROUND(C17/SUM(C17:D17),2)</f>
        <v>0.3</v>
      </c>
      <c r="D18" s="141">
        <f>1-C18</f>
        <v>0.7</v>
      </c>
      <c r="E18" s="137"/>
      <c r="F18" s="137"/>
      <c r="G18" s="137"/>
      <c r="H18" s="137"/>
      <c r="I18" s="137"/>
      <c r="K18" s="2427" t="s">
        <v>2148</v>
      </c>
      <c r="L18" s="2427">
        <f>IF(C1="",'数据-汇总表'!E3,SUMIF(项目类型,C1,'数据-汇总表'!E17:E26)+SUMIF(项目类型,C1,'数据-汇总表'!I17:I26))</f>
        <v>210072.84</v>
      </c>
      <c r="M18" s="2427">
        <f>IF(C1="",'数据-汇总表'!E3,SUMIF(项目类型,C1,'数据-汇总表'!E17:E26))</f>
        <v>210072.84</v>
      </c>
    </row>
    <row r="19" spans="1:35" ht="15">
      <c r="A19" s="2433" t="s">
        <v>2149</v>
      </c>
      <c r="B19" s="2434" t="s">
        <v>2150</v>
      </c>
      <c r="C19" s="142">
        <f ca="1">SUMIF(INDIRECT("'"&amp;C4&amp;"'"&amp;"!A:A"),结果表!B19,INDIRECT("'"&amp;C4&amp;"'"&amp;"!B:B"))</f>
        <v>118156</v>
      </c>
      <c r="D19" s="143">
        <f ca="1">SUMIF(INDIRECT("'"&amp;D4&amp;"'"&amp;"!A:A"),结果表!B19,INDIRECT("'"&amp;D4&amp;"'"&amp;"!B:B"))</f>
        <v>204808</v>
      </c>
      <c r="E19" s="2433" t="s">
        <v>2151</v>
      </c>
      <c r="F19" s="2434" t="s">
        <v>2150</v>
      </c>
      <c r="G19" s="144">
        <f ca="1">ROUND(C19*$C$18+D19*$D$18,0)</f>
        <v>178812</v>
      </c>
      <c r="H19" s="2435" t="s">
        <v>2152</v>
      </c>
      <c r="I19" s="137"/>
      <c r="K19" s="2427" t="s">
        <v>2153</v>
      </c>
      <c r="L19" s="2427">
        <f>IF(C1="",'数据-汇总表'!D3,SUMIF(项目类型,C1,'数据-汇总表'!D17:D26)+SUMIF(项目类型,C1,'数据-汇总表'!H17:H27))</f>
        <v>60945.37</v>
      </c>
      <c r="M19" s="2427">
        <f>IF(C1="",'数据-汇总表'!D3,SUMIF(项目类型,C1,'数据-汇总表'!D17:D26))</f>
        <v>60945.37</v>
      </c>
    </row>
    <row r="20" spans="1:35" ht="15">
      <c r="A20" s="2436"/>
      <c r="B20" s="1249" t="s">
        <v>2154</v>
      </c>
      <c r="C20" s="145">
        <f ca="1">SUMIF(INDIRECT("'"&amp;C4&amp;"'"&amp;"!A:A"),结果表!B20,INDIRECT("'"&amp;C4&amp;"'"&amp;"!B:B"))</f>
        <v>5625</v>
      </c>
      <c r="D20" s="146">
        <f ca="1">SUMIF(INDIRECT("'"&amp;D4&amp;"'"&amp;"!A:A"),结果表!B20,INDIRECT("'"&amp;D4&amp;"'"&amp;"!B:B"))</f>
        <v>9749</v>
      </c>
      <c r="E20" s="2436"/>
      <c r="F20" s="1249" t="s">
        <v>2154</v>
      </c>
      <c r="G20" s="147">
        <f ca="1">ROUND(C20*$C$18+D20*$D$18,0)</f>
        <v>8512</v>
      </c>
      <c r="H20" s="983" t="s">
        <v>2155</v>
      </c>
      <c r="I20" s="137"/>
    </row>
    <row r="21" spans="1:35" ht="15" customHeight="1" thickBot="1">
      <c r="A21" s="1003"/>
      <c r="B21" s="2437" t="s">
        <v>2156</v>
      </c>
      <c r="C21" s="789">
        <f ca="1">ROUND(C19*10000/L19,0)</f>
        <v>19387</v>
      </c>
      <c r="D21" s="790">
        <f ca="1">ROUND(D19*10000/L19,0)</f>
        <v>33605</v>
      </c>
      <c r="E21" s="1003"/>
      <c r="F21" s="2437" t="s">
        <v>2156</v>
      </c>
      <c r="G21" s="148">
        <f ca="1">ROUND(G19*10000/L19,0)</f>
        <v>29340</v>
      </c>
      <c r="H21" s="2438" t="s">
        <v>2155</v>
      </c>
      <c r="I21" s="137"/>
    </row>
    <row r="22" spans="1:35" ht="15" thickBot="1">
      <c r="A22" s="2279" t="s">
        <v>2157</v>
      </c>
      <c r="B22" s="2439"/>
      <c r="C22" s="2440"/>
      <c r="D22" s="791">
        <f ca="1">IF(C19&lt;D19,D19/C19-1,C19/D19-1)</f>
        <v>0.73336944378618107</v>
      </c>
      <c r="E22" s="137"/>
      <c r="F22" s="137"/>
      <c r="G22" s="137"/>
      <c r="H22" s="137"/>
      <c r="I22" s="137"/>
    </row>
    <row r="23" spans="1:35" ht="13.5" thickBot="1">
      <c r="A23" s="2417"/>
      <c r="B23" s="2417"/>
      <c r="C23" s="2417"/>
      <c r="D23" s="2417"/>
      <c r="E23" s="137"/>
      <c r="F23" s="137"/>
      <c r="G23" s="137"/>
      <c r="H23" s="137"/>
      <c r="I23" s="137"/>
    </row>
    <row r="24" spans="1:35" ht="14.25">
      <c r="A24" s="3055" t="s">
        <v>2158</v>
      </c>
      <c r="B24" s="2434" t="s">
        <v>2150</v>
      </c>
      <c r="C24" s="144">
        <f>IF(B30=0,0,D30)</f>
        <v>0</v>
      </c>
      <c r="D24" s="2441"/>
      <c r="E24" s="137"/>
      <c r="F24" s="137"/>
      <c r="G24" s="137"/>
      <c r="H24" s="137"/>
      <c r="I24" s="137"/>
    </row>
    <row r="25" spans="1:35" ht="14.25">
      <c r="A25" s="3056"/>
      <c r="B25" s="1249" t="s">
        <v>2154</v>
      </c>
      <c r="C25" s="149">
        <f>IF(B30=0,0,C30)</f>
        <v>0</v>
      </c>
      <c r="D25" s="2442"/>
      <c r="E25" s="137"/>
      <c r="F25" s="137"/>
      <c r="G25" s="137"/>
      <c r="H25" s="137"/>
      <c r="I25" s="137"/>
    </row>
    <row r="26" spans="1:35" ht="13.5" customHeight="1">
      <c r="A26" s="2443" t="s">
        <v>2159</v>
      </c>
      <c r="B26" s="150" t="s">
        <v>2160</v>
      </c>
      <c r="C26" s="150" t="s">
        <v>2161</v>
      </c>
      <c r="D26" s="151" t="s">
        <v>2162</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2" t="s">
        <v>2163</v>
      </c>
      <c r="B30" s="152">
        <f>SUM(B27:B29)</f>
        <v>0</v>
      </c>
      <c r="C30" s="152" t="e">
        <f>ROUND(D30*10000/B30,0)</f>
        <v>#DIV/0!</v>
      </c>
      <c r="D30" s="152">
        <f>SUM(D27:D29)</f>
        <v>0</v>
      </c>
      <c r="E30" s="137"/>
      <c r="F30" s="137"/>
      <c r="G30" s="137"/>
      <c r="H30" s="137"/>
      <c r="I30" s="137"/>
    </row>
    <row r="31" spans="1:35" s="2445" customFormat="1" ht="15" thickBot="1">
      <c r="A31" s="2444"/>
      <c r="B31" s="2444"/>
      <c r="C31" s="2444"/>
      <c r="D31" s="2444"/>
      <c r="E31" s="137"/>
      <c r="F31" s="137"/>
      <c r="G31" s="137"/>
      <c r="H31" s="137"/>
      <c r="I31" s="137"/>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2164</v>
      </c>
      <c r="B32" s="2447"/>
      <c r="C32" s="153">
        <f ca="1">IF(D32="总价",G19-C24,G20-C25)</f>
        <v>178812</v>
      </c>
      <c r="D32" s="2448" t="s">
        <v>2165</v>
      </c>
      <c r="E32" s="137"/>
      <c r="F32" s="137"/>
      <c r="G32" s="137"/>
      <c r="H32" s="137"/>
      <c r="I32" s="137"/>
    </row>
    <row r="33" spans="1:15" ht="15">
      <c r="A33" s="960" t="s">
        <v>2166</v>
      </c>
      <c r="B33" s="2449"/>
      <c r="C33" s="2450" t="s">
        <v>3222</v>
      </c>
      <c r="D33" s="2451" t="s">
        <v>3151</v>
      </c>
      <c r="E33" s="2452" t="s">
        <v>2167</v>
      </c>
      <c r="F33" s="2453" t="str">
        <f>IF(D32="楼面单价","取值（单价）","取值（总价）")</f>
        <v>取值（总价）</v>
      </c>
      <c r="G33" s="137"/>
      <c r="H33" s="137"/>
      <c r="I33" s="137"/>
    </row>
    <row r="34" spans="1:15" ht="15">
      <c r="A34" s="2454"/>
      <c r="B34" s="2455" t="s">
        <v>2168</v>
      </c>
      <c r="C34" s="157">
        <f ca="1">IF(C33="自定义",F34,C32-C35)</f>
        <v>168799</v>
      </c>
      <c r="D34" s="1058">
        <f ca="1">IF(C33="自定义",ROUND(C34/C32,3),IF(C33="收益比率",SUMIF(INDIRECT("'"&amp;D33&amp;"'"&amp;"!b:b"),"土地收益比率",INDIRECT("'"&amp;D33&amp;"'"&amp;"!c:c")),SUMIF(INDIRECT("'"&amp;D33&amp;"'"&amp;"!b:b"),"土地成本比率",INDIRECT("'"&amp;D33&amp;"'"&amp;"!c:c"))))</f>
        <v>0.94399999999999995</v>
      </c>
      <c r="E34" s="2456" t="s">
        <v>2169</v>
      </c>
      <c r="F34" s="1739"/>
      <c r="G34" s="137"/>
      <c r="H34" s="137"/>
      <c r="I34" s="137"/>
    </row>
    <row r="35" spans="1:15" ht="15.75" thickBot="1">
      <c r="A35" s="2457"/>
      <c r="B35" s="2458" t="s">
        <v>2170</v>
      </c>
      <c r="C35" s="1443">
        <f ca="1">IF(C33="自定义",F35,ROUND(C32*D35,0))</f>
        <v>10013</v>
      </c>
      <c r="D35" s="1444">
        <f ca="1">IF(C33="自定义",ROUND(C35/C32,3),IF(C33="收益比率",SUMIF(INDIRECT("'"&amp;D33&amp;"'"&amp;"!b:b"),"建筑物收益比率",INDIRECT("'"&amp;D33&amp;"'"&amp;"!c:c")),SUMIF(INDIRECT("'"&amp;D33&amp;"'"&amp;"!b:b"),"建筑物成本比率",INDIRECT("'"&amp;D33&amp;"'"&amp;"!c:c"))))</f>
        <v>5.6000000000000001E-2</v>
      </c>
      <c r="E35" s="2459" t="s">
        <v>2171</v>
      </c>
      <c r="F35" s="163"/>
      <c r="G35" s="137"/>
      <c r="H35" s="137"/>
      <c r="I35" s="137"/>
    </row>
    <row r="36" spans="1:15" ht="15.75" thickBot="1">
      <c r="A36" s="3073" t="s">
        <v>2172</v>
      </c>
      <c r="B36" s="2460" t="s">
        <v>2173</v>
      </c>
      <c r="C36" s="154"/>
      <c r="D36" s="2461"/>
      <c r="E36" s="2462"/>
      <c r="F36" s="2463"/>
      <c r="G36" s="137"/>
      <c r="H36" s="137"/>
      <c r="I36" s="137"/>
    </row>
    <row r="37" spans="1:15" ht="15.75" thickBot="1">
      <c r="A37" s="3074"/>
      <c r="B37" s="2265" t="s">
        <v>2174</v>
      </c>
      <c r="C37" s="156"/>
      <c r="D37" s="1394"/>
      <c r="E37" s="1394"/>
      <c r="F37" s="2463"/>
      <c r="G37" s="137"/>
      <c r="H37" s="137"/>
      <c r="I37" s="137"/>
    </row>
    <row r="38" spans="1:15" ht="15.75" thickBot="1">
      <c r="A38" s="3075"/>
      <c r="B38" s="2464" t="s">
        <v>2175</v>
      </c>
      <c r="C38" s="727"/>
      <c r="D38" s="2465" t="s">
        <v>2176</v>
      </c>
      <c r="E38" s="1394"/>
      <c r="F38" s="2463"/>
      <c r="G38" s="137"/>
      <c r="H38" s="137"/>
      <c r="I38" s="137"/>
    </row>
    <row r="39" spans="1:15" ht="15">
      <c r="A39" s="2436" t="s">
        <v>2177</v>
      </c>
      <c r="B39" s="2466" t="s">
        <v>2178</v>
      </c>
      <c r="C39" s="2467" t="s">
        <v>2179</v>
      </c>
      <c r="D39" s="2467" t="s">
        <v>2180</v>
      </c>
      <c r="E39" s="2468" t="s">
        <v>2181</v>
      </c>
      <c r="F39" s="2463"/>
      <c r="G39" s="137"/>
      <c r="H39" s="137"/>
      <c r="I39" s="137"/>
    </row>
    <row r="40" spans="1:15" ht="14.25">
      <c r="A40" s="2469" t="s">
        <v>2182</v>
      </c>
      <c r="B40" s="158"/>
      <c r="C40" s="159"/>
      <c r="D40" s="159"/>
      <c r="E40" s="160"/>
      <c r="F40" s="2463"/>
      <c r="G40" s="137"/>
      <c r="H40" s="137"/>
      <c r="I40" s="137"/>
    </row>
    <row r="41" spans="1:15" ht="14.25">
      <c r="A41" s="2469" t="s">
        <v>2183</v>
      </c>
      <c r="B41" s="158"/>
      <c r="C41" s="159"/>
      <c r="D41" s="159"/>
      <c r="E41" s="160"/>
      <c r="F41" s="2463"/>
      <c r="G41" s="137"/>
      <c r="H41" s="137"/>
      <c r="I41" s="137"/>
    </row>
    <row r="42" spans="1:15" ht="15" thickBot="1">
      <c r="A42" s="2470"/>
      <c r="B42" s="161"/>
      <c r="C42" s="162"/>
      <c r="D42" s="162"/>
      <c r="E42" s="163"/>
      <c r="F42" s="2463"/>
      <c r="G42" s="137"/>
      <c r="H42" s="137"/>
      <c r="I42" s="137"/>
    </row>
    <row r="43" spans="1:15" ht="12.75">
      <c r="A43" s="2163"/>
      <c r="B43" s="2163"/>
      <c r="C43" s="2163"/>
      <c r="D43" s="2163"/>
      <c r="E43" s="2163"/>
      <c r="F43" s="2471"/>
      <c r="G43" s="2471"/>
      <c r="H43" s="2471"/>
      <c r="I43" s="2472"/>
    </row>
    <row r="44" spans="1:15" ht="18.75">
      <c r="A44" s="2473" t="s">
        <v>2184</v>
      </c>
      <c r="B44" s="2474"/>
      <c r="C44" s="2474"/>
      <c r="D44" s="2475"/>
      <c r="E44" s="2475"/>
      <c r="F44" s="2476"/>
      <c r="G44" s="2476"/>
      <c r="H44" s="2476"/>
      <c r="I44" s="2476"/>
      <c r="J44" s="2477" t="s">
        <v>2185</v>
      </c>
      <c r="K44" s="2478"/>
      <c r="L44" s="2478"/>
      <c r="M44" s="2478"/>
      <c r="N44" s="2478"/>
      <c r="O44" s="2478"/>
    </row>
    <row r="45" spans="1:15" ht="14.25" customHeight="1" thickBot="1">
      <c r="A45" s="3052" t="s">
        <v>2186</v>
      </c>
      <c r="B45" s="3053"/>
      <c r="C45" s="3054"/>
      <c r="D45" s="164">
        <f ca="1">ROUND(H101*F45,0)</f>
        <v>178812</v>
      </c>
      <c r="E45" s="165" t="s">
        <v>2187</v>
      </c>
      <c r="F45" s="166">
        <v>1</v>
      </c>
      <c r="G45" s="167" t="s">
        <v>2188</v>
      </c>
      <c r="H45" s="137"/>
      <c r="I45" s="137"/>
      <c r="J45" s="3112" t="s">
        <v>2189</v>
      </c>
      <c r="K45" s="3112"/>
      <c r="L45" s="3112"/>
      <c r="M45" s="3112"/>
      <c r="N45" s="3112"/>
      <c r="O45" s="3112"/>
    </row>
    <row r="46" spans="1:15" ht="14.25" customHeight="1">
      <c r="A46" s="3049" t="s">
        <v>2190</v>
      </c>
      <c r="B46" s="3050"/>
      <c r="C46" s="3050"/>
      <c r="D46" s="3050"/>
      <c r="E46" s="3050"/>
      <c r="F46" s="3050"/>
      <c r="G46" s="3051"/>
      <c r="H46" s="2479"/>
      <c r="I46" s="168"/>
      <c r="J46" s="1812">
        <v>1</v>
      </c>
      <c r="K46" s="3112" t="s">
        <v>2191</v>
      </c>
      <c r="L46" s="3112"/>
      <c r="M46" s="3132"/>
      <c r="N46" s="3132"/>
      <c r="O46" s="3132"/>
    </row>
    <row r="47" spans="1:15" ht="12" customHeight="1">
      <c r="A47" s="169" t="s">
        <v>2192</v>
      </c>
      <c r="B47" s="170"/>
      <c r="C47" s="171"/>
      <c r="D47" s="172" t="s">
        <v>2193</v>
      </c>
      <c r="E47" s="24" t="s">
        <v>2194</v>
      </c>
      <c r="F47" s="173" t="s">
        <v>2195</v>
      </c>
      <c r="G47" s="174" t="s">
        <v>2196</v>
      </c>
      <c r="H47" s="2479"/>
      <c r="I47" s="168"/>
      <c r="J47" s="1812">
        <v>2</v>
      </c>
      <c r="K47" s="3112" t="s">
        <v>2197</v>
      </c>
      <c r="L47" s="3112"/>
      <c r="M47" s="3133">
        <f>'数据-取费表'!B2</f>
        <v>43025</v>
      </c>
      <c r="N47" s="3133"/>
      <c r="O47" s="3133"/>
    </row>
    <row r="48" spans="1:15" ht="25.5">
      <c r="A48" s="3080" t="s">
        <v>2198</v>
      </c>
      <c r="B48" s="3063"/>
      <c r="C48" s="3063"/>
      <c r="D48" s="139">
        <f>IF(H48="情况1",0,IF(H48="情况2",D52,IF(H48="情况3",D53,IF(H48="情况4",D54))))</f>
        <v>0</v>
      </c>
      <c r="E48" s="1801" t="str">
        <f>IF(H48="情况4","(销售额-原购置价)×税（费）率","销售额×税（费）率")</f>
        <v>销售额×税（费）率</v>
      </c>
      <c r="F48" s="175" t="str">
        <f>IF(H48="情况1","免征",'数据-取费表'!B41)</f>
        <v>免征</v>
      </c>
      <c r="G48" s="2480" t="s">
        <v>2199</v>
      </c>
      <c r="H48" s="2481" t="s">
        <v>2200</v>
      </c>
      <c r="I48" s="2479"/>
      <c r="J48" s="1812">
        <v>3</v>
      </c>
      <c r="K48" s="3112" t="s">
        <v>2201</v>
      </c>
      <c r="L48" s="3112"/>
      <c r="M48" s="3134">
        <f ca="1">H101</f>
        <v>178812</v>
      </c>
      <c r="N48" s="3134"/>
      <c r="O48" s="3134"/>
    </row>
    <row r="49" spans="1:35" ht="25.5" customHeight="1">
      <c r="A49" s="176" t="s">
        <v>2202</v>
      </c>
      <c r="B49" s="3048" t="s">
        <v>2203</v>
      </c>
      <c r="C49" s="3048"/>
      <c r="D49" s="177">
        <v>0</v>
      </c>
      <c r="E49" s="23" t="s">
        <v>2204</v>
      </c>
      <c r="F49" s="28" t="s">
        <v>34</v>
      </c>
      <c r="G49" s="3118"/>
      <c r="H49" s="137"/>
      <c r="I49" s="2482"/>
      <c r="J49" s="1812">
        <v>4</v>
      </c>
      <c r="K49" s="3112" t="str">
        <f>IF(项目基本情况!E8="房地产抵押价值","房地产抵押价值","抵押担保权已注销时的房地产抵押价值")</f>
        <v>抵押担保权已注销时的房地产抵押价值</v>
      </c>
      <c r="L49" s="3112"/>
      <c r="M49" s="3134">
        <f ca="1">IF(项目基本情况!E8="房地产抵押价值",H107,H109)</f>
        <v>178812</v>
      </c>
      <c r="N49" s="3134"/>
      <c r="O49" s="3134"/>
    </row>
    <row r="50" spans="1:35" ht="25.5" customHeight="1">
      <c r="A50" s="178"/>
      <c r="B50" s="3048" t="s">
        <v>2205</v>
      </c>
      <c r="C50" s="3048"/>
      <c r="D50" s="179"/>
      <c r="E50" s="31"/>
      <c r="F50" s="180"/>
      <c r="G50" s="3119"/>
      <c r="H50" s="137"/>
      <c r="I50" s="2482"/>
      <c r="J50" s="3112" t="s">
        <v>2206</v>
      </c>
      <c r="K50" s="3112"/>
      <c r="L50" s="3112"/>
      <c r="M50" s="3112"/>
      <c r="N50" s="3112"/>
      <c r="O50" s="3112"/>
    </row>
    <row r="51" spans="1:35" ht="12" customHeight="1">
      <c r="A51" s="181"/>
      <c r="B51" s="3048" t="s">
        <v>2207</v>
      </c>
      <c r="C51" s="3048"/>
      <c r="D51" s="182"/>
      <c r="E51" s="30"/>
      <c r="F51" s="180"/>
      <c r="G51" s="3120"/>
      <c r="H51" s="137"/>
      <c r="I51" s="2482"/>
      <c r="J51" s="2483" t="s">
        <v>2208</v>
      </c>
      <c r="K51" s="3112" t="s">
        <v>2209</v>
      </c>
      <c r="L51" s="3112"/>
      <c r="M51" s="2483" t="s">
        <v>2210</v>
      </c>
      <c r="N51" s="2483" t="s">
        <v>2211</v>
      </c>
      <c r="O51" s="2483" t="s">
        <v>2212</v>
      </c>
    </row>
    <row r="52" spans="1:35" ht="24" customHeight="1">
      <c r="A52" s="183" t="s">
        <v>2213</v>
      </c>
      <c r="B52" s="3048" t="s">
        <v>2214</v>
      </c>
      <c r="C52" s="3048"/>
      <c r="D52" s="182">
        <f ca="1">ROUND(D45*'数据-取费表'!B41/(1+'数据-取费表'!C42),0)</f>
        <v>10620</v>
      </c>
      <c r="E52" s="11" t="s">
        <v>2215</v>
      </c>
      <c r="F52" s="184">
        <f>'数据-取费表'!B41</f>
        <v>6.2719999999999998E-2</v>
      </c>
      <c r="G52" s="2484"/>
      <c r="H52" s="137"/>
      <c r="I52" s="2482"/>
      <c r="J52" s="1812">
        <v>1</v>
      </c>
      <c r="K52" s="3113" t="s">
        <v>2216</v>
      </c>
      <c r="L52" s="3113"/>
      <c r="M52" s="1754">
        <f>D48</f>
        <v>0</v>
      </c>
      <c r="N52" s="1812" t="str">
        <f>E48</f>
        <v>销售额×税（费）率</v>
      </c>
      <c r="O52" s="1755" t="str">
        <f>F48</f>
        <v>免征</v>
      </c>
    </row>
    <row r="53" spans="1:35" ht="12" customHeight="1">
      <c r="A53" s="183" t="s">
        <v>2217</v>
      </c>
      <c r="B53" s="3071" t="s">
        <v>2218</v>
      </c>
      <c r="C53" s="3072"/>
      <c r="D53" s="182">
        <f ca="1">ROUND(D45*'数据-取费表'!B41/(1+'数据-取费表'!C42),0)</f>
        <v>10620</v>
      </c>
      <c r="E53" s="11" t="s">
        <v>2215</v>
      </c>
      <c r="F53" s="184">
        <f>'数据-取费表'!B41</f>
        <v>6.2719999999999998E-2</v>
      </c>
      <c r="G53" s="2484"/>
      <c r="H53" s="137"/>
      <c r="I53" s="2482"/>
      <c r="J53" s="1812">
        <v>2</v>
      </c>
      <c r="K53" s="3113" t="s">
        <v>2219</v>
      </c>
      <c r="L53" s="3113"/>
      <c r="M53" s="1754">
        <f t="shared" ref="M53:O54" ca="1" si="0">D55</f>
        <v>89</v>
      </c>
      <c r="N53" s="1812" t="str">
        <f t="shared" si="0"/>
        <v>销售额×税（费）率</v>
      </c>
      <c r="O53" s="1755">
        <f t="shared" si="0"/>
        <v>5.0000000000000001E-4</v>
      </c>
    </row>
    <row r="54" spans="1:35" ht="12" customHeight="1">
      <c r="A54" s="183" t="s">
        <v>2220</v>
      </c>
      <c r="B54" s="3071" t="s">
        <v>2221</v>
      </c>
      <c r="C54" s="3072"/>
      <c r="D54" s="182">
        <f ca="1">C68</f>
        <v>10620</v>
      </c>
      <c r="E54" s="30" t="s">
        <v>2222</v>
      </c>
      <c r="F54" s="184">
        <f>'数据-取费表'!B41</f>
        <v>6.2719999999999998E-2</v>
      </c>
      <c r="G54" s="2484"/>
      <c r="H54" s="2485"/>
      <c r="I54" s="2482"/>
      <c r="J54" s="1812">
        <v>3</v>
      </c>
      <c r="K54" s="3113" t="s">
        <v>2223</v>
      </c>
      <c r="L54" s="3113"/>
      <c r="M54" s="1754">
        <f t="shared" ca="1" si="0"/>
        <v>100517</v>
      </c>
      <c r="N54" s="1812" t="str">
        <f t="shared" si="0"/>
        <v>增值额×税（费）率</v>
      </c>
      <c r="O54" s="1756" t="str">
        <f t="shared" si="0"/>
        <v>——</v>
      </c>
    </row>
    <row r="55" spans="1:35" ht="24" customHeight="1">
      <c r="A55" s="3062" t="s">
        <v>2224</v>
      </c>
      <c r="B55" s="3063"/>
      <c r="C55" s="3063"/>
      <c r="D55" s="185">
        <f ca="1">IF(H55="个人住宅",0,ROUND(D45*I55,0))</f>
        <v>89</v>
      </c>
      <c r="E55" s="11" t="s">
        <v>2225</v>
      </c>
      <c r="F55" s="184">
        <f>IF(H55="正常",I55,"免征")</f>
        <v>5.0000000000000001E-4</v>
      </c>
      <c r="G55" s="2484"/>
      <c r="H55" s="2481" t="s">
        <v>2226</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c r="A56" s="3062" t="s">
        <v>2227</v>
      </c>
      <c r="B56" s="3063"/>
      <c r="C56" s="3063"/>
      <c r="D56" s="185">
        <f ca="1">IF(H56="个人住宅",D57,D58)</f>
        <v>100517</v>
      </c>
      <c r="E56" s="11" t="s">
        <v>2228</v>
      </c>
      <c r="F56" s="184" t="str">
        <f>IF(H56="正常",F58,"免征")</f>
        <v>——</v>
      </c>
      <c r="G56" s="2486" t="s">
        <v>2229</v>
      </c>
      <c r="H56" s="2487" t="s">
        <v>2226</v>
      </c>
      <c r="I56" s="2488"/>
      <c r="J56" s="1812" t="str">
        <f>IF(项目基本情况!K6="上海银行",IF(J55="",4,J55+1),"")</f>
        <v/>
      </c>
      <c r="K56" s="3136" t="str">
        <f>IF(项目基本情况!K6="上海银行","其他处置费用","")</f>
        <v/>
      </c>
      <c r="L56" s="3137"/>
      <c r="M56" s="1754" t="str">
        <f>IF(项目基本情况!K6="上海银行",M69,"")</f>
        <v/>
      </c>
      <c r="N56" s="3139" t="str">
        <f>IF(项目基本情况!K6="上海银行","包含处置中涉及的律师、诉讼、拍卖、评估等费用","")</f>
        <v/>
      </c>
      <c r="O56" s="3140"/>
    </row>
    <row r="57" spans="1:35" ht="12.75">
      <c r="A57" s="183" t="s">
        <v>2202</v>
      </c>
      <c r="B57" s="3078" t="s">
        <v>2230</v>
      </c>
      <c r="C57" s="3087"/>
      <c r="D57" s="187">
        <v>0</v>
      </c>
      <c r="E57" s="23" t="s">
        <v>2204</v>
      </c>
      <c r="F57" s="155"/>
      <c r="G57" s="2484"/>
      <c r="H57" s="2488"/>
      <c r="I57" s="2488"/>
      <c r="J57" s="3113">
        <f>IF(AND(J55="",J56=""),4,IF(项目基本情况!K6="上海银行",结果表!J56+1,结果表!J55+1))</f>
        <v>4</v>
      </c>
      <c r="K57" s="3113" t="s">
        <v>2231</v>
      </c>
      <c r="L57" s="2489" t="s">
        <v>2232</v>
      </c>
      <c r="M57" s="1759"/>
      <c r="N57" s="1760">
        <f ca="1">SUMIF(M52:M56,"&lt;9e307")</f>
        <v>100606</v>
      </c>
      <c r="O57" s="2490"/>
      <c r="P57" s="1753">
        <f ca="1">N57/M49</f>
        <v>0.56263561729637834</v>
      </c>
    </row>
    <row r="58" spans="1:35" ht="24.75">
      <c r="A58" s="183" t="s">
        <v>2213</v>
      </c>
      <c r="B58" s="3078" t="s">
        <v>2233</v>
      </c>
      <c r="C58" s="3079"/>
      <c r="D58" s="185">
        <f ca="1">IF(H58="转让取得",C81,C97)</f>
        <v>100517</v>
      </c>
      <c r="E58" s="11" t="s">
        <v>2228</v>
      </c>
      <c r="F58" s="24" t="s">
        <v>34</v>
      </c>
      <c r="G58" s="2484"/>
      <c r="H58" s="2487" t="s">
        <v>2234</v>
      </c>
      <c r="I58" s="2488"/>
      <c r="J58" s="3113"/>
      <c r="K58" s="3113"/>
      <c r="L58" s="2489" t="s">
        <v>2235</v>
      </c>
      <c r="M58" s="1761"/>
      <c r="N58" s="2491" t="str">
        <f ca="1">NUMBERSTRING(INT(N57*10000),2)&amp;"元整"</f>
        <v>壹拾亿零陆佰零陆万元整</v>
      </c>
      <c r="O58" s="2492"/>
    </row>
    <row r="59" spans="1:35" ht="24.75" thickBot="1">
      <c r="A59" s="3116" t="s">
        <v>2236</v>
      </c>
      <c r="B59" s="3117"/>
      <c r="C59" s="3117"/>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114">
        <f>J57+1</f>
        <v>5</v>
      </c>
      <c r="K59" s="3113" t="s">
        <v>2238</v>
      </c>
      <c r="L59" s="1812" t="s">
        <v>2232</v>
      </c>
      <c r="M59" s="1762"/>
      <c r="N59" s="1763">
        <f ca="1">M49-N57</f>
        <v>78206</v>
      </c>
      <c r="O59" s="2494"/>
    </row>
    <row r="60" spans="1:35" ht="12" customHeight="1">
      <c r="A60" s="2495"/>
      <c r="B60" s="2417"/>
      <c r="C60" s="2417"/>
      <c r="D60" s="2417"/>
      <c r="E60" s="2164"/>
      <c r="F60" s="2488"/>
      <c r="G60" s="2488"/>
      <c r="H60" s="2496"/>
      <c r="I60" s="137"/>
      <c r="J60" s="3115"/>
      <c r="K60" s="3113"/>
      <c r="L60" s="2489" t="s">
        <v>2235</v>
      </c>
      <c r="M60" s="1761"/>
      <c r="N60" s="2491" t="str">
        <f ca="1">NUMBERSTRING(INT(N59*10000),2)&amp;"元整"</f>
        <v>柒亿捌仟贰佰零陆万元整</v>
      </c>
      <c r="O60" s="2492"/>
    </row>
    <row r="61" spans="1:35" ht="13.5" thickBot="1">
      <c r="A61" s="3060" t="s">
        <v>2239</v>
      </c>
      <c r="B61" s="3060"/>
      <c r="C61" s="3060"/>
      <c r="D61" s="3060"/>
      <c r="E61" s="3060"/>
      <c r="F61" s="2488"/>
      <c r="G61" s="2488"/>
      <c r="H61" s="2496"/>
      <c r="I61" s="137"/>
      <c r="J61" s="1812">
        <f>J59+1</f>
        <v>6</v>
      </c>
      <c r="K61" s="3113" t="s">
        <v>2240</v>
      </c>
      <c r="L61" s="3113"/>
      <c r="M61" s="1764"/>
      <c r="N61" s="1765">
        <f ca="1">ROUND(N59*10000/'数据-汇总表'!E3,0)</f>
        <v>3723</v>
      </c>
      <c r="O61" s="2497"/>
    </row>
    <row r="62" spans="1:35" ht="12.75">
      <c r="A62" s="3076" t="s">
        <v>2241</v>
      </c>
      <c r="B62" s="3077"/>
      <c r="C62" s="1804"/>
      <c r="D62" s="1804" t="s">
        <v>2242</v>
      </c>
      <c r="E62" s="192" t="s">
        <v>2243</v>
      </c>
      <c r="F62" s="2488"/>
      <c r="G62" s="2488"/>
      <c r="H62" s="2496"/>
      <c r="I62" s="137"/>
    </row>
    <row r="63" spans="1:35" ht="12.75">
      <c r="A63" s="203" t="s">
        <v>775</v>
      </c>
      <c r="B63" s="193" t="s">
        <v>2244</v>
      </c>
      <c r="C63" s="194">
        <f ca="1">ROUND((C64+C65)/(1+'数据-取费表'!C42),0)</f>
        <v>169330</v>
      </c>
      <c r="D63" s="195"/>
      <c r="E63" s="196"/>
      <c r="F63" s="2488"/>
      <c r="G63" s="2488"/>
      <c r="H63" s="2496"/>
      <c r="I63" s="137"/>
      <c r="J63" s="3138" t="s">
        <v>2245</v>
      </c>
      <c r="K63" s="2498" t="s">
        <v>2246</v>
      </c>
      <c r="L63" s="1752">
        <f ca="1">IF(M49&gt;10000,M49*0.5%,IF(AND(M49&gt;1000,M49&lt;=10000),M49*1%,IF(AND(M49&gt;100,M49&lt;=1000),M49*3%,IF(AND(M49&gt;10,M49&lt;=100),M49*5%,M49*8%))))</f>
        <v>894.06000000000006</v>
      </c>
      <c r="M63" s="24">
        <f ca="1">ROUND(L63,1)</f>
        <v>894.1</v>
      </c>
      <c r="Z63" s="2422"/>
      <c r="AI63" s="2423"/>
    </row>
    <row r="64" spans="1:35" ht="14.25" customHeight="1">
      <c r="A64" s="197" t="s">
        <v>770</v>
      </c>
      <c r="B64" s="198" t="s">
        <v>2247</v>
      </c>
      <c r="C64" s="199">
        <f ca="1">D45</f>
        <v>178812</v>
      </c>
      <c r="D64" s="200" t="s">
        <v>32</v>
      </c>
      <c r="E64" s="201"/>
      <c r="F64" s="2488"/>
      <c r="G64" s="2488"/>
      <c r="H64" s="2496"/>
      <c r="I64" s="137"/>
      <c r="J64" s="3138"/>
      <c r="K64" s="2498" t="s">
        <v>2248</v>
      </c>
      <c r="L64" s="1752">
        <f ca="1">IF(M49&gt;2000,M49*0.5%,IF(AND(M49&gt;1000,M49&lt;=2000),M49*0.6%,IF(AND(M49&gt;500,M49&lt;=1000),M49*0.7%,IF(AND(M49&gt;200,M49&lt;=500),M49*0.8%,IF(AND(M49&gt;100,M49&lt;=200),M49*0.9%,IF(AND(M49&gt;50,M49&lt;=100),M49*1%,IF(AND(M49&gt;20,M49&lt;=50),M49*1.5%,IF(AND(M49&gt;10,M49&lt;=20),M49*2%,IF(AND(M49&gt;1,M49&lt;=10),M49*2.5%)))))))))</f>
        <v>894.06000000000006</v>
      </c>
      <c r="M64" s="24">
        <f t="shared" ref="M64:M65" ca="1" si="1">ROUND(L64,1)</f>
        <v>894.1</v>
      </c>
      <c r="N64" s="137" t="s">
        <v>2249</v>
      </c>
      <c r="Z64" s="2422"/>
      <c r="AI64" s="2423"/>
    </row>
    <row r="65" spans="1:35" ht="14.25" customHeight="1">
      <c r="A65" s="197" t="s">
        <v>771</v>
      </c>
      <c r="B65" s="198" t="s">
        <v>2250</v>
      </c>
      <c r="C65" s="202"/>
      <c r="D65" s="200"/>
      <c r="E65" s="201"/>
      <c r="F65" s="2488"/>
      <c r="G65" s="2488"/>
      <c r="H65" s="2496"/>
      <c r="I65" s="137"/>
      <c r="J65" s="3138"/>
      <c r="K65" s="2498" t="s">
        <v>2251</v>
      </c>
      <c r="L65" s="1752">
        <f ca="1">IF(M49&gt;1000,M49*0.1%,IF(AND(M49&gt;500,M49&lt;=1000),M49*0.5%,IF(AND(M49&gt;50,M49&lt;=500),M49*1%,IF(AND(M49&gt;1,M49&lt;=50),M49*1.5%))))</f>
        <v>178.81200000000001</v>
      </c>
      <c r="M65" s="24">
        <f t="shared" ca="1" si="1"/>
        <v>178.8</v>
      </c>
      <c r="N65" s="137" t="s">
        <v>2249</v>
      </c>
      <c r="Z65" s="2422"/>
      <c r="AI65" s="2423"/>
    </row>
    <row r="66" spans="1:35" ht="14.25" customHeight="1">
      <c r="A66" s="203" t="s">
        <v>772</v>
      </c>
      <c r="B66" s="204" t="s">
        <v>2252</v>
      </c>
      <c r="C66" s="205"/>
      <c r="D66" s="206" t="s">
        <v>32</v>
      </c>
      <c r="E66" s="1776" t="s">
        <v>1372</v>
      </c>
      <c r="F66" s="2488"/>
      <c r="G66" s="2488"/>
      <c r="H66" s="2496"/>
      <c r="I66" s="137"/>
      <c r="J66" s="3138"/>
      <c r="K66" s="2498" t="s">
        <v>2253</v>
      </c>
      <c r="L66" s="1752">
        <f ca="1">M49*0.5%</f>
        <v>894.06000000000006</v>
      </c>
      <c r="M66" s="24">
        <f ca="1">IF(L66&gt;0.5,0.5,ROUND(L66,0))</f>
        <v>0.5</v>
      </c>
      <c r="N66" s="137" t="s">
        <v>2254</v>
      </c>
      <c r="Z66" s="2422"/>
      <c r="AI66" s="2423"/>
    </row>
    <row r="67" spans="1:35" ht="14.25" customHeight="1">
      <c r="A67" s="203" t="s">
        <v>773</v>
      </c>
      <c r="B67" s="204" t="s">
        <v>2255</v>
      </c>
      <c r="C67" s="207">
        <f ca="1">C63-C66</f>
        <v>169330</v>
      </c>
      <c r="D67" s="200" t="s">
        <v>32</v>
      </c>
      <c r="E67" s="201"/>
      <c r="F67" s="2488"/>
      <c r="G67" s="2488"/>
      <c r="H67" s="2496"/>
      <c r="I67" s="137"/>
      <c r="J67" s="3138"/>
      <c r="K67" s="2498" t="s">
        <v>2256</v>
      </c>
      <c r="L67" s="1752">
        <f ca="1">IF(M49&gt;=10000,(8.25+(M49-10000)*0.01%),IF(AND(M49&gt;=8000,M49&lt;10000),(7.85+(M49-8000)*0.02%),IF(AND(M49&gt;=5000,M49&lt;8000),(6.65+(M49-5000)*0.04%),IF(AND(M49&gt;=2000,M49&lt;5000),(4.25+(PM49-2000)*0.08%),IF(AND(M49&gt;=1000,M49&lt;2000),(2.75+(M49-1000)*0.15%),IF(AND(M49&gt;=100,M49&lt;1000),(0.5+(M49-100)*0.25%),IF(AND(M49&gt;0,M49&lt;100),M49*0.5%)))))))</f>
        <v>25.1312</v>
      </c>
      <c r="M67" s="24">
        <f ca="1">ROUND(L67*0.9,1)</f>
        <v>22.6</v>
      </c>
      <c r="Z67" s="2422"/>
      <c r="AI67" s="2423"/>
    </row>
    <row r="68" spans="1:35" ht="14.25" customHeight="1" thickBot="1">
      <c r="A68" s="208" t="s">
        <v>774</v>
      </c>
      <c r="B68" s="209" t="s">
        <v>2257</v>
      </c>
      <c r="C68" s="210">
        <f ca="1">IF(C67&lt;=0,0,ROUND(C67*D68,0))</f>
        <v>10620</v>
      </c>
      <c r="D68" s="211">
        <f>'数据-取费表'!B41</f>
        <v>6.2719999999999998E-2</v>
      </c>
      <c r="E68" s="212"/>
      <c r="F68" s="2488"/>
      <c r="G68" s="2488"/>
      <c r="H68" s="2496"/>
      <c r="I68" s="137"/>
      <c r="J68" s="3138"/>
      <c r="K68" s="2498" t="s">
        <v>2258</v>
      </c>
      <c r="L68" s="1752">
        <f ca="1">IF(M49&gt;10000,M49*0.5%,IF(AND(M49&gt;5000,M49&lt;=10000),M49*1%,IF(AND(M49&gt;1000,M49&lt;=5000),M49*2%,IF(AND(M49&gt;200,M49&lt;=1000),M49*3%,M49*5%))))</f>
        <v>894.06000000000006</v>
      </c>
      <c r="M68" s="24">
        <f ca="1">ROUND(L68,1)</f>
        <v>894.1</v>
      </c>
      <c r="Z68" s="2422"/>
      <c r="AI68" s="2423"/>
    </row>
    <row r="69" spans="1:35" s="2445" customFormat="1" ht="16.5" customHeight="1">
      <c r="A69" s="2499"/>
      <c r="B69" s="2500"/>
      <c r="C69" s="2501"/>
      <c r="D69" s="2502"/>
      <c r="E69" s="2503"/>
      <c r="F69" s="2164"/>
      <c r="G69" s="2164"/>
      <c r="H69" s="2163"/>
      <c r="I69" s="2417"/>
      <c r="J69" s="3138"/>
      <c r="K69" s="2498" t="s">
        <v>2259</v>
      </c>
      <c r="L69" s="2504"/>
      <c r="M69" s="24">
        <f ca="1">ROUND(SUM(M63:M68),0)</f>
        <v>2884</v>
      </c>
      <c r="N69" s="1753">
        <f ca="1">M69/M49</f>
        <v>1.6128671453817418E-2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097" t="s">
        <v>2260</v>
      </c>
      <c r="B70" s="3098"/>
      <c r="C70" s="3098"/>
      <c r="D70" s="3098"/>
      <c r="E70" s="3098"/>
      <c r="F70" s="3098"/>
      <c r="G70" s="3098"/>
      <c r="H70" s="309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6" t="s">
        <v>2241</v>
      </c>
      <c r="B71" s="3077"/>
      <c r="C71" s="1804"/>
      <c r="D71" s="1804"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2261</v>
      </c>
      <c r="C72" s="207">
        <f ca="1">ROUND(D45/(1+'数据-取费表'!C42),0)</f>
        <v>169330</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2262</v>
      </c>
      <c r="C73" s="207">
        <f ca="1">C74+C78</f>
        <v>1138</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2263</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2268</v>
      </c>
      <c r="C76" s="200">
        <f>IF(F75="购房发票",ROUND(C75*H75*D76,0),0)</f>
        <v>0</v>
      </c>
      <c r="D76" s="222">
        <v>0.05</v>
      </c>
      <c r="E76" s="3071" t="s">
        <v>2269</v>
      </c>
      <c r="F76" s="3048"/>
      <c r="G76" s="3048"/>
      <c r="H76" s="309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2" t="s">
        <v>2272</v>
      </c>
      <c r="H77" s="1808" t="str">
        <f>IF(G77="个人买卖住房","免征印花税"," ")</f>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2273</v>
      </c>
      <c r="C78" s="225">
        <f ca="1">ROUND(D45*D78/(1+'数据-取费表'!C42),0)</f>
        <v>1138</v>
      </c>
      <c r="D78" s="226">
        <f>'数据-取费表'!B43</f>
        <v>6.7200000000000003E-3</v>
      </c>
      <c r="E78" s="3057" t="s">
        <v>2274</v>
      </c>
      <c r="F78" s="3058"/>
      <c r="G78" s="3058"/>
      <c r="H78" s="306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2275</v>
      </c>
      <c r="C79" s="207">
        <f ca="1">C72-C73</f>
        <v>168192</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2276</v>
      </c>
      <c r="C80" s="227">
        <f ca="1">IF(C79&lt;=0,0,C79/C73)</f>
        <v>147.79613356766257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2277</v>
      </c>
      <c r="C81" s="228">
        <f ca="1">ROUND(IF(C79&lt;=0,0,IF(C80&gt;=200%,C79*60%-C73*35%,IF(C80&gt;=100%,C79*50%-C73*15%,IF(C80&gt;=50%,C79*40%-C73*5%,IF(C80&lt;50%,C79*30%,0))))),0)</f>
        <v>100517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7" t="s">
        <v>2278</v>
      </c>
      <c r="B83" s="3098"/>
      <c r="C83" s="3098"/>
      <c r="D83" s="3098"/>
      <c r="E83" s="3098"/>
      <c r="F83" s="3098"/>
      <c r="G83" s="3098"/>
      <c r="H83" s="309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6" t="s">
        <v>2241</v>
      </c>
      <c r="B84" s="3077"/>
      <c r="C84" s="1804"/>
      <c r="D84" s="1804"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2261</v>
      </c>
      <c r="C85" s="207">
        <f ca="1">ROUND(D45/(1+'数据-取费表'!C42),0)</f>
        <v>169330</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2262</v>
      </c>
      <c r="C86" s="207">
        <f ca="1">IF(H88="仅含出让金",C87+C90+C91+C92+C93+C94,C87+C91+C92+C93+C94)</f>
        <v>1138</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2279</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2280</v>
      </c>
      <c r="C88" s="236"/>
      <c r="D88" s="226"/>
      <c r="E88" s="237" t="s">
        <v>2281</v>
      </c>
      <c r="F88" s="1800"/>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2270</v>
      </c>
      <c r="C89" s="225">
        <f>ROUND(C88*D89,0)</f>
        <v>0</v>
      </c>
      <c r="D89" s="226">
        <f>'数据-取费表'!B48+'数据-取费表'!B49</f>
        <v>3.0499999999999999E-2</v>
      </c>
      <c r="E89" s="237" t="s">
        <v>2283</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2284</v>
      </c>
      <c r="C90" s="236"/>
      <c r="D90" s="226"/>
      <c r="E90" s="237" t="str">
        <f>IF(H88="-","土地取得成本中已包含该笔费用"," ")</f>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2285</v>
      </c>
      <c r="B91" s="198" t="s">
        <v>2286</v>
      </c>
      <c r="C91" s="225">
        <f>IF(H91="——",成本法!C33,I91)</f>
        <v>0</v>
      </c>
      <c r="D91" s="226"/>
      <c r="E91" s="3057" t="s">
        <v>2287</v>
      </c>
      <c r="F91" s="3058"/>
      <c r="G91" s="3058"/>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2289</v>
      </c>
      <c r="B92" s="198" t="s">
        <v>2290</v>
      </c>
      <c r="C92" s="225">
        <f>ROUND((C87+C90+C91)*D92,0)</f>
        <v>0</v>
      </c>
      <c r="D92" s="226">
        <v>0.1</v>
      </c>
      <c r="E92" s="3057" t="s">
        <v>2291</v>
      </c>
      <c r="F92" s="3058"/>
      <c r="G92" s="3058"/>
      <c r="H92" s="306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2292</v>
      </c>
      <c r="B93" s="198" t="s">
        <v>2273</v>
      </c>
      <c r="C93" s="225">
        <f ca="1">ROUND(D45*D93/(1+'数据-取费表'!C42),0)</f>
        <v>1138</v>
      </c>
      <c r="D93" s="226">
        <f>'数据-取费表'!B43</f>
        <v>6.7200000000000003E-3</v>
      </c>
      <c r="E93" s="3057" t="s">
        <v>2274</v>
      </c>
      <c r="F93" s="3058"/>
      <c r="G93" s="3058"/>
      <c r="H93" s="306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2293</v>
      </c>
      <c r="B94" s="198" t="s">
        <v>2294</v>
      </c>
      <c r="C94" s="236">
        <f>ROUND((C87+C90+C91)*D94,0)</f>
        <v>0</v>
      </c>
      <c r="D94" s="226">
        <v>0.2</v>
      </c>
      <c r="E94" s="3068" t="s">
        <v>2295</v>
      </c>
      <c r="F94" s="3069"/>
      <c r="G94" s="3069"/>
      <c r="H94" s="307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2275</v>
      </c>
      <c r="C95" s="207">
        <f ca="1">ROUND(C85-C86,0)</f>
        <v>168192</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2276</v>
      </c>
      <c r="C96" s="227">
        <f ca="1">IF(C95&lt;=0,0,C95/C86)</f>
        <v>147.79613356766257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2277</v>
      </c>
      <c r="C97" s="228">
        <f ca="1">ROUND(IF(C95&lt;=0,0,IF(C96&gt;=200%,C95*60%-C86*35%,IF(C96&gt;=100%,C95*50%-C86*15%,IF(C96&gt;=50%,C95*40%-C86*5%,IF(C96&lt;50%,C95*30%,0))))),0)</f>
        <v>100517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2296</v>
      </c>
      <c r="B99" s="2417"/>
      <c r="C99" s="2417"/>
      <c r="D99" s="2417"/>
      <c r="E99" s="2164"/>
      <c r="F99" s="2164"/>
      <c r="G99" s="2164"/>
      <c r="H99" s="2163"/>
      <c r="I99" s="137"/>
    </row>
    <row r="100" spans="1:35" ht="18.75" customHeight="1">
      <c r="A100" s="3042" t="s">
        <v>2297</v>
      </c>
      <c r="B100" s="3043"/>
      <c r="C100" s="3043"/>
      <c r="D100" s="3059"/>
      <c r="E100" s="3043" t="s">
        <v>2298</v>
      </c>
      <c r="F100" s="3043"/>
      <c r="G100" s="3043"/>
      <c r="H100" s="3059"/>
      <c r="I100" s="137"/>
    </row>
    <row r="101" spans="1:35" ht="18.75" customHeight="1">
      <c r="A101" s="3121" t="s">
        <v>2299</v>
      </c>
      <c r="B101" s="3122"/>
      <c r="C101" s="736" t="str">
        <f>C4</f>
        <v>成本法</v>
      </c>
      <c r="D101" s="737" t="str">
        <f>D4</f>
        <v>假设开发法</v>
      </c>
      <c r="E101" s="3135" t="s">
        <v>2300</v>
      </c>
      <c r="F101" s="3089"/>
      <c r="G101" s="2519" t="s">
        <v>2301</v>
      </c>
      <c r="H101" s="1048">
        <f ca="1">H118</f>
        <v>178812</v>
      </c>
      <c r="I101" s="137"/>
    </row>
    <row r="102" spans="1:35" ht="18.75" customHeight="1">
      <c r="A102" s="3091" t="s">
        <v>2302</v>
      </c>
      <c r="B102" s="2519" t="s">
        <v>2301</v>
      </c>
      <c r="C102" s="736">
        <f ca="1">C19</f>
        <v>118156</v>
      </c>
      <c r="D102" s="737">
        <f ca="1">D19</f>
        <v>204808</v>
      </c>
      <c r="E102" s="3135"/>
      <c r="F102" s="3089"/>
      <c r="G102" s="2519" t="s">
        <v>2303</v>
      </c>
      <c r="H102" s="371">
        <f ca="1">I118</f>
        <v>8512</v>
      </c>
      <c r="I102" s="137"/>
    </row>
    <row r="103" spans="1:35" ht="42.75" customHeight="1">
      <c r="A103" s="3091"/>
      <c r="B103" s="2519" t="s">
        <v>2303</v>
      </c>
      <c r="C103" s="738">
        <f ca="1">C20</f>
        <v>5625</v>
      </c>
      <c r="D103" s="739">
        <f ca="1">D20</f>
        <v>9749</v>
      </c>
      <c r="E103" s="3130" t="s">
        <v>2304</v>
      </c>
      <c r="F103" s="3131"/>
      <c r="G103" s="2520" t="s">
        <v>2305</v>
      </c>
      <c r="H103" s="1048">
        <f>IF(D36="正常操作",H104+H105+H106,H105+H106)</f>
        <v>0</v>
      </c>
      <c r="I103" s="137"/>
    </row>
    <row r="104" spans="1:35" ht="18.75" customHeight="1">
      <c r="A104" s="3091" t="s">
        <v>2306</v>
      </c>
      <c r="B104" s="2521" t="s">
        <v>2301</v>
      </c>
      <c r="C104" s="740">
        <f ca="1">H118</f>
        <v>178812</v>
      </c>
      <c r="D104" s="741"/>
      <c r="E104" s="2265" t="s">
        <v>2307</v>
      </c>
      <c r="F104" s="2256"/>
      <c r="G104" s="2520" t="s">
        <v>2305</v>
      </c>
      <c r="H104" s="1049">
        <f>IF(D36="同一抵押权人同一抵押物续贷",C36&amp;"（未扣减，详见特别提示）",C36)</f>
        <v>0</v>
      </c>
      <c r="I104" s="137"/>
    </row>
    <row r="105" spans="1:35" ht="18.75" customHeight="1" thickBot="1">
      <c r="A105" s="3092"/>
      <c r="B105" s="2522" t="s">
        <v>2303</v>
      </c>
      <c r="C105" s="742">
        <f ca="1">I118</f>
        <v>8512</v>
      </c>
      <c r="D105" s="743"/>
      <c r="E105" s="2265" t="s">
        <v>2308</v>
      </c>
      <c r="F105" s="2256"/>
      <c r="G105" s="2520" t="s">
        <v>2305</v>
      </c>
      <c r="H105" s="1049">
        <f>C37</f>
        <v>0</v>
      </c>
      <c r="I105" s="137"/>
    </row>
    <row r="106" spans="1:35" ht="18.75" customHeight="1">
      <c r="A106" s="2417" t="s">
        <v>2309</v>
      </c>
      <c r="B106" s="2417"/>
      <c r="C106" s="2417"/>
      <c r="D106" s="2417"/>
      <c r="E106" s="2523" t="s">
        <v>2310</v>
      </c>
      <c r="F106" s="2256"/>
      <c r="G106" s="2520" t="s">
        <v>2305</v>
      </c>
      <c r="H106" s="1049">
        <f>C38</f>
        <v>0</v>
      </c>
      <c r="I106" s="137"/>
    </row>
    <row r="107" spans="1:35" ht="18.75" customHeight="1">
      <c r="A107" s="137"/>
      <c r="B107" s="137"/>
      <c r="C107" s="137"/>
      <c r="D107" s="137"/>
      <c r="E107" s="3088" t="str">
        <f>IF(项目基本情况!E8="已注销","——","3.房地产抵押价值")</f>
        <v>3.房地产抵押价值</v>
      </c>
      <c r="F107" s="3089"/>
      <c r="G107" s="2519" t="s">
        <v>2301</v>
      </c>
      <c r="H107" s="1048">
        <f ca="1">IF(E107="——","——",H101-H103)</f>
        <v>178812</v>
      </c>
      <c r="I107" s="137"/>
    </row>
    <row r="108" spans="1:35" ht="18.75" customHeight="1">
      <c r="A108" s="137"/>
      <c r="B108" s="137"/>
      <c r="C108" s="137"/>
      <c r="D108" s="137"/>
      <c r="E108" s="3088"/>
      <c r="F108" s="3089"/>
      <c r="G108" s="2519" t="s">
        <v>2303</v>
      </c>
      <c r="H108" s="371">
        <f ca="1">ROUND(H107*10000/'数据-汇总表'!E3,0)</f>
        <v>8512</v>
      </c>
      <c r="I108" s="137"/>
    </row>
    <row r="109" spans="1:35" ht="18.75" customHeight="1">
      <c r="A109" s="137"/>
      <c r="B109" s="137"/>
      <c r="C109" s="137"/>
      <c r="D109" s="137"/>
      <c r="E109" s="3088" t="str">
        <f>IF(项目基本情况!E8="已注销及未注销","4.抵押担保权已注销时的房地产抵押价值",IF(项目基本情况!E8="已注销","3.抵押担保权已注销时的房地产抵押价值","——"))</f>
        <v>4.抵押担保权已注销时的房地产抵押价值</v>
      </c>
      <c r="F109" s="3089"/>
      <c r="G109" s="2519" t="s">
        <v>2301</v>
      </c>
      <c r="H109" s="348">
        <f ca="1">IF(E109="——","——",H101-H105-H106)</f>
        <v>178812</v>
      </c>
      <c r="I109" s="137"/>
    </row>
    <row r="110" spans="1:35" ht="18.75" customHeight="1">
      <c r="A110" s="137"/>
      <c r="B110" s="137"/>
      <c r="C110" s="137"/>
      <c r="D110" s="137"/>
      <c r="E110" s="3088"/>
      <c r="F110" s="3089"/>
      <c r="G110" s="2519" t="s">
        <v>2303</v>
      </c>
      <c r="H110" s="371">
        <f ca="1">IF(H109="——","——",ROUND(H109*10000/'数据-汇总表'!E3,0))</f>
        <v>8512</v>
      </c>
      <c r="I110" s="137"/>
    </row>
    <row r="111" spans="1:35" ht="18.75" customHeight="1">
      <c r="A111" s="137"/>
      <c r="B111" s="137"/>
      <c r="C111" s="137"/>
      <c r="D111" s="137"/>
      <c r="E111" s="3123" t="str">
        <f>IF(项目基本情况!E9="抵押净值",IF(OR(项目基本情况!E8="已注销",项目基本情况!E8="房地产抵押价值"),"4.抵押净值","5.抵押净值"),"——")</f>
        <v>——</v>
      </c>
      <c r="F111" s="3124"/>
      <c r="G111" s="2519" t="s">
        <v>2301</v>
      </c>
      <c r="H111" s="1048" t="str">
        <f>IF(E111="——","——",N59)</f>
        <v>——</v>
      </c>
      <c r="I111" s="137"/>
    </row>
    <row r="112" spans="1:35" ht="18.75" customHeight="1" thickBot="1">
      <c r="A112" s="137"/>
      <c r="B112" s="137"/>
      <c r="C112" s="137"/>
      <c r="D112" s="137"/>
      <c r="E112" s="3125"/>
      <c r="F112" s="3126"/>
      <c r="G112" s="2524" t="s">
        <v>2303</v>
      </c>
      <c r="H112" s="790" t="str">
        <f>IF(E111="——","——",N61)</f>
        <v>——</v>
      </c>
      <c r="I112" s="137"/>
    </row>
    <row r="113" spans="1:11" ht="18.75" customHeight="1">
      <c r="A113" s="137"/>
      <c r="B113" s="137"/>
      <c r="C113" s="137"/>
      <c r="D113" s="137"/>
      <c r="E113" s="3093" t="s">
        <v>2309</v>
      </c>
      <c r="F113" s="3093"/>
      <c r="G113" s="3093"/>
      <c r="H113" s="3093"/>
      <c r="I113" s="137"/>
    </row>
    <row r="114" spans="1:11" ht="3.75" customHeight="1">
      <c r="A114" s="2417"/>
      <c r="B114" s="2417"/>
      <c r="C114" s="2417"/>
      <c r="D114" s="2417"/>
      <c r="E114" s="2495"/>
      <c r="F114" s="2495"/>
      <c r="G114" s="2495"/>
      <c r="H114" s="2495"/>
      <c r="I114" s="2417"/>
    </row>
    <row r="115" spans="1:11" ht="18.75" customHeight="1">
      <c r="A115" s="3106" t="s">
        <v>2311</v>
      </c>
      <c r="B115" s="3107"/>
      <c r="C115" s="3107"/>
      <c r="D115" s="3107"/>
      <c r="E115" s="3107"/>
      <c r="F115" s="3107"/>
      <c r="G115" s="3107"/>
      <c r="H115" s="3107"/>
      <c r="I115" s="3108"/>
    </row>
    <row r="116" spans="1:11" ht="27" customHeight="1">
      <c r="A116" s="2999" t="s">
        <v>2312</v>
      </c>
      <c r="B116" s="3094" t="s">
        <v>2313</v>
      </c>
      <c r="C116" s="3094" t="s">
        <v>2314</v>
      </c>
      <c r="D116" s="3110" t="s">
        <v>2315</v>
      </c>
      <c r="E116" s="3111"/>
      <c r="F116" s="3102" t="s">
        <v>2316</v>
      </c>
      <c r="G116" s="3102"/>
      <c r="H116" s="2999" t="s">
        <v>2317</v>
      </c>
      <c r="I116" s="2999"/>
    </row>
    <row r="117" spans="1:11" ht="18.75" customHeight="1">
      <c r="A117" s="2999"/>
      <c r="B117" s="3095"/>
      <c r="C117" s="3095"/>
      <c r="D117" s="1798" t="s">
        <v>2318</v>
      </c>
      <c r="E117" s="1798" t="s">
        <v>2319</v>
      </c>
      <c r="F117" s="1798" t="s">
        <v>2318</v>
      </c>
      <c r="G117" s="1798" t="s">
        <v>2320</v>
      </c>
      <c r="H117" s="1798" t="s">
        <v>2318</v>
      </c>
      <c r="I117" s="1798" t="s">
        <v>2320</v>
      </c>
    </row>
    <row r="118" spans="1:11" ht="24.75" customHeight="1">
      <c r="A118" s="2525" t="str">
        <f>项目基本情况!S2</f>
        <v>陕西省西安市新城区华清西路以南、金花北路以西出让国有建设用地使用权及在建建筑物房地产</v>
      </c>
      <c r="B118" s="1798">
        <f>M18</f>
        <v>210072.84</v>
      </c>
      <c r="C118" s="1798">
        <f>M19</f>
        <v>60945.37</v>
      </c>
      <c r="D118" s="1798">
        <f ca="1">ROUND(IF(D32="总价",C34,E118*B118/10000),0)</f>
        <v>168799</v>
      </c>
      <c r="E118" s="1798">
        <f ca="1">ROUND(IF(C33="自定义",IF(D32="楼面单价",C34,D118*10000/B118),I118-G118),0)</f>
        <v>8035</v>
      </c>
      <c r="F118" s="1798">
        <f ca="1">ROUND(IF(D32="总价",C35,G118*B118/10000),0)</f>
        <v>10013</v>
      </c>
      <c r="G118" s="1798">
        <f ca="1">ROUND(IF(D32="楼面单价",C35,F118*10000/B118),0)</f>
        <v>477</v>
      </c>
      <c r="H118" s="1798">
        <f ca="1">ROUND(IF(D32="总价",C32,I118*B118/10000),0)</f>
        <v>178812</v>
      </c>
      <c r="I118" s="1798">
        <f ca="1">ROUND(IF(D32="楼面单价",C32,H118*10000/B118),0)</f>
        <v>8512</v>
      </c>
    </row>
    <row r="119" spans="1:11" ht="18.75" customHeight="1">
      <c r="A119" s="2999" t="s">
        <v>2321</v>
      </c>
      <c r="B119" s="2999"/>
      <c r="C119" s="2999"/>
      <c r="D119" s="3099" t="str">
        <f ca="1">NUMBERSTRING(INT(D118*10000),2)&amp;"元整"</f>
        <v>壹拾陆亿捌仟柒佰玖拾玖万元整</v>
      </c>
      <c r="E119" s="3101"/>
      <c r="F119" s="3099" t="str">
        <f ca="1">NUMBERSTRING(INT(F118*10000),2)&amp;"元整"</f>
        <v>壹亿零壹拾叁万元整</v>
      </c>
      <c r="G119" s="3101"/>
      <c r="H119" s="3099" t="str">
        <f ca="1">NUMBERSTRING(INT(H118*10000),2)&amp;"元整"</f>
        <v>壹拾柒亿捌仟捌佰壹拾贰万元整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2" t="str">
        <f>IF(D120=0,"故，本次评估不存在"&amp;A120,"故，本次评估"&amp;A120&amp;"为人民币"&amp;D120&amp;"万元整。")</f>
        <v>故，本次评估不存在估价师知悉的法定优先受偿款</v>
      </c>
    </row>
    <row r="121" spans="1:11" ht="18.75" customHeight="1">
      <c r="A121" s="3103" t="s">
        <v>2321</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178812</v>
      </c>
      <c r="E122" s="3128"/>
      <c r="F122" s="3128"/>
      <c r="G122" s="3128"/>
      <c r="H122" s="3128"/>
      <c r="I122" s="3129"/>
    </row>
    <row r="123" spans="1:11" ht="18.75" customHeight="1">
      <c r="A123" s="2999" t="s">
        <v>2321</v>
      </c>
      <c r="B123" s="2999"/>
      <c r="C123" s="2999"/>
      <c r="D123" s="3099" t="str">
        <f ca="1">NUMBERSTRING(INT(D122*10000),2)&amp;"元整"</f>
        <v>壹拾柒亿捌仟捌佰壹拾贰万元整</v>
      </c>
      <c r="E123" s="3100"/>
      <c r="F123" s="3100"/>
      <c r="G123" s="3100"/>
      <c r="H123" s="3100"/>
      <c r="I123" s="3101"/>
    </row>
    <row r="124" spans="1:11" ht="18.75" customHeight="1">
      <c r="A124" s="3090" t="str">
        <f>IF(项目基本情况!B9="房地产市场价值","",MID(E109,3,LEN(E109)-2))</f>
        <v>抵押担保权已注销时的房地产抵押价值</v>
      </c>
      <c r="B124" s="3090"/>
      <c r="C124" s="3090"/>
      <c r="D124" s="3127">
        <f ca="1">H109</f>
        <v>178812</v>
      </c>
      <c r="E124" s="3128"/>
      <c r="F124" s="3128"/>
      <c r="G124" s="3128"/>
      <c r="H124" s="3128"/>
      <c r="I124" s="3129"/>
    </row>
    <row r="125" spans="1:11" ht="18.75" customHeight="1">
      <c r="A125" s="2999" t="s">
        <v>2321</v>
      </c>
      <c r="B125" s="2999"/>
      <c r="C125" s="2999"/>
      <c r="D125" s="3099" t="str">
        <f ca="1">NUMBERSTRING(INT(D124*10000),2)&amp;"元整"</f>
        <v>壹拾柒亿捌仟捌佰壹拾贰万元整</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2321</v>
      </c>
      <c r="B127" s="2999"/>
      <c r="C127" s="2999"/>
      <c r="D127" s="3099" t="e">
        <f>NUMBERSTRING(INT(D126*10000),2)&amp;"元整"</f>
        <v>#VALUE!</v>
      </c>
      <c r="E127" s="3100"/>
      <c r="F127" s="3100"/>
      <c r="G127" s="3100"/>
      <c r="H127" s="3100"/>
      <c r="I127" s="3101"/>
    </row>
    <row r="128" spans="1:11" ht="21.75" customHeight="1">
      <c r="A128" s="3109" t="s">
        <v>2322</v>
      </c>
      <c r="B128" s="3109"/>
      <c r="C128" s="3109"/>
      <c r="D128" s="3109"/>
      <c r="E128" s="3109"/>
      <c r="F128" s="3109"/>
      <c r="G128" s="3109"/>
      <c r="H128" s="3109"/>
      <c r="I128" s="3109"/>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2325</v>
      </c>
      <c r="G135" s="2543"/>
      <c r="H135" s="2543"/>
      <c r="I135" s="2544" t="s">
        <v>2326</v>
      </c>
    </row>
    <row r="136" spans="1:35" ht="21.75" customHeight="1">
      <c r="A136" s="795"/>
      <c r="B136" s="2545"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2328</v>
      </c>
    </row>
    <row r="139" spans="1:35" ht="21.75" customHeight="1">
      <c r="A139" s="795"/>
      <c r="B139" s="2545" t="s">
        <v>2329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2328</v>
      </c>
    </row>
    <row r="142" spans="1:35" ht="21.75" customHeight="1">
      <c r="A142" s="795"/>
      <c r="B142" s="2545"/>
      <c r="C142" s="2546"/>
      <c r="D142" s="2547"/>
      <c r="E142" s="2547"/>
      <c r="F142" s="2339"/>
      <c r="G142" s="795"/>
      <c r="H142" s="795"/>
      <c r="I142" s="795"/>
    </row>
    <row r="143" spans="1:35" s="138"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L7" sqref="L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1" t="e">
        <f>MATCH(B1,'数据-取费表'!A6:A16,0)+5</f>
        <v>#N/A</v>
      </c>
    </row>
    <row r="2" spans="1:9" s="244" customFormat="1" ht="18" customHeight="1">
      <c r="A2" s="245" t="s">
        <v>2331</v>
      </c>
      <c r="B2" s="246">
        <f ca="1">IF(D2="——",C52,C52-E2)</f>
        <v>118156</v>
      </c>
      <c r="C2" s="243" t="s">
        <v>2332</v>
      </c>
      <c r="D2" s="2548" t="s">
        <v>70</v>
      </c>
      <c r="E2" s="1442">
        <f ca="1">SUMIF(INDIRECT("'"&amp;G2&amp;"'"&amp;"!A:A"),"承租人权益价值",INDIRECT("'"&amp;G2&amp;"'"&amp;"!c:c"))</f>
        <v>0</v>
      </c>
      <c r="F2" s="2549" t="s">
        <v>2332</v>
      </c>
      <c r="G2" s="2550" t="s">
        <v>3151</v>
      </c>
    </row>
    <row r="3" spans="1:9" s="244" customFormat="1" ht="18" customHeight="1" thickBot="1">
      <c r="A3" s="247" t="s">
        <v>2333</v>
      </c>
      <c r="B3" s="248">
        <f ca="1">ROUND(B2*10000/(IF(B1="",'数据-汇总表'!E3,INDIRECT("'数据-取费表'!k"&amp;$G$1))),0)</f>
        <v>5625</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91135</v>
      </c>
      <c r="D5" s="255" t="s">
        <v>2338</v>
      </c>
      <c r="E5" s="256" t="s">
        <v>2339</v>
      </c>
      <c r="F5" s="256" t="s">
        <v>2340</v>
      </c>
      <c r="G5" s="257"/>
    </row>
    <row r="6" spans="1:9" s="258" customFormat="1" ht="13.5" customHeight="1">
      <c r="A6" s="952" t="s">
        <v>2341</v>
      </c>
      <c r="B6" s="259" t="s">
        <v>2342</v>
      </c>
      <c r="C6" s="260">
        <f>'土地比较法-住宅、综合'!B2</f>
        <v>83032</v>
      </c>
      <c r="D6" s="261"/>
      <c r="E6" s="262"/>
      <c r="F6" s="262"/>
      <c r="G6" s="263"/>
    </row>
    <row r="7" spans="1:9" s="258" customFormat="1" ht="13.5" customHeight="1">
      <c r="A7" s="952" t="s">
        <v>2343</v>
      </c>
      <c r="B7" s="259" t="s">
        <v>2344</v>
      </c>
      <c r="C7" s="264">
        <f>ROUND(C6*F7,0)</f>
        <v>2532</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5571</v>
      </c>
      <c r="D8" s="266"/>
      <c r="E8" s="264"/>
      <c r="F8" s="265"/>
      <c r="G8" s="2551" t="s">
        <v>3219</v>
      </c>
    </row>
    <row r="9" spans="1:9" s="258" customFormat="1" ht="13.5" customHeight="1">
      <c r="A9" s="953" t="s">
        <v>800</v>
      </c>
      <c r="B9" s="268" t="s">
        <v>2347</v>
      </c>
      <c r="C9" s="269">
        <f ca="1">ROUND(D9*E9/10000,0)</f>
        <v>0</v>
      </c>
      <c r="D9" s="1035">
        <f ca="1">IF(B1="",'数据-汇总表'!E5,IF(INDIRECT("'数据-取费表'!c"&amp;$G$1)="住宅",INDIRECT("'数据-取费表'!k"&amp;$G$1),0))</f>
        <v>135784.13</v>
      </c>
      <c r="E9" s="269">
        <f>'数据-取费表'!B27</f>
        <v>0</v>
      </c>
      <c r="F9" s="265"/>
      <c r="G9" s="2552" t="s">
        <v>3220</v>
      </c>
      <c r="H9" s="1392"/>
      <c r="I9" s="2553" t="s">
        <v>2348</v>
      </c>
    </row>
    <row r="10" spans="1:9" s="258" customFormat="1" ht="13.5" customHeight="1">
      <c r="A10" s="953" t="s">
        <v>801</v>
      </c>
      <c r="B10" s="268" t="s">
        <v>2349</v>
      </c>
      <c r="C10" s="269">
        <f ca="1">ROUND(D10*E10/10000,0)</f>
        <v>5571</v>
      </c>
      <c r="D10" s="1035">
        <f ca="1">IF(B1="",'数据-汇总表'!E6,IF(INDIRECT("'数据-取费表'!c"&amp;$G$1)="住宅",INDIRECT("'数据-取费表'!s"&amp;$G$1),INDIRECT("'数据-取费表'!k"&amp;$G$1)+INDIRECT("'数据-取费表'!s"&amp;$G$1)))</f>
        <v>74288.709999999992</v>
      </c>
      <c r="E10" s="269">
        <f ca="1">'数据-取费表'!B28</f>
        <v>749.91</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4201</v>
      </c>
      <c r="D19" s="1039">
        <f ca="1">D9+D10</f>
        <v>210072.84</v>
      </c>
      <c r="E19" s="255">
        <f>'数据-取费表'!B31</f>
        <v>200</v>
      </c>
      <c r="F19" s="275"/>
      <c r="G19" s="2551"/>
    </row>
    <row r="20" spans="1:7" s="258" customFormat="1" ht="13.5" customHeight="1">
      <c r="A20" s="299" t="s">
        <v>2362</v>
      </c>
      <c r="B20" s="254" t="s">
        <v>2363</v>
      </c>
      <c r="C20" s="276">
        <f ca="1">ROUND((C5+C19)*F20,0)</f>
        <v>1907</v>
      </c>
      <c r="D20" s="276"/>
      <c r="E20" s="276"/>
      <c r="F20" s="277">
        <f>'数据-取费表'!B37</f>
        <v>0.02</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6">
        <f ca="1">ROUND(SUM(C23:C25),0)</f>
        <v>2260</v>
      </c>
      <c r="D22" s="279">
        <f ca="1">C26</f>
        <v>4.0000000000000002E-4</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7">
        <f ca="1">ROUND(IF('数据-取费表'!B22&lt;=1,C5*F22*'数据-取费表'!B23,C5*(POWER((1+F22),'数据-取费表'!B23)-1)),0)</f>
        <v>2139</v>
      </c>
      <c r="D23" s="282"/>
      <c r="E23" s="282"/>
      <c r="F23" s="283"/>
      <c r="G23" s="284" t="s">
        <v>2373</v>
      </c>
    </row>
    <row r="24" spans="1:7" s="258" customFormat="1" ht="13.5" customHeight="1">
      <c r="A24" s="954" t="s">
        <v>2374</v>
      </c>
      <c r="B24" s="259" t="s">
        <v>2375</v>
      </c>
      <c r="C24" s="1357">
        <f ca="1">ROUND(IF('数据-取费表'!B22&lt;=1,C19*F22*('数据-取费表'!B19/2+'数据-取费表'!B21),C19*(POWER((1+F22),('数据-取费表'!B19/2+'数据-取费表'!B21))-1)),0)</f>
        <v>99</v>
      </c>
      <c r="D24" s="282"/>
      <c r="E24" s="282"/>
      <c r="F24" s="283"/>
      <c r="G24" s="284" t="s">
        <v>2376</v>
      </c>
    </row>
    <row r="25" spans="1:7" s="258" customFormat="1" ht="24">
      <c r="A25" s="954" t="s">
        <v>2377</v>
      </c>
      <c r="B25" s="259" t="s">
        <v>2378</v>
      </c>
      <c r="C25" s="1357">
        <f ca="1">ROUND(IF('数据-取费表'!B22&lt;=1,C20*F22*'数据-取费表'!B23/2,C20*(POWER((1+F22),'数据-取费表'!B23/2)-1)),0)</f>
        <v>22</v>
      </c>
      <c r="D25" s="282"/>
      <c r="E25" s="285"/>
      <c r="F25" s="283"/>
      <c r="G25" s="286" t="s">
        <v>2379</v>
      </c>
    </row>
    <row r="26" spans="1:7" s="258" customFormat="1">
      <c r="A26" s="954" t="s">
        <v>795</v>
      </c>
      <c r="B26" s="259" t="s">
        <v>2380</v>
      </c>
      <c r="C26" s="282">
        <f ca="1">ROUND(IF('数据-取费表'!B22&lt;=1,F21*F22*'数据-取费表'!B23/2,F21*(POWER((1+F22),'数据-取费表'!B23/2)-1)),4)</f>
        <v>4.0000000000000002E-4</v>
      </c>
      <c r="D26" s="282"/>
      <c r="E26" s="285"/>
      <c r="F26" s="283"/>
      <c r="G26" s="287"/>
    </row>
    <row r="27" spans="1:7" s="258" customFormat="1" ht="24.75">
      <c r="A27" s="299" t="s">
        <v>2381</v>
      </c>
      <c r="B27" s="288" t="s">
        <v>2382</v>
      </c>
      <c r="C27" s="289">
        <f ca="1">C28</f>
        <v>1945</v>
      </c>
      <c r="D27" s="279">
        <f ca="1">C29</f>
        <v>5.9999999999999995E-4</v>
      </c>
      <c r="E27" s="280" t="s">
        <v>2383</v>
      </c>
      <c r="F27" s="290">
        <f ca="1">IF(B1="",'数据-取费表'!Q16,INDIRECT("'数据-取费表'!q"&amp;$G$1))</f>
        <v>0.08</v>
      </c>
      <c r="G27" s="291" t="s">
        <v>2384</v>
      </c>
    </row>
    <row r="28" spans="1:7" s="258" customFormat="1" ht="13.5" customHeight="1">
      <c r="A28" s="954" t="s">
        <v>791</v>
      </c>
      <c r="B28" s="292" t="s">
        <v>2385</v>
      </c>
      <c r="C28" s="293">
        <f ca="1">ROUND((C5+C19+C20)*F27*'数据-取费表'!B21/'数据-取费表'!B20,0)</f>
        <v>1945</v>
      </c>
      <c r="D28" s="279"/>
      <c r="E28" s="280"/>
      <c r="F28" s="290"/>
      <c r="G28" s="291"/>
    </row>
    <row r="29" spans="1:7" s="258" customFormat="1" ht="13.5" customHeight="1">
      <c r="A29" s="954" t="s">
        <v>792</v>
      </c>
      <c r="B29" s="292" t="s">
        <v>2386</v>
      </c>
      <c r="C29" s="282">
        <f ca="1">ROUND(C21*F27*'数据-取费表'!B21/'数据-取费表'!B20,4)</f>
        <v>5.9999999999999995E-4</v>
      </c>
      <c r="D29" s="279"/>
      <c r="E29" s="280"/>
      <c r="F29" s="290"/>
      <c r="G29" s="291"/>
    </row>
    <row r="30" spans="1:7" s="258" customFormat="1" ht="13.5" customHeight="1">
      <c r="A30" s="299" t="s">
        <v>2387</v>
      </c>
      <c r="B30" s="254" t="s">
        <v>2388</v>
      </c>
      <c r="C30" s="279">
        <f>ROUND(F30/(1+'数据-取费表'!C42),4)</f>
        <v>5.9400000000000001E-2</v>
      </c>
      <c r="D30" s="280" t="s">
        <v>2383</v>
      </c>
      <c r="E30" s="285"/>
      <c r="F30" s="281">
        <f>'数据-取费表'!B41</f>
        <v>6.2719999999999998E-2</v>
      </c>
      <c r="G30" s="278" t="s">
        <v>2389</v>
      </c>
    </row>
    <row r="31" spans="1:7" ht="16.5" customHeight="1">
      <c r="A31" s="253">
        <v>1</v>
      </c>
      <c r="B31" s="254" t="s">
        <v>2390</v>
      </c>
      <c r="C31" s="255">
        <f ca="1">ROUND((C5+C19+C20+C22+C27)/(1-C21-D22-D27-C30),0)</f>
        <v>111530</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5402</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4598</v>
      </c>
      <c r="D34" s="261"/>
      <c r="E34" s="264"/>
      <c r="F34" s="301">
        <f ca="1">IF('数据-取费表'!B24=0,1,IF(B1="",'数据-取费表'!N16,INDIRECT("'数据-取费表'!n"&amp;$G$1)))</f>
        <v>8.3000000000000004E-2</v>
      </c>
      <c r="G34" s="263" t="s">
        <v>2395</v>
      </c>
    </row>
    <row r="35" spans="1:7" ht="13.5" customHeight="1">
      <c r="A35" s="954" t="s">
        <v>796</v>
      </c>
      <c r="B35" s="259" t="s">
        <v>2396</v>
      </c>
      <c r="C35" s="264">
        <f ca="1">ROUND(C34*F35,0)</f>
        <v>230</v>
      </c>
      <c r="D35" s="264"/>
      <c r="E35" s="264"/>
      <c r="F35" s="303">
        <f>'数据-取费表'!B33</f>
        <v>0.05</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156</v>
      </c>
      <c r="D36" s="264"/>
      <c r="E36" s="264"/>
      <c r="F36" s="303">
        <f>'数据-取费表'!B34</f>
        <v>0.05</v>
      </c>
      <c r="G36" s="304" t="s">
        <v>2399</v>
      </c>
    </row>
    <row r="37" spans="1:7" s="302" customFormat="1" ht="13.5" customHeight="1">
      <c r="A37" s="954" t="s">
        <v>798</v>
      </c>
      <c r="B37" s="259" t="s">
        <v>2400</v>
      </c>
      <c r="C37" s="293">
        <f ca="1">ROUND(E37*D37*F34/10000,0)</f>
        <v>349</v>
      </c>
      <c r="D37" s="261">
        <f ca="1">D19</f>
        <v>210072.84</v>
      </c>
      <c r="E37" s="293">
        <f>'数据-取费表'!B35</f>
        <v>200</v>
      </c>
      <c r="F37" s="303"/>
      <c r="G37" s="305" t="s">
        <v>2401</v>
      </c>
    </row>
    <row r="38" spans="1:7" ht="13.5" customHeight="1">
      <c r="A38" s="954" t="s">
        <v>799</v>
      </c>
      <c r="B38" s="259" t="s">
        <v>2402</v>
      </c>
      <c r="C38" s="264">
        <f ca="1">ROUND(C34*F38,0)</f>
        <v>69</v>
      </c>
      <c r="D38" s="264"/>
      <c r="E38" s="264"/>
      <c r="F38" s="303">
        <f>'数据-取费表'!B36</f>
        <v>1.4999999999999999E-2</v>
      </c>
      <c r="G38" s="263" t="s">
        <v>2397</v>
      </c>
    </row>
    <row r="39" spans="1:7" s="258" customFormat="1" ht="13.5" customHeight="1">
      <c r="A39" s="299" t="s">
        <v>2403</v>
      </c>
      <c r="B39" s="254" t="s">
        <v>2404</v>
      </c>
      <c r="C39" s="276">
        <f ca="1">ROUND(C33*F20,0)</f>
        <v>108</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64</v>
      </c>
      <c r="D41" s="279">
        <f ca="1">C44</f>
        <v>4.0000000000000002E-4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63</v>
      </c>
      <c r="D42" s="282"/>
      <c r="E42" s="282"/>
      <c r="F42" s="283"/>
      <c r="G42" s="3141" t="s">
        <v>2413</v>
      </c>
    </row>
    <row r="43" spans="1:7" ht="13.5" customHeight="1">
      <c r="A43" s="954" t="s">
        <v>792</v>
      </c>
      <c r="B43" s="259" t="s">
        <v>2414</v>
      </c>
      <c r="C43" s="282">
        <f ca="1">ROUND(IF('数据-取费表'!B22&lt;=1,C39*F22*'数据-取费表'!B21/2,C39*(POWER((1+F22),'数据-取费表'!B21/2)-1)),0)</f>
        <v>1</v>
      </c>
      <c r="D43" s="282"/>
      <c r="E43" s="282"/>
      <c r="F43" s="283"/>
      <c r="G43" s="3142"/>
    </row>
    <row r="44" spans="1:7" ht="13.5" customHeight="1">
      <c r="A44" s="954" t="s">
        <v>793</v>
      </c>
      <c r="B44" s="259" t="s">
        <v>2415</v>
      </c>
      <c r="C44" s="282">
        <f ca="1">ROUND(IF('数据-取费表'!B22&lt;=1,C40*F22*'数据-取费表'!B21/2,C40*(POWER((1+F22),'数据-取费表'!B21/2)-1)),4)</f>
        <v>4.0000000000000002E-4</v>
      </c>
      <c r="D44" s="282"/>
      <c r="E44" s="282"/>
      <c r="F44" s="283"/>
      <c r="G44" s="3143"/>
    </row>
    <row r="45" spans="1:7" s="258" customFormat="1" ht="13.5" customHeight="1">
      <c r="A45" s="299" t="s">
        <v>2416</v>
      </c>
      <c r="B45" s="288" t="s">
        <v>2382</v>
      </c>
      <c r="C45" s="289">
        <f ca="1">C46</f>
        <v>441</v>
      </c>
      <c r="D45" s="279">
        <f ca="1">C47</f>
        <v>2.3999999999999998E-3</v>
      </c>
      <c r="E45" s="280" t="s">
        <v>2408</v>
      </c>
      <c r="F45" s="290"/>
      <c r="G45" s="291" t="s">
        <v>2417</v>
      </c>
    </row>
    <row r="46" spans="1:7" s="258" customFormat="1" ht="13.5" customHeight="1">
      <c r="A46" s="954" t="s">
        <v>791</v>
      </c>
      <c r="B46" s="292" t="s">
        <v>2418</v>
      </c>
      <c r="C46" s="293">
        <f ca="1">ROUND((C33+C39)*F27,0)</f>
        <v>441</v>
      </c>
      <c r="D46" s="307"/>
      <c r="E46" s="280"/>
      <c r="F46" s="290"/>
      <c r="G46" s="291"/>
    </row>
    <row r="47" spans="1:7" s="258" customFormat="1" ht="13.5" customHeight="1">
      <c r="A47" s="954" t="s">
        <v>792</v>
      </c>
      <c r="B47" s="292" t="s">
        <v>2419</v>
      </c>
      <c r="C47" s="282">
        <f ca="1">ROUND(C40*F27,4)</f>
        <v>2.3999999999999998E-3</v>
      </c>
      <c r="D47" s="307"/>
      <c r="E47" s="280"/>
      <c r="F47" s="290"/>
      <c r="G47" s="291"/>
    </row>
    <row r="48" spans="1:7" s="258" customFormat="1" ht="13.5" customHeight="1">
      <c r="A48" s="299" t="s">
        <v>2381</v>
      </c>
      <c r="B48" s="254" t="s">
        <v>2420</v>
      </c>
      <c r="C48" s="1731">
        <f>ROUND(F30/(1+'数据-取费表'!C42),4)</f>
        <v>5.9400000000000001E-2</v>
      </c>
      <c r="D48" s="280" t="s">
        <v>2408</v>
      </c>
      <c r="E48" s="276"/>
      <c r="F48" s="281"/>
      <c r="G48" s="278" t="s">
        <v>2421</v>
      </c>
    </row>
    <row r="49" spans="1:7" ht="16.5" customHeight="1">
      <c r="A49" s="299" t="s">
        <v>2387</v>
      </c>
      <c r="B49" s="254" t="s">
        <v>2422</v>
      </c>
      <c r="C49" s="276">
        <f ca="1">ROUND((C33+C39+C41+C45)/(1-C40-D41-D45-C48),0)</f>
        <v>6626</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6626</v>
      </c>
      <c r="D51" s="276"/>
      <c r="E51" s="276"/>
      <c r="F51" s="308"/>
      <c r="G51" s="278" t="s">
        <v>2429</v>
      </c>
    </row>
    <row r="52" spans="1:7" s="252" customFormat="1" ht="16.5" thickBot="1">
      <c r="A52" s="309" t="s">
        <v>2430</v>
      </c>
      <c r="B52" s="310"/>
      <c r="C52" s="311">
        <f ca="1">C31+C51</f>
        <v>118156</v>
      </c>
      <c r="D52" s="310"/>
      <c r="E52" s="310"/>
      <c r="F52" s="310"/>
      <c r="G52" s="312"/>
    </row>
    <row r="55" spans="1:7" ht="15">
      <c r="B55" s="314" t="s">
        <v>2431</v>
      </c>
      <c r="C55" s="315"/>
    </row>
    <row r="56" spans="1:7">
      <c r="B56" s="317" t="s">
        <v>1515</v>
      </c>
      <c r="C56" s="319">
        <f ca="1">1-C57</f>
        <v>0.94399999999999995</v>
      </c>
    </row>
    <row r="57" spans="1:7">
      <c r="B57" s="317" t="s">
        <v>1516</v>
      </c>
      <c r="C57" s="318">
        <f ca="1">ROUND(C51/C52,3)</f>
        <v>5.6000000000000001E-2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陕西省西安市新城区华清西路以南、金花北路以西出让国有建设用地使用权及在建建筑物房地产抵押价值预评估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西安胤博置业有限公司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郑燚（注册号：1120070131)、王萌（注册号：1120130048)</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4" t="s">
        <v>2432</v>
      </c>
      <c r="D1" s="242"/>
      <c r="E1" s="242"/>
      <c r="F1" s="242"/>
      <c r="G1" s="1381" t="e">
        <f>MATCH(B1,'数据-取费表'!A6:A16,0)+5</f>
        <v>#N/A</v>
      </c>
      <c r="H1" s="1284" t="str">
        <f>IF(ISERROR(FIND("住宅",B1)),"非住宅","住宅")</f>
        <v>非住宅</v>
      </c>
    </row>
    <row r="2" spans="1:8" s="244" customFormat="1" ht="18" customHeight="1">
      <c r="A2" s="245" t="s">
        <v>2331</v>
      </c>
      <c r="B2" s="246">
        <f ca="1">ROUND(IF(D2="——",C52/10000,C52/10000-E2),0)</f>
        <v>95872</v>
      </c>
      <c r="C2" s="243" t="s">
        <v>2332</v>
      </c>
      <c r="D2" s="2548" t="s">
        <v>70</v>
      </c>
      <c r="E2" s="1442" t="e">
        <f ca="1">SUMIF(INDIRECT("'"&amp;G2&amp;"'"&amp;"!A:A"),"承租人权益价值",INDIRECT("'"&amp;G2&amp;"'"&amp;"!c:c"))</f>
        <v>#REF!</v>
      </c>
      <c r="F2" s="2549" t="s">
        <v>2332</v>
      </c>
      <c r="G2" s="2550"/>
    </row>
    <row r="3" spans="1:8" s="244" customFormat="1" ht="18" customHeight="1" thickBot="1">
      <c r="A3" s="247" t="s">
        <v>2333</v>
      </c>
      <c r="B3" s="248">
        <f ca="1">ROUND(B2*10000/(IF(B1="",'数据-汇总表'!E3,INDIRECT("'数据-取费表'!k"&amp;$G$1))),0)</f>
        <v>4564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55709847</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55709847</v>
      </c>
      <c r="D8" s="266"/>
      <c r="E8" s="264"/>
      <c r="F8" s="265"/>
      <c r="G8" s="2551"/>
    </row>
    <row r="9" spans="1:8" s="258" customFormat="1" ht="13.5" customHeight="1">
      <c r="A9" s="953" t="s">
        <v>800</v>
      </c>
      <c r="B9" s="268" t="s">
        <v>2347</v>
      </c>
      <c r="C9" s="269">
        <f ca="1">ROUND(D9*E9,0)</f>
        <v>0</v>
      </c>
      <c r="D9" s="1035">
        <f ca="1">IF(B1="",'数据-汇总表'!E5,IF(INDIRECT("'数据-取费表'!c"&amp;$G$1)="住宅",INDIRECT("'数据-取费表'!k"&amp;$G$1),0))</f>
        <v>135784.13</v>
      </c>
      <c r="E9" s="269">
        <f>'数据-取费表'!B27</f>
        <v>0</v>
      </c>
      <c r="F9" s="265"/>
      <c r="G9" s="270"/>
    </row>
    <row r="10" spans="1:8" s="258" customFormat="1" ht="13.5" customHeight="1">
      <c r="A10" s="953" t="s">
        <v>801</v>
      </c>
      <c r="B10" s="268" t="s">
        <v>2349</v>
      </c>
      <c r="C10" s="269">
        <f ca="1">ROUND(D10*E10,0)</f>
        <v>55709847</v>
      </c>
      <c r="D10" s="1035">
        <f ca="1">IF(B1="",'数据-汇总表'!E6,IF(INDIRECT("'数据-取费表'!c"&amp;$G$1)="住宅",INDIRECT("'数据-取费表'!s"&amp;$G$1),INDIRECT("'数据-取费表'!k"&amp;$G$1)+INDIRECT("'数据-取费表'!s"&amp;$G$1)))</f>
        <v>74288.709999999992</v>
      </c>
      <c r="E10" s="269">
        <f ca="1">'数据-取费表'!B28</f>
        <v>749.91</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42014568</v>
      </c>
      <c r="D19" s="1039">
        <f ca="1">D9+D10</f>
        <v>210072.84</v>
      </c>
      <c r="E19" s="255">
        <f>'数据-取费表'!B31</f>
        <v>200</v>
      </c>
      <c r="F19" s="275"/>
      <c r="G19" s="2551"/>
    </row>
    <row r="20" spans="1:7" s="258" customFormat="1" ht="13.5" customHeight="1">
      <c r="A20" s="299" t="s">
        <v>2443</v>
      </c>
      <c r="B20" s="254" t="s">
        <v>2444</v>
      </c>
      <c r="C20" s="276">
        <f ca="1">ROUND((C5+C19)*F20,0)</f>
        <v>1954488</v>
      </c>
      <c r="D20" s="276"/>
      <c r="E20" s="276"/>
      <c r="F20" s="277">
        <f>'数据-取费表'!B37</f>
        <v>0.02</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82">
        <f ca="1">ROUND(SUM(C23:C25),0)</f>
        <v>9597148</v>
      </c>
      <c r="D22" s="279">
        <f ca="1">C26</f>
        <v>1.4E-3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3">
        <f ca="1">ROUND(IF('数据-取费表'!B22&lt;=1,C5*F22*'数据-取费表'!B22,C5*(POWER((1+F22),'数据-取费表'!B22)-1)),0)</f>
        <v>5418131</v>
      </c>
      <c r="D23" s="282"/>
      <c r="E23" s="282"/>
      <c r="F23" s="283"/>
      <c r="G23" s="284" t="s">
        <v>2453</v>
      </c>
    </row>
    <row r="24" spans="1:7" s="258" customFormat="1" ht="13.5" customHeight="1">
      <c r="A24" s="954" t="s">
        <v>2343</v>
      </c>
      <c r="B24" s="259" t="s">
        <v>2454</v>
      </c>
      <c r="C24" s="1383">
        <f ca="1">ROUND(IF('数据-取费表'!B22&lt;=1,C19*F22*('数据-取费表'!B19/2+'数据-取费表'!B20),C19*(POWER((1+F22),('数据-取费表'!B19/2+'数据-取费表'!B20))-1)),0)</f>
        <v>4086179</v>
      </c>
      <c r="D24" s="282"/>
      <c r="E24" s="282"/>
      <c r="F24" s="283"/>
      <c r="G24" s="284" t="s">
        <v>2455</v>
      </c>
    </row>
    <row r="25" spans="1:7" s="258" customFormat="1" ht="24">
      <c r="A25" s="954" t="s">
        <v>2345</v>
      </c>
      <c r="B25" s="259" t="s">
        <v>2456</v>
      </c>
      <c r="C25" s="1383">
        <f ca="1">ROUND(IF('数据-取费表'!B22&lt;=1,C20*F22*'数据-取费表'!B22/2,C20*(POWER((1+F22),'数据-取费表'!B22/2)-1)),0)</f>
        <v>92838</v>
      </c>
      <c r="D25" s="282"/>
      <c r="E25" s="285"/>
      <c r="F25" s="283"/>
      <c r="G25" s="286" t="s">
        <v>2457</v>
      </c>
    </row>
    <row r="26" spans="1:7" s="258" customFormat="1">
      <c r="A26" s="954"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7974312</v>
      </c>
      <c r="D27" s="279">
        <f ca="1">C29</f>
        <v>2.3999999999999998E-3</v>
      </c>
      <c r="E27" s="280" t="s">
        <v>2383</v>
      </c>
      <c r="F27" s="290">
        <f ca="1">IF(B1="",'数据-取费表'!Q16,INDIRECT("'数据-取费表'!q"&amp;$G$1))</f>
        <v>0.08</v>
      </c>
      <c r="G27" s="291" t="s">
        <v>2384</v>
      </c>
    </row>
    <row r="28" spans="1:7" s="258" customFormat="1" ht="13.5" customHeight="1">
      <c r="A28" s="954" t="s">
        <v>791</v>
      </c>
      <c r="B28" s="292" t="s">
        <v>2385</v>
      </c>
      <c r="C28" s="293">
        <f ca="1">ROUND((C5+C19+C20)*F27,0)</f>
        <v>7974312</v>
      </c>
      <c r="D28" s="279"/>
      <c r="E28" s="280"/>
      <c r="F28" s="290"/>
      <c r="G28" s="291"/>
    </row>
    <row r="29" spans="1:7" s="258" customFormat="1" ht="13.5" customHeight="1">
      <c r="A29" s="954" t="s">
        <v>792</v>
      </c>
      <c r="B29" s="292" t="s">
        <v>2386</v>
      </c>
      <c r="C29" s="282">
        <f ca="1">ROUND(C21*F27,4)</f>
        <v>2.3999999999999998E-3</v>
      </c>
      <c r="D29" s="279"/>
      <c r="E29" s="280"/>
      <c r="F29" s="290"/>
      <c r="G29" s="291"/>
    </row>
    <row r="30" spans="1:7" s="258" customFormat="1" ht="13.5" customHeight="1">
      <c r="A30" s="299" t="s">
        <v>2387</v>
      </c>
      <c r="B30" s="254" t="s">
        <v>2388</v>
      </c>
      <c r="C30" s="279">
        <f>ROUND(F30/(1+'数据-取费表'!C42),4)</f>
        <v>5.9400000000000001E-2</v>
      </c>
      <c r="D30" s="280" t="s">
        <v>2383</v>
      </c>
      <c r="E30" s="285"/>
      <c r="F30" s="281">
        <f>'数据-取费表'!B41</f>
        <v>6.2719999999999998E-2</v>
      </c>
      <c r="G30" s="278" t="s">
        <v>2389</v>
      </c>
    </row>
    <row r="31" spans="1:7" ht="16.5" customHeight="1">
      <c r="A31" s="253">
        <v>1</v>
      </c>
      <c r="B31" s="254" t="s">
        <v>2390</v>
      </c>
      <c r="C31" s="255">
        <f ca="1">ROUND((C5+C19+C20+C22+C27)/(1-C21-D22-D27-C30),0)</f>
        <v>129301238</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653983714</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555494390</v>
      </c>
      <c r="D34" s="261"/>
      <c r="E34" s="264"/>
      <c r="F34" s="301"/>
      <c r="G34" s="263"/>
    </row>
    <row r="35" spans="1:7" ht="13.5" customHeight="1">
      <c r="A35" s="954" t="s">
        <v>796</v>
      </c>
      <c r="B35" s="259" t="s">
        <v>2396</v>
      </c>
      <c r="C35" s="264">
        <f ca="1">ROUND(C34*F35,0)</f>
        <v>27774720</v>
      </c>
      <c r="D35" s="264"/>
      <c r="E35" s="264"/>
      <c r="F35" s="303">
        <f>'数据-取费表'!B33</f>
        <v>0.05</v>
      </c>
      <c r="G35" s="263" t="s">
        <v>2397</v>
      </c>
    </row>
    <row r="36" spans="1:7" ht="24">
      <c r="A36" s="954" t="s">
        <v>797</v>
      </c>
      <c r="B36" s="259" t="s">
        <v>2398</v>
      </c>
      <c r="C36" s="264">
        <f ca="1">ROUND(IF(B1="",SUM('数据-取费表'!AP6:AP13)*F36,IF(INDIRECT("'数据-取费表'!c"&amp;$G$1)="住宅",INDIRECT("'数据-取费表'!k"&amp;$G$1)*INDIRECT("'数据-取费表'!l"&amp;$G$1)*F36,0)),0)</f>
        <v>20367620</v>
      </c>
      <c r="D36" s="264"/>
      <c r="E36" s="264"/>
      <c r="F36" s="303">
        <f>'数据-取费表'!B34</f>
        <v>0.05</v>
      </c>
      <c r="G36" s="304" t="s">
        <v>2399</v>
      </c>
    </row>
    <row r="37" spans="1:7" s="302" customFormat="1" ht="13.5" customHeight="1">
      <c r="A37" s="954" t="s">
        <v>798</v>
      </c>
      <c r="B37" s="259" t="s">
        <v>2400</v>
      </c>
      <c r="C37" s="293">
        <f ca="1">ROUND(E37*D37,0)</f>
        <v>42014568</v>
      </c>
      <c r="D37" s="261">
        <f ca="1">D19</f>
        <v>210072.84</v>
      </c>
      <c r="E37" s="293">
        <f>'数据-取费表'!B35</f>
        <v>200</v>
      </c>
      <c r="F37" s="303"/>
      <c r="G37" s="305"/>
    </row>
    <row r="38" spans="1:7" ht="13.5" customHeight="1">
      <c r="A38" s="954" t="s">
        <v>799</v>
      </c>
      <c r="B38" s="259" t="s">
        <v>2402</v>
      </c>
      <c r="C38" s="264">
        <f ca="1">ROUND(C34*F38,0)</f>
        <v>8332416</v>
      </c>
      <c r="D38" s="264"/>
      <c r="E38" s="264"/>
      <c r="F38" s="303">
        <f>'数据-取费表'!B36</f>
        <v>1.4999999999999999E-2</v>
      </c>
      <c r="G38" s="263" t="s">
        <v>2397</v>
      </c>
    </row>
    <row r="39" spans="1:7" s="258" customFormat="1" ht="13.5" customHeight="1">
      <c r="A39" s="299" t="s">
        <v>2403</v>
      </c>
      <c r="B39" s="254" t="s">
        <v>2404</v>
      </c>
      <c r="C39" s="276">
        <f ca="1">ROUND(C33*F20,0)</f>
        <v>13079674</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31685511</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31064226</v>
      </c>
      <c r="D42" s="282"/>
      <c r="E42" s="282"/>
      <c r="F42" s="283"/>
      <c r="G42" s="3141" t="s">
        <v>2460</v>
      </c>
    </row>
    <row r="43" spans="1:7" ht="13.5" customHeight="1">
      <c r="A43" s="954" t="s">
        <v>792</v>
      </c>
      <c r="B43" s="259" t="s">
        <v>2414</v>
      </c>
      <c r="C43" s="282">
        <f ca="1">ROUND(IF('数据-取费表'!B22&lt;=1,C39*F22*'数据-取费表'!B20/2,C39*(POWER((1+F22),'数据-取费表'!B20/2)-1)),0)</f>
        <v>621285</v>
      </c>
      <c r="D43" s="282"/>
      <c r="E43" s="282"/>
      <c r="F43" s="283"/>
      <c r="G43" s="3142"/>
    </row>
    <row r="44" spans="1:7" ht="13.5" customHeight="1">
      <c r="A44" s="954" t="s">
        <v>793</v>
      </c>
      <c r="B44" s="259" t="s">
        <v>2415</v>
      </c>
      <c r="C44" s="282">
        <f ca="1">ROUND(IF('数据-取费表'!B22&lt;=1,C40*F22*'数据-取费表'!B20/2,C40*(POWER((1+F22),'数据-取费表'!B20/2)-1)),4)</f>
        <v>1.4E-3</v>
      </c>
      <c r="D44" s="282"/>
      <c r="E44" s="282"/>
      <c r="F44" s="283"/>
      <c r="G44" s="3143"/>
    </row>
    <row r="45" spans="1:7" s="258" customFormat="1" ht="13.5" customHeight="1">
      <c r="A45" s="299" t="s">
        <v>2416</v>
      </c>
      <c r="B45" s="288" t="s">
        <v>2382</v>
      </c>
      <c r="C45" s="289">
        <f ca="1">C46</f>
        <v>53365071</v>
      </c>
      <c r="D45" s="279">
        <f ca="1">C47</f>
        <v>2.3999999999999998E-3</v>
      </c>
      <c r="E45" s="280" t="s">
        <v>2408</v>
      </c>
      <c r="F45" s="290"/>
      <c r="G45" s="291" t="s">
        <v>2417</v>
      </c>
    </row>
    <row r="46" spans="1:7" s="258" customFormat="1" ht="13.5" customHeight="1">
      <c r="A46" s="954" t="s">
        <v>791</v>
      </c>
      <c r="B46" s="292" t="s">
        <v>2418</v>
      </c>
      <c r="C46" s="293">
        <f ca="1">ROUND((C33+C39)*F27,0)</f>
        <v>53365071</v>
      </c>
      <c r="D46" s="307"/>
      <c r="E46" s="280"/>
      <c r="F46" s="290"/>
      <c r="G46" s="291"/>
    </row>
    <row r="47" spans="1:7" s="258" customFormat="1" ht="13.5" customHeight="1">
      <c r="A47" s="954" t="s">
        <v>792</v>
      </c>
      <c r="B47" s="292" t="s">
        <v>2419</v>
      </c>
      <c r="C47" s="282">
        <f ca="1">ROUND(C40*F27,4)</f>
        <v>2.3999999999999998E-3</v>
      </c>
      <c r="D47" s="307"/>
      <c r="E47" s="280"/>
      <c r="F47" s="290"/>
      <c r="G47" s="291"/>
    </row>
    <row r="48" spans="1:7" s="258" customFormat="1" ht="13.5" customHeight="1">
      <c r="A48" s="299" t="s">
        <v>2381</v>
      </c>
      <c r="B48" s="254" t="s">
        <v>2420</v>
      </c>
      <c r="C48" s="306">
        <f>ROUND(F30/(1+'数据-取费表'!C42),4)</f>
        <v>5.9400000000000001E-2</v>
      </c>
      <c r="D48" s="280" t="s">
        <v>2408</v>
      </c>
      <c r="E48" s="276"/>
      <c r="F48" s="281"/>
      <c r="G48" s="278" t="s">
        <v>2421</v>
      </c>
    </row>
    <row r="49" spans="1:7" ht="16.5" customHeight="1">
      <c r="A49" s="299" t="s">
        <v>2387</v>
      </c>
      <c r="B49" s="254" t="s">
        <v>2461</v>
      </c>
      <c r="C49" s="276">
        <f ca="1">ROUND((C33+C39+C41+C45)/(1-C40-D41-D45-C48),0)</f>
        <v>829415494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829415494</v>
      </c>
      <c r="D51" s="276"/>
      <c r="E51" s="276"/>
      <c r="F51" s="308"/>
      <c r="G51" s="278" t="s">
        <v>2429</v>
      </c>
    </row>
    <row r="52" spans="1:7" s="252" customFormat="1" ht="16.5" thickBot="1">
      <c r="A52" s="309" t="s">
        <v>2430</v>
      </c>
      <c r="B52" s="310"/>
      <c r="C52" s="311">
        <f ca="1">C31+C51</f>
        <v>958716732</v>
      </c>
      <c r="D52" s="310"/>
      <c r="E52" s="310"/>
      <c r="F52" s="310"/>
      <c r="G52" s="312"/>
    </row>
    <row r="55" spans="1:7" ht="15">
      <c r="B55" s="314" t="s">
        <v>2431</v>
      </c>
      <c r="C55" s="315"/>
    </row>
    <row r="56" spans="1:7">
      <c r="B56" s="317" t="s">
        <v>1515</v>
      </c>
      <c r="C56" s="319">
        <f ca="1">1-C57</f>
        <v>0.13500000000000001</v>
      </c>
    </row>
    <row r="57" spans="1:7">
      <c r="B57" s="317" t="s">
        <v>1516</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21" zoomScale="80" zoomScaleNormal="80" workbookViewId="0">
      <selection activeCell="N29" sqref="N29"/>
    </sheetView>
  </sheetViews>
  <sheetFormatPr defaultRowHeight="14.25"/>
  <cols>
    <col min="1" max="1" width="14.375" style="403" customWidth="1"/>
    <col min="2" max="2" width="15.75" style="403" customWidth="1"/>
    <col min="3" max="3" width="15.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83032</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6105</v>
      </c>
      <c r="C3" s="247" t="s">
        <v>2747</v>
      </c>
      <c r="D3" s="1586">
        <f>'数据-汇总表'!F31</f>
        <v>136001.84</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2646</v>
      </c>
      <c r="B4" s="402"/>
      <c r="C4" s="3148" t="s">
        <v>2647</v>
      </c>
      <c r="D4" s="3161"/>
      <c r="E4" s="3162" t="s">
        <v>2648</v>
      </c>
      <c r="F4" s="3163"/>
      <c r="G4" s="3148" t="s">
        <v>2649</v>
      </c>
      <c r="H4" s="3161"/>
      <c r="I4" s="3148" t="s">
        <v>2650</v>
      </c>
      <c r="J4" s="3161"/>
      <c r="K4" s="610" t="s">
        <v>2651</v>
      </c>
      <c r="L4" s="1132"/>
      <c r="M4" s="1133"/>
      <c r="N4" s="1133"/>
      <c r="O4" s="1133"/>
      <c r="P4" s="3164" t="s">
        <v>2652</v>
      </c>
      <c r="Q4" s="3165"/>
      <c r="R4" s="3170" t="s">
        <v>2648</v>
      </c>
      <c r="S4" s="3171"/>
      <c r="T4" s="3170" t="s">
        <v>2649</v>
      </c>
      <c r="U4" s="3171"/>
      <c r="V4" s="3157" t="s">
        <v>2650</v>
      </c>
      <c r="W4" s="3157"/>
      <c r="X4" s="1816"/>
      <c r="Y4" s="3170" t="s">
        <v>2652</v>
      </c>
      <c r="Z4" s="3171"/>
      <c r="AA4" s="3158" t="s">
        <v>2648</v>
      </c>
      <c r="AB4" s="3159" t="s">
        <v>2649</v>
      </c>
      <c r="AC4" s="3158" t="s">
        <v>2650</v>
      </c>
    </row>
    <row r="5" spans="1:30" ht="15">
      <c r="A5" s="404"/>
      <c r="B5" s="405"/>
      <c r="C5" s="3178" t="s">
        <v>3131</v>
      </c>
      <c r="D5" s="3179"/>
      <c r="E5" s="3185" t="s">
        <v>3129</v>
      </c>
      <c r="F5" s="3186"/>
      <c r="G5" s="3178" t="s">
        <v>3145</v>
      </c>
      <c r="H5" s="3179"/>
      <c r="I5" s="3178" t="s">
        <v>3147</v>
      </c>
      <c r="J5" s="3179"/>
      <c r="K5" s="610"/>
      <c r="L5" s="1132"/>
      <c r="M5" s="1133"/>
      <c r="N5" s="1133"/>
      <c r="O5" s="1133"/>
      <c r="P5" s="3166"/>
      <c r="Q5" s="3167"/>
      <c r="R5" s="3172"/>
      <c r="S5" s="3173"/>
      <c r="T5" s="3172"/>
      <c r="U5" s="3173"/>
      <c r="V5" s="3157"/>
      <c r="W5" s="3157"/>
      <c r="X5" s="1816"/>
      <c r="Y5" s="3172"/>
      <c r="Z5" s="3173"/>
      <c r="AA5" s="3159"/>
      <c r="AB5" s="3159"/>
      <c r="AC5" s="3159"/>
    </row>
    <row r="6" spans="1:30" ht="15.75" thickBot="1">
      <c r="A6" s="406"/>
      <c r="B6" s="407"/>
      <c r="C6" s="3176" t="s">
        <v>3131</v>
      </c>
      <c r="D6" s="3177"/>
      <c r="E6" s="3183" t="s">
        <v>3130</v>
      </c>
      <c r="F6" s="3184"/>
      <c r="G6" s="3176" t="s">
        <v>3146</v>
      </c>
      <c r="H6" s="3177"/>
      <c r="I6" s="3176" t="s">
        <v>3148</v>
      </c>
      <c r="J6" s="3177"/>
      <c r="K6" s="610" t="s">
        <v>2548</v>
      </c>
      <c r="L6" s="1132"/>
      <c r="M6" s="1133"/>
      <c r="N6" s="1133"/>
      <c r="O6" s="1133"/>
      <c r="P6" s="3168"/>
      <c r="Q6" s="3169"/>
      <c r="R6" s="3172"/>
      <c r="S6" s="3173"/>
      <c r="T6" s="3174"/>
      <c r="U6" s="3175"/>
      <c r="V6" s="3157"/>
      <c r="W6" s="3157"/>
      <c r="X6" s="1816"/>
      <c r="Y6" s="3174"/>
      <c r="Z6" s="3175"/>
      <c r="AA6" s="3160"/>
      <c r="AB6" s="3160"/>
      <c r="AC6" s="3160"/>
    </row>
    <row r="7" spans="1:30" s="116" customFormat="1" ht="15.75" thickBot="1">
      <c r="A7" s="408" t="s">
        <v>2549</v>
      </c>
      <c r="B7" s="409"/>
      <c r="C7" s="410">
        <f>'数据-取费表'!B2</f>
        <v>43025</v>
      </c>
      <c r="D7" s="411">
        <v>100</v>
      </c>
      <c r="E7" s="412">
        <v>42797</v>
      </c>
      <c r="F7" s="413">
        <f>SUMIF(70:70,YEAR(E7)&amp;"-"&amp;INT((MONTH(E7)+2)/3),71:71)</f>
        <v>92.5</v>
      </c>
      <c r="G7" s="2697">
        <v>42913</v>
      </c>
      <c r="H7" s="411">
        <f>SUMIF(70:70,YEAR(G7)&amp;"-"&amp;INT((MONTH(G7)+2)/3),71:71)</f>
        <v>95</v>
      </c>
      <c r="I7" s="2697">
        <v>42942</v>
      </c>
      <c r="J7" s="411">
        <f>SUMIF(70:70,YEAR(I7)&amp;"-"&amp;INT((MONTH(I7)+2)/3),71:71)</f>
        <v>97.5</v>
      </c>
      <c r="K7" s="611"/>
      <c r="L7" s="1134"/>
      <c r="M7" s="1135"/>
      <c r="N7" s="1135"/>
      <c r="O7" s="1135"/>
      <c r="P7" s="3180" t="s">
        <v>2550</v>
      </c>
      <c r="Q7" s="3182"/>
      <c r="R7" s="770" t="s">
        <v>17</v>
      </c>
      <c r="S7" s="771">
        <f t="shared" ref="S7:S15" si="0">F7</f>
        <v>92.5</v>
      </c>
      <c r="T7" s="770" t="s">
        <v>17</v>
      </c>
      <c r="U7" s="771">
        <f t="shared" ref="U7:U15" si="1">H7</f>
        <v>95</v>
      </c>
      <c r="V7" s="770" t="s">
        <v>17</v>
      </c>
      <c r="W7" s="771">
        <f t="shared" ref="W7:W15" si="2">J7</f>
        <v>97.5</v>
      </c>
      <c r="X7" s="772"/>
      <c r="Y7" s="3180" t="s">
        <v>2550</v>
      </c>
      <c r="Z7" s="3181"/>
      <c r="AA7" s="773">
        <f>D7/F7</f>
        <v>1.0810810810810811</v>
      </c>
      <c r="AB7" s="773">
        <f>D7/H7</f>
        <v>1.0526315789473684</v>
      </c>
      <c r="AC7" s="773">
        <f>D7/J7</f>
        <v>1.0256410256410255</v>
      </c>
    </row>
    <row r="8" spans="1:30" s="116" customFormat="1" ht="15.75" thickBot="1">
      <c r="A8" s="408" t="s">
        <v>2551</v>
      </c>
      <c r="B8" s="409"/>
      <c r="C8" s="414" t="s">
        <v>2552</v>
      </c>
      <c r="D8" s="411">
        <v>100</v>
      </c>
      <c r="E8" s="414" t="s">
        <v>3105</v>
      </c>
      <c r="F8" s="413">
        <f>SUMIF(73:73,E8,74:74)-SUMIF(73:73,C8,74:74)+100</f>
        <v>100</v>
      </c>
      <c r="G8" s="414" t="s">
        <v>3105</v>
      </c>
      <c r="H8" s="411">
        <f>SUMIF(73:73,G8,74:74)-SUMIF(73:73,C8,74:74)+100</f>
        <v>100</v>
      </c>
      <c r="I8" s="414" t="s">
        <v>3105</v>
      </c>
      <c r="J8" s="411">
        <f>SUMIF(73:73,I8,74:74)-SUMIF(73:73,C8,74:74)+100</f>
        <v>100</v>
      </c>
      <c r="K8" s="611"/>
      <c r="L8" s="1134"/>
      <c r="M8" s="1135"/>
      <c r="N8" s="1135"/>
      <c r="O8" s="1135"/>
      <c r="P8" s="3180" t="s">
        <v>2553</v>
      </c>
      <c r="Q8" s="3181"/>
      <c r="R8" s="770" t="s">
        <v>17</v>
      </c>
      <c r="S8" s="771">
        <f t="shared" si="0"/>
        <v>100</v>
      </c>
      <c r="T8" s="770" t="s">
        <v>17</v>
      </c>
      <c r="U8" s="771">
        <f t="shared" si="1"/>
        <v>100</v>
      </c>
      <c r="V8" s="770" t="s">
        <v>17</v>
      </c>
      <c r="W8" s="771">
        <f t="shared" si="2"/>
        <v>100</v>
      </c>
      <c r="X8" s="772"/>
      <c r="Y8" s="3180" t="s">
        <v>2553</v>
      </c>
      <c r="Z8" s="3181"/>
      <c r="AA8" s="773">
        <f t="shared" ref="AA8:AA45" si="3">D8/F8</f>
        <v>1</v>
      </c>
      <c r="AB8" s="773">
        <f t="shared" ref="AB8:AB45" si="4">D8/H8</f>
        <v>1</v>
      </c>
      <c r="AC8" s="773">
        <f t="shared" ref="AC8:AC45" si="5">D8/J8</f>
        <v>1</v>
      </c>
    </row>
    <row r="9" spans="1:30" s="116" customFormat="1" ht="28.5">
      <c r="A9" s="415" t="s">
        <v>2554</v>
      </c>
      <c r="B9" s="70" t="s">
        <v>2555</v>
      </c>
      <c r="C9" s="2700" t="s">
        <v>3106</v>
      </c>
      <c r="D9" s="134">
        <v>100</v>
      </c>
      <c r="E9" s="2700" t="s">
        <v>3106</v>
      </c>
      <c r="F9" s="134">
        <f>SUMIF(75:75,E9,76:76)-SUMIF(75:75,C9,76:76)+100</f>
        <v>100</v>
      </c>
      <c r="G9" s="2700" t="s">
        <v>3149</v>
      </c>
      <c r="H9" s="134">
        <f>SUMIF(75:75,G9,76:76)-SUMIF(75:75,C9,76:76)+100</f>
        <v>100</v>
      </c>
      <c r="I9" s="2700" t="s">
        <v>3149</v>
      </c>
      <c r="J9" s="134">
        <f>SUMIF(75:75,I9,76:76)-SUMIF(75:75,C9,76:76)+100</f>
        <v>100</v>
      </c>
      <c r="K9" s="611"/>
      <c r="L9" s="1134"/>
      <c r="M9" s="1135"/>
      <c r="N9" s="1135"/>
      <c r="O9" s="1136"/>
      <c r="P9" s="3151" t="s">
        <v>2556</v>
      </c>
      <c r="Q9" s="1798" t="str">
        <f t="shared" ref="Q9:Q15" si="6">B9</f>
        <v>用途</v>
      </c>
      <c r="R9" s="770" t="s">
        <v>17</v>
      </c>
      <c r="S9" s="771">
        <f t="shared" si="0"/>
        <v>100</v>
      </c>
      <c r="T9" s="770" t="s">
        <v>17</v>
      </c>
      <c r="U9" s="771">
        <f t="shared" si="1"/>
        <v>100</v>
      </c>
      <c r="V9" s="770" t="s">
        <v>17</v>
      </c>
      <c r="W9" s="771">
        <f t="shared" si="2"/>
        <v>100</v>
      </c>
      <c r="X9" s="772"/>
      <c r="Y9" s="2999" t="s">
        <v>2557</v>
      </c>
      <c r="Z9" s="55" t="str">
        <f t="shared" ref="Z9:Z15" si="7">Q9</f>
        <v>用途</v>
      </c>
      <c r="AA9" s="773">
        <f t="shared" si="3"/>
        <v>1</v>
      </c>
      <c r="AB9" s="773">
        <f t="shared" si="4"/>
        <v>1</v>
      </c>
      <c r="AC9" s="773">
        <f t="shared" si="5"/>
        <v>1</v>
      </c>
    </row>
    <row r="10" spans="1:30" s="427" customFormat="1" ht="42.75">
      <c r="A10" s="421"/>
      <c r="B10" s="422" t="s">
        <v>2558</v>
      </c>
      <c r="C10" s="432" t="str">
        <f>项目基本情况!F16</f>
        <v>住宅69.2年，商业39.2年，地下车库49.2年</v>
      </c>
      <c r="D10" s="135">
        <v>100</v>
      </c>
      <c r="E10" s="465" t="s">
        <v>3137</v>
      </c>
      <c r="F10" s="135">
        <f>ROUND(100/'数据-取费表'!G16,0)</f>
        <v>100</v>
      </c>
      <c r="G10" s="463" t="s">
        <v>3137</v>
      </c>
      <c r="H10" s="135">
        <f>ROUND(100/'数据-取费表'!G16,0)</f>
        <v>100</v>
      </c>
      <c r="I10" s="463" t="s">
        <v>3137</v>
      </c>
      <c r="J10" s="135">
        <f>ROUND(100/'数据-取费表'!G16,0)</f>
        <v>100</v>
      </c>
      <c r="K10" s="672"/>
      <c r="L10" s="1137"/>
      <c r="M10" s="1138"/>
      <c r="N10" s="1138"/>
      <c r="O10" s="1139"/>
      <c r="P10" s="3151"/>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30" ht="15.75" thickBot="1">
      <c r="A11" s="428"/>
      <c r="B11" s="422" t="s">
        <v>2559</v>
      </c>
      <c r="C11" s="429">
        <f>'数据-汇总表'!I5</f>
        <v>3.45</v>
      </c>
      <c r="D11" s="135">
        <v>100</v>
      </c>
      <c r="E11" s="429">
        <v>2.8</v>
      </c>
      <c r="F11" s="135">
        <f>LOOKUP(E11,80:80,81:81)-LOOKUP(C11,80:80,81:81)+100</f>
        <v>100</v>
      </c>
      <c r="G11" s="430">
        <v>1.5</v>
      </c>
      <c r="H11" s="135">
        <f>LOOKUP(G11,80:80,81:81)-LOOKUP(C11,80:80,81:81)+100</f>
        <v>102</v>
      </c>
      <c r="I11" s="429">
        <v>1.5</v>
      </c>
      <c r="J11" s="135">
        <f>LOOKUP(I11,80:80,81:81)-LOOKUP(C11,80:80,81:81)+100</f>
        <v>102</v>
      </c>
      <c r="K11" s="673">
        <v>2</v>
      </c>
      <c r="L11" s="1140"/>
      <c r="M11" s="1133"/>
      <c r="N11" s="1133"/>
      <c r="O11" s="1141"/>
      <c r="P11" s="3151"/>
      <c r="Q11" s="1798" t="str">
        <f t="shared" si="6"/>
        <v>容积率</v>
      </c>
      <c r="R11" s="770" t="s">
        <v>17</v>
      </c>
      <c r="S11" s="771">
        <f t="shared" si="0"/>
        <v>100</v>
      </c>
      <c r="T11" s="770" t="s">
        <v>17</v>
      </c>
      <c r="U11" s="771">
        <f t="shared" si="1"/>
        <v>102</v>
      </c>
      <c r="V11" s="770" t="s">
        <v>17</v>
      </c>
      <c r="W11" s="771">
        <f t="shared" si="2"/>
        <v>102</v>
      </c>
      <c r="X11" s="772"/>
      <c r="Y11" s="2999"/>
      <c r="Z11" s="55" t="str">
        <f t="shared" si="7"/>
        <v>容积率</v>
      </c>
      <c r="AA11" s="773">
        <f t="shared" si="3"/>
        <v>1</v>
      </c>
      <c r="AB11" s="773">
        <f t="shared" si="4"/>
        <v>0.98039215686274506</v>
      </c>
      <c r="AC11" s="773">
        <f t="shared" si="5"/>
        <v>0.98039215686274506</v>
      </c>
    </row>
    <row r="12" spans="1:30" s="116" customFormat="1" ht="15" hidden="1">
      <c r="A12" s="431"/>
      <c r="B12" s="2601" t="s">
        <v>2748</v>
      </c>
      <c r="C12" s="432"/>
      <c r="D12" s="433">
        <v>100</v>
      </c>
      <c r="E12" s="465"/>
      <c r="F12" s="135">
        <f>SUMIF(82:82,E12,83:83)-SUMIF(82:82,C12,83:83)+100</f>
        <v>100</v>
      </c>
      <c r="G12" s="463"/>
      <c r="H12" s="135">
        <f>SUMIF(82:82,G12,83:83)-SUMIF(82:82,C12,83:83)+100</f>
        <v>100</v>
      </c>
      <c r="I12" s="465"/>
      <c r="J12" s="135">
        <f>SUMIF(82:82,I12,83:83)-SUMIF(82:82,C12,83:83)+100</f>
        <v>100</v>
      </c>
      <c r="K12" s="672"/>
      <c r="L12" s="1134"/>
      <c r="M12" s="1135"/>
      <c r="N12" s="1135"/>
      <c r="O12" s="1136"/>
      <c r="P12" s="3151"/>
      <c r="Q12" s="1798"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hidden="1">
      <c r="A13" s="428"/>
      <c r="B13" s="2601">
        <v>111</v>
      </c>
      <c r="C13" s="434"/>
      <c r="D13" s="435">
        <v>100</v>
      </c>
      <c r="E13" s="549"/>
      <c r="F13" s="135">
        <f>SUMIF(84:84,E13,85:85)-SUMIF(84:84,C13,85:85)+100</f>
        <v>100</v>
      </c>
      <c r="G13" s="674"/>
      <c r="H13" s="435">
        <f>SUMIF(84:84,G13,85:85)-SUMIF(84:84,C13,85:85)+100</f>
        <v>100</v>
      </c>
      <c r="I13" s="674"/>
      <c r="J13" s="435">
        <f>SUMIF(84:84,I13,85:85)-SUMIF(84:84,C13,85:85)+100</f>
        <v>100</v>
      </c>
      <c r="K13" s="672"/>
      <c r="L13" s="1142"/>
      <c r="M13" s="1133"/>
      <c r="N13" s="1133"/>
      <c r="O13" s="1141"/>
      <c r="P13" s="3151"/>
      <c r="Q13" s="1798">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1"/>
      <c r="Q14" s="1798">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9.75">
      <c r="A15" s="440" t="s">
        <v>2560</v>
      </c>
      <c r="B15" s="68" t="s">
        <v>2087</v>
      </c>
      <c r="C15" s="2604" t="str">
        <f>估价对象房地状况!C15</f>
        <v>估价对象周边居住用地比例、居住小区规模和社区发展完善程度，综合评价居住社区成熟度一般</v>
      </c>
      <c r="D15" s="441">
        <v>100</v>
      </c>
      <c r="E15" s="442"/>
      <c r="F15" s="441">
        <f>SUMIF(88:88,E16,89:89)-SUMIF(88:88,C16,89:89)+100</f>
        <v>97</v>
      </c>
      <c r="G15" s="442"/>
      <c r="H15" s="441">
        <f>SUMIF(88:88,G16,89:89)-SUMIF(88:88,C16,89:89)+100</f>
        <v>97</v>
      </c>
      <c r="I15" s="444"/>
      <c r="J15" s="441">
        <f>SUMIF(88:88,I16,89:89)-SUMIF(88:88,C16,89:89)+100</f>
        <v>97</v>
      </c>
      <c r="K15" s="673">
        <v>3</v>
      </c>
      <c r="L15" s="1142"/>
      <c r="M15" s="1133"/>
      <c r="N15" s="1133"/>
      <c r="O15" s="1141"/>
      <c r="P15" s="3153" t="s">
        <v>2561</v>
      </c>
      <c r="Q15" s="1813" t="str">
        <f t="shared" si="6"/>
        <v>居住社区成熟度</v>
      </c>
      <c r="R15" s="774" t="s">
        <v>17</v>
      </c>
      <c r="S15" s="775">
        <f t="shared" si="0"/>
        <v>97</v>
      </c>
      <c r="T15" s="774" t="s">
        <v>17</v>
      </c>
      <c r="U15" s="775">
        <f t="shared" si="1"/>
        <v>97</v>
      </c>
      <c r="V15" s="774" t="s">
        <v>17</v>
      </c>
      <c r="W15" s="775">
        <f t="shared" si="2"/>
        <v>97</v>
      </c>
      <c r="X15" s="1816"/>
      <c r="Y15" s="3153" t="s">
        <v>2561</v>
      </c>
      <c r="Z15" s="1817" t="str">
        <f t="shared" si="7"/>
        <v>居住社区成熟度</v>
      </c>
      <c r="AA15" s="1814">
        <f t="shared" si="3"/>
        <v>1.0309278350515463</v>
      </c>
      <c r="AB15" s="1814">
        <f t="shared" si="4"/>
        <v>1.0309278350515463</v>
      </c>
      <c r="AC15" s="1814">
        <f t="shared" si="5"/>
        <v>1.0309278350515463</v>
      </c>
    </row>
    <row r="16" spans="1:30" ht="15">
      <c r="A16" s="428"/>
      <c r="B16" s="446"/>
      <c r="C16" s="447" t="s">
        <v>3108</v>
      </c>
      <c r="D16" s="448"/>
      <c r="E16" s="2606" t="s">
        <v>3138</v>
      </c>
      <c r="F16" s="448"/>
      <c r="G16" s="2606" t="s">
        <v>3138</v>
      </c>
      <c r="H16" s="450"/>
      <c r="I16" s="2605" t="s">
        <v>3138</v>
      </c>
      <c r="J16" s="448"/>
      <c r="K16" s="672"/>
      <c r="L16" s="1142"/>
      <c r="M16" s="1133"/>
      <c r="N16" s="1133"/>
      <c r="O16" s="1141"/>
      <c r="P16" s="3154"/>
      <c r="Q16" s="1813"/>
      <c r="R16" s="774"/>
      <c r="S16" s="775"/>
      <c r="T16" s="774"/>
      <c r="U16" s="775"/>
      <c r="V16" s="774"/>
      <c r="W16" s="775"/>
      <c r="X16" s="1816"/>
      <c r="Y16" s="3154"/>
      <c r="Z16" s="1817"/>
      <c r="AA16" s="1814">
        <v>1</v>
      </c>
      <c r="AB16" s="1814">
        <v>1</v>
      </c>
      <c r="AC16" s="1814">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97</v>
      </c>
      <c r="G17" s="452"/>
      <c r="H17" s="455">
        <f>SUMIF(90:90,G18,91:91)-SUMIF(90:90,C18,91:91)+100</f>
        <v>94</v>
      </c>
      <c r="I17" s="454"/>
      <c r="J17" s="455">
        <f>SUMIF(90:90,I18,91:91)-SUMIF(90:90,C18,91:91)+100</f>
        <v>94</v>
      </c>
      <c r="K17" s="673">
        <v>3</v>
      </c>
      <c r="L17" s="1142"/>
      <c r="M17" s="1133"/>
      <c r="N17" s="1133"/>
      <c r="O17" s="1141"/>
      <c r="P17" s="3154"/>
      <c r="Q17" s="1813" t="str">
        <f>B17</f>
        <v>商业繁华度</v>
      </c>
      <c r="R17" s="774" t="s">
        <v>17</v>
      </c>
      <c r="S17" s="775">
        <f>F17</f>
        <v>97</v>
      </c>
      <c r="T17" s="774" t="s">
        <v>17</v>
      </c>
      <c r="U17" s="775">
        <f>H17</f>
        <v>94</v>
      </c>
      <c r="V17" s="774" t="s">
        <v>17</v>
      </c>
      <c r="W17" s="775">
        <f>J17</f>
        <v>94</v>
      </c>
      <c r="X17" s="1816"/>
      <c r="Y17" s="3154"/>
      <c r="Z17" s="1817" t="str">
        <f>Q17</f>
        <v>商业繁华度</v>
      </c>
      <c r="AA17" s="1814">
        <f t="shared" si="3"/>
        <v>1.0309278350515463</v>
      </c>
      <c r="AB17" s="1814">
        <f t="shared" si="4"/>
        <v>1.0638297872340425</v>
      </c>
      <c r="AC17" s="1814">
        <f t="shared" si="5"/>
        <v>1.0638297872340425</v>
      </c>
    </row>
    <row r="18" spans="1:29" ht="15">
      <c r="A18" s="428"/>
      <c r="B18" s="456"/>
      <c r="C18" s="2609" t="s">
        <v>3109</v>
      </c>
      <c r="D18" s="450"/>
      <c r="E18" s="2611" t="s">
        <v>3108</v>
      </c>
      <c r="F18" s="450"/>
      <c r="G18" s="2611" t="s">
        <v>3138</v>
      </c>
      <c r="H18" s="448"/>
      <c r="I18" s="2610" t="s">
        <v>3138</v>
      </c>
      <c r="J18" s="448"/>
      <c r="K18" s="672"/>
      <c r="L18" s="1142"/>
      <c r="M18" s="1133"/>
      <c r="N18" s="1133"/>
      <c r="O18" s="1141"/>
      <c r="P18" s="3154"/>
      <c r="Q18" s="1813"/>
      <c r="R18" s="774"/>
      <c r="S18" s="775"/>
      <c r="T18" s="774"/>
      <c r="U18" s="775"/>
      <c r="V18" s="774"/>
      <c r="W18" s="775"/>
      <c r="X18" s="1816"/>
      <c r="Y18" s="3154"/>
      <c r="Z18" s="1817"/>
      <c r="AA18" s="1814">
        <v>1</v>
      </c>
      <c r="AB18" s="1814">
        <v>1</v>
      </c>
      <c r="AC18" s="1814">
        <v>1</v>
      </c>
    </row>
    <row r="19" spans="1:29" ht="71.25" hidden="1">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54"/>
      <c r="Q19" s="1813" t="str">
        <f>B19</f>
        <v>办公集聚程度</v>
      </c>
      <c r="R19" s="774" t="s">
        <v>17</v>
      </c>
      <c r="S19" s="775">
        <f>F19</f>
        <v>100</v>
      </c>
      <c r="T19" s="774" t="s">
        <v>17</v>
      </c>
      <c r="U19" s="775">
        <f>H19</f>
        <v>100</v>
      </c>
      <c r="V19" s="774" t="s">
        <v>17</v>
      </c>
      <c r="W19" s="775">
        <f>J19</f>
        <v>100</v>
      </c>
      <c r="X19" s="1816"/>
      <c r="Y19" s="3154"/>
      <c r="Z19" s="1817" t="str">
        <f>Q19</f>
        <v>办公集聚程度</v>
      </c>
      <c r="AA19" s="1814">
        <f t="shared" si="3"/>
        <v>1</v>
      </c>
      <c r="AB19" s="1814">
        <f t="shared" si="4"/>
        <v>1</v>
      </c>
      <c r="AC19" s="1814">
        <f t="shared" si="5"/>
        <v>1</v>
      </c>
    </row>
    <row r="20" spans="1:29" ht="15" hidden="1">
      <c r="A20" s="428"/>
      <c r="B20" s="456"/>
      <c r="C20" s="447"/>
      <c r="D20" s="448"/>
      <c r="E20" s="2606"/>
      <c r="F20" s="448"/>
      <c r="G20" s="2606"/>
      <c r="H20" s="448"/>
      <c r="I20" s="2605"/>
      <c r="J20" s="448"/>
      <c r="K20" s="672"/>
      <c r="L20" s="1142"/>
      <c r="M20" s="1133"/>
      <c r="N20" s="1133"/>
      <c r="O20" s="1141"/>
      <c r="P20" s="3154"/>
      <c r="Q20" s="1813"/>
      <c r="R20" s="774"/>
      <c r="S20" s="775"/>
      <c r="T20" s="774"/>
      <c r="U20" s="775"/>
      <c r="V20" s="774"/>
      <c r="W20" s="775"/>
      <c r="X20" s="1816"/>
      <c r="Y20" s="3154"/>
      <c r="Z20" s="1817"/>
      <c r="AA20" s="1814">
        <v>1</v>
      </c>
      <c r="AB20" s="1814">
        <v>1</v>
      </c>
      <c r="AC20" s="1814">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97</v>
      </c>
      <c r="G21" s="452"/>
      <c r="H21" s="450">
        <f>SUMIF(94:94,G22,95:95)-SUMIF(94:94,C22,95:95)+100</f>
        <v>97</v>
      </c>
      <c r="I21" s="454"/>
      <c r="J21" s="450">
        <f>SUMIF(94:94,I22,95:95)-SUMIF(94:94,C22,95:95)+100</f>
        <v>97</v>
      </c>
      <c r="K21" s="673">
        <v>3</v>
      </c>
      <c r="L21" s="1142"/>
      <c r="M21" s="1133"/>
      <c r="N21" s="1133"/>
      <c r="O21" s="1141"/>
      <c r="P21" s="3154"/>
      <c r="Q21" s="1813" t="str">
        <f>B21</f>
        <v>交通便捷度</v>
      </c>
      <c r="R21" s="774" t="s">
        <v>17</v>
      </c>
      <c r="S21" s="775">
        <f>F21</f>
        <v>97</v>
      </c>
      <c r="T21" s="774" t="s">
        <v>17</v>
      </c>
      <c r="U21" s="775">
        <f>H21</f>
        <v>97</v>
      </c>
      <c r="V21" s="774" t="s">
        <v>17</v>
      </c>
      <c r="W21" s="775">
        <f>J21</f>
        <v>97</v>
      </c>
      <c r="X21" s="1816"/>
      <c r="Y21" s="3154"/>
      <c r="Z21" s="1817" t="str">
        <f>Q21</f>
        <v>交通便捷度</v>
      </c>
      <c r="AA21" s="1814">
        <f t="shared" si="3"/>
        <v>1.0309278350515463</v>
      </c>
      <c r="AB21" s="1814">
        <f t="shared" si="4"/>
        <v>1.0309278350515463</v>
      </c>
      <c r="AC21" s="1814">
        <f t="shared" si="5"/>
        <v>1.0309278350515463</v>
      </c>
    </row>
    <row r="22" spans="1:29" ht="15">
      <c r="A22" s="428"/>
      <c r="B22" s="1386"/>
      <c r="C22" s="447" t="s">
        <v>3109</v>
      </c>
      <c r="D22" s="450"/>
      <c r="E22" s="2606" t="s">
        <v>3108</v>
      </c>
      <c r="F22" s="448"/>
      <c r="G22" s="2606" t="s">
        <v>3108</v>
      </c>
      <c r="H22" s="448"/>
      <c r="I22" s="2605" t="s">
        <v>3108</v>
      </c>
      <c r="J22" s="448"/>
      <c r="K22" s="672"/>
      <c r="L22" s="1142"/>
      <c r="M22" s="1133"/>
      <c r="N22" s="1133"/>
      <c r="O22" s="1141"/>
      <c r="P22" s="3154"/>
      <c r="Q22" s="1813"/>
      <c r="R22" s="774"/>
      <c r="S22" s="775"/>
      <c r="T22" s="774"/>
      <c r="U22" s="775"/>
      <c r="V22" s="774"/>
      <c r="W22" s="775"/>
      <c r="X22" s="1816"/>
      <c r="Y22" s="3154"/>
      <c r="Z22" s="1817"/>
      <c r="AA22" s="1814">
        <v>1</v>
      </c>
      <c r="AB22" s="1814">
        <v>1</v>
      </c>
      <c r="AC22" s="1814">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54"/>
      <c r="Q23" s="1813" t="str">
        <f t="shared" ref="Q23:Q37" si="8">B23</f>
        <v>区域土地利用方向</v>
      </c>
      <c r="R23" s="774" t="s">
        <v>17</v>
      </c>
      <c r="S23" s="775">
        <f>F23</f>
        <v>100</v>
      </c>
      <c r="T23" s="774" t="s">
        <v>17</v>
      </c>
      <c r="U23" s="775">
        <f>H23</f>
        <v>100</v>
      </c>
      <c r="V23" s="774" t="s">
        <v>17</v>
      </c>
      <c r="W23" s="775">
        <f>J23</f>
        <v>100</v>
      </c>
      <c r="X23" s="1816"/>
      <c r="Y23" s="3154"/>
      <c r="Z23" s="1817" t="str">
        <f>Q23</f>
        <v>区域土地利用方向</v>
      </c>
      <c r="AA23" s="1814">
        <f t="shared" si="3"/>
        <v>1</v>
      </c>
      <c r="AB23" s="1814">
        <f t="shared" si="4"/>
        <v>1</v>
      </c>
      <c r="AC23" s="1814">
        <f t="shared" si="5"/>
        <v>1</v>
      </c>
    </row>
    <row r="24" spans="1:29" ht="15">
      <c r="A24" s="404"/>
      <c r="B24" s="456"/>
      <c r="C24" s="616" t="s">
        <v>3108</v>
      </c>
      <c r="D24" s="448"/>
      <c r="E24" s="2606" t="s">
        <v>3108</v>
      </c>
      <c r="F24" s="448"/>
      <c r="G24" s="2605" t="s">
        <v>3108</v>
      </c>
      <c r="H24" s="448"/>
      <c r="I24" s="2605" t="s">
        <v>3108</v>
      </c>
      <c r="J24" s="448"/>
      <c r="K24" s="812"/>
      <c r="L24" s="1142"/>
      <c r="M24" s="1133"/>
      <c r="N24" s="1133"/>
      <c r="O24" s="1141"/>
      <c r="P24" s="3154"/>
      <c r="Q24" s="1813"/>
      <c r="R24" s="774"/>
      <c r="S24" s="775"/>
      <c r="T24" s="774"/>
      <c r="U24" s="775"/>
      <c r="V24" s="774"/>
      <c r="W24" s="775"/>
      <c r="X24" s="1816"/>
      <c r="Y24" s="3154"/>
      <c r="Z24" s="1817"/>
      <c r="AA24" s="1814"/>
      <c r="AB24" s="1814"/>
      <c r="AC24" s="1814"/>
    </row>
    <row r="25" spans="1:29" ht="57">
      <c r="A25" s="404"/>
      <c r="B25" s="1386" t="s">
        <v>2750</v>
      </c>
      <c r="C25" s="2665" t="str">
        <f>估价对象房地状况!C20</f>
        <v>区域自然环境：；人文环境；综合评价环境状况一般</v>
      </c>
      <c r="D25" s="450">
        <v>100</v>
      </c>
      <c r="E25" s="452"/>
      <c r="F25" s="450">
        <f>SUMIF(98:98,E26,99:99)-SUMIF(98:98,C26,99:99)+100</f>
        <v>97</v>
      </c>
      <c r="G25" s="452"/>
      <c r="H25" s="450">
        <f>SUMIF(98:98,G26,99:99)-SUMIF(98:98,C26,99:99)+100</f>
        <v>97</v>
      </c>
      <c r="I25" s="454"/>
      <c r="J25" s="450">
        <f>SUMIF(98:98,I26,99:99)-SUMIF(98:98,C26,99:99)+100</f>
        <v>94</v>
      </c>
      <c r="K25" s="673">
        <v>3</v>
      </c>
      <c r="L25" s="1142"/>
      <c r="M25" s="1133"/>
      <c r="N25" s="1133"/>
      <c r="O25" s="1141"/>
      <c r="P25" s="3154"/>
      <c r="Q25" s="1813" t="str">
        <f t="shared" si="8"/>
        <v>自然及人文环境状况</v>
      </c>
      <c r="R25" s="774" t="s">
        <v>17</v>
      </c>
      <c r="S25" s="775">
        <f>F25</f>
        <v>97</v>
      </c>
      <c r="T25" s="774" t="s">
        <v>17</v>
      </c>
      <c r="U25" s="775">
        <f>H25</f>
        <v>97</v>
      </c>
      <c r="V25" s="774" t="s">
        <v>17</v>
      </c>
      <c r="W25" s="775">
        <f>J25</f>
        <v>94</v>
      </c>
      <c r="X25" s="1816"/>
      <c r="Y25" s="3154"/>
      <c r="Z25" s="1817" t="str">
        <f>Q25</f>
        <v>自然及人文环境状况</v>
      </c>
      <c r="AA25" s="1814">
        <f t="shared" si="3"/>
        <v>1.0309278350515463</v>
      </c>
      <c r="AB25" s="1814">
        <f t="shared" si="4"/>
        <v>1.0309278350515463</v>
      </c>
      <c r="AC25" s="1814">
        <f t="shared" si="5"/>
        <v>1.0638297872340425</v>
      </c>
    </row>
    <row r="26" spans="1:29" ht="15">
      <c r="A26" s="404"/>
      <c r="B26" s="456"/>
      <c r="C26" s="447" t="s">
        <v>3109</v>
      </c>
      <c r="D26" s="448"/>
      <c r="E26" s="2612" t="s">
        <v>3108</v>
      </c>
      <c r="F26" s="448"/>
      <c r="G26" s="2612" t="s">
        <v>3108</v>
      </c>
      <c r="H26" s="448"/>
      <c r="I26" s="447" t="s">
        <v>3138</v>
      </c>
      <c r="J26" s="448"/>
      <c r="K26" s="672"/>
      <c r="L26" s="1142"/>
      <c r="M26" s="1133"/>
      <c r="N26" s="1133"/>
      <c r="O26" s="1141"/>
      <c r="P26" s="3154"/>
      <c r="Q26" s="1813"/>
      <c r="R26" s="774"/>
      <c r="S26" s="775"/>
      <c r="T26" s="774"/>
      <c r="U26" s="775"/>
      <c r="V26" s="774"/>
      <c r="W26" s="775"/>
      <c r="X26" s="1816"/>
      <c r="Y26" s="3154"/>
      <c r="Z26" s="1817"/>
      <c r="AA26" s="1814">
        <v>1</v>
      </c>
      <c r="AB26" s="1814">
        <v>1</v>
      </c>
      <c r="AC26" s="1814">
        <v>1</v>
      </c>
    </row>
    <row r="27" spans="1:29" s="116" customFormat="1" ht="42.75">
      <c r="A27" s="649"/>
      <c r="B27" s="1386"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4"/>
      <c r="M27" s="1135"/>
      <c r="N27" s="1135"/>
      <c r="O27" s="1136"/>
      <c r="P27" s="3154"/>
      <c r="Q27" s="1798" t="str">
        <f t="shared" si="8"/>
        <v>公共配套设施</v>
      </c>
      <c r="R27" s="770" t="s">
        <v>17</v>
      </c>
      <c r="S27" s="771">
        <f>F27</f>
        <v>100</v>
      </c>
      <c r="T27" s="770" t="s">
        <v>17</v>
      </c>
      <c r="U27" s="771">
        <f>H27</f>
        <v>98</v>
      </c>
      <c r="V27" s="770" t="s">
        <v>17</v>
      </c>
      <c r="W27" s="771">
        <f>J27</f>
        <v>98</v>
      </c>
      <c r="X27" s="772"/>
      <c r="Y27" s="3154"/>
      <c r="Z27" s="55" t="str">
        <f>Q27</f>
        <v>公共配套设施</v>
      </c>
      <c r="AA27" s="1814">
        <f>D27/F27</f>
        <v>1</v>
      </c>
      <c r="AB27" s="1814">
        <f>D27/H27</f>
        <v>1.0204081632653061</v>
      </c>
      <c r="AC27" s="1814">
        <f>D27/J27</f>
        <v>1.0204081632653061</v>
      </c>
    </row>
    <row r="28" spans="1:29" s="116" customFormat="1" ht="15">
      <c r="A28" s="649"/>
      <c r="B28" s="456"/>
      <c r="C28" s="2701" t="s">
        <v>3108</v>
      </c>
      <c r="D28" s="448"/>
      <c r="E28" s="2612" t="s">
        <v>3108</v>
      </c>
      <c r="F28" s="448"/>
      <c r="G28" s="2612" t="s">
        <v>3138</v>
      </c>
      <c r="H28" s="448"/>
      <c r="I28" s="447" t="s">
        <v>3138</v>
      </c>
      <c r="J28" s="448"/>
      <c r="K28" s="672"/>
      <c r="L28" s="1134"/>
      <c r="M28" s="1135"/>
      <c r="N28" s="1135"/>
      <c r="O28" s="1136"/>
      <c r="P28" s="3154"/>
      <c r="Q28" s="1798"/>
      <c r="R28" s="770"/>
      <c r="S28" s="771"/>
      <c r="T28" s="770"/>
      <c r="U28" s="771"/>
      <c r="V28" s="770"/>
      <c r="W28" s="771"/>
      <c r="X28" s="772"/>
      <c r="Y28" s="3154"/>
      <c r="Z28" s="55"/>
      <c r="AA28" s="1814">
        <v>1</v>
      </c>
      <c r="AB28" s="1814">
        <v>1</v>
      </c>
      <c r="AC28" s="1814">
        <v>1</v>
      </c>
    </row>
    <row r="29" spans="1:29" s="116" customFormat="1" ht="28.5">
      <c r="A29" s="649"/>
      <c r="B29" s="1386"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54"/>
      <c r="Q29" s="1798" t="str">
        <f t="shared" ref="Q29" si="9">B29</f>
        <v>基础设施水平</v>
      </c>
      <c r="R29" s="770" t="s">
        <v>17</v>
      </c>
      <c r="S29" s="771">
        <f>F29</f>
        <v>100</v>
      </c>
      <c r="T29" s="770" t="s">
        <v>17</v>
      </c>
      <c r="U29" s="771">
        <f>H29</f>
        <v>100</v>
      </c>
      <c r="V29" s="770" t="s">
        <v>17</v>
      </c>
      <c r="W29" s="771">
        <f>J29</f>
        <v>100</v>
      </c>
      <c r="X29" s="772"/>
      <c r="Y29" s="3154"/>
      <c r="Z29" s="55" t="str">
        <f>Q29</f>
        <v>基础设施水平</v>
      </c>
      <c r="AA29" s="1814">
        <f>D29/F29</f>
        <v>1</v>
      </c>
      <c r="AB29" s="1814">
        <f>D29/H29</f>
        <v>1</v>
      </c>
      <c r="AC29" s="1814">
        <f>D29/J29</f>
        <v>1</v>
      </c>
    </row>
    <row r="30" spans="1:29" s="116" customFormat="1" ht="15">
      <c r="A30" s="649"/>
      <c r="B30" s="456"/>
      <c r="C30" s="2701" t="s">
        <v>3110</v>
      </c>
      <c r="D30" s="448"/>
      <c r="E30" s="2702" t="s">
        <v>3110</v>
      </c>
      <c r="F30" s="448"/>
      <c r="G30" s="2702" t="s">
        <v>3110</v>
      </c>
      <c r="H30" s="448"/>
      <c r="I30" s="2702" t="s">
        <v>3110</v>
      </c>
      <c r="J30" s="448"/>
      <c r="K30" s="672"/>
      <c r="L30" s="1134"/>
      <c r="M30" s="1135"/>
      <c r="N30" s="1135"/>
      <c r="O30" s="1136"/>
      <c r="P30" s="3154"/>
      <c r="Q30" s="1798"/>
      <c r="R30" s="770"/>
      <c r="S30" s="771"/>
      <c r="T30" s="770"/>
      <c r="U30" s="771"/>
      <c r="V30" s="770"/>
      <c r="W30" s="771"/>
      <c r="X30" s="772"/>
      <c r="Y30" s="3154"/>
      <c r="Z30" s="55"/>
      <c r="AA30" s="1814">
        <v>1</v>
      </c>
      <c r="AB30" s="1814">
        <v>1</v>
      </c>
      <c r="AC30" s="1814">
        <v>1</v>
      </c>
    </row>
    <row r="31" spans="1:29" ht="15">
      <c r="A31" s="428"/>
      <c r="B31" s="456" t="s">
        <v>2657</v>
      </c>
      <c r="C31" s="616" t="s">
        <v>3111</v>
      </c>
      <c r="D31" s="435">
        <v>100</v>
      </c>
      <c r="E31" s="634" t="s">
        <v>3111</v>
      </c>
      <c r="F31" s="435">
        <f>SUMIF(104:104,E31,105:105)-SUMIF(104:104,C31,105:105)+100</f>
        <v>100</v>
      </c>
      <c r="G31" s="634" t="s">
        <v>3111</v>
      </c>
      <c r="H31" s="435">
        <f>SUMIF(104:104,G31,105:105)-SUMIF(104:104,C31,105:105)+100</f>
        <v>100</v>
      </c>
      <c r="I31" s="634" t="s">
        <v>3111</v>
      </c>
      <c r="J31" s="435">
        <f>SUMIF(104:104,I31,105:105)-SUMIF(104:104,C31,105:105)+100</f>
        <v>100</v>
      </c>
      <c r="K31" s="673">
        <v>2</v>
      </c>
      <c r="L31" s="1142"/>
      <c r="M31" s="1133"/>
      <c r="N31" s="1133"/>
      <c r="O31" s="1141"/>
      <c r="P31" s="315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4"/>
      <c r="Z31" s="1817" t="str">
        <f t="shared" ref="Z31:Z45" si="13">Q31</f>
        <v>临街状况</v>
      </c>
      <c r="AA31" s="1814">
        <f t="shared" si="3"/>
        <v>1</v>
      </c>
      <c r="AB31" s="1814">
        <f t="shared" si="4"/>
        <v>1</v>
      </c>
      <c r="AC31" s="1814">
        <f t="shared" si="5"/>
        <v>1</v>
      </c>
    </row>
    <row r="32" spans="1:29" ht="27">
      <c r="A32" s="428"/>
      <c r="B32" s="1386" t="s">
        <v>2692</v>
      </c>
      <c r="C32" s="454"/>
      <c r="D32" s="450">
        <v>100</v>
      </c>
      <c r="E32" s="452"/>
      <c r="F32" s="450">
        <f>SUMIF(106:106,E33,107:107)-SUMIF(106:106,C33,107:107)+100</f>
        <v>98</v>
      </c>
      <c r="G32" s="452"/>
      <c r="H32" s="450">
        <f>SUMIF(106:106,G33,107:107)-SUMIF(106:106,C33,107:107)+100</f>
        <v>98</v>
      </c>
      <c r="I32" s="454"/>
      <c r="J32" s="450">
        <f>SUMIF(106:106,I33,107:107)-SUMIF(106:106,C33,107:107)+100</f>
        <v>100</v>
      </c>
      <c r="K32" s="673">
        <v>2</v>
      </c>
      <c r="L32" s="1142"/>
      <c r="M32" s="1133"/>
      <c r="N32" s="1133"/>
      <c r="O32" s="1141"/>
      <c r="P32" s="3154"/>
      <c r="Q32" s="1813" t="str">
        <f t="shared" si="8"/>
        <v>毗邻道路的类型与等级</v>
      </c>
      <c r="R32" s="774" t="s">
        <v>17</v>
      </c>
      <c r="S32" s="775">
        <f t="shared" si="10"/>
        <v>98</v>
      </c>
      <c r="T32" s="774" t="s">
        <v>17</v>
      </c>
      <c r="U32" s="775">
        <f t="shared" si="11"/>
        <v>98</v>
      </c>
      <c r="V32" s="774" t="s">
        <v>17</v>
      </c>
      <c r="W32" s="775">
        <f t="shared" si="12"/>
        <v>100</v>
      </c>
      <c r="X32" s="1816"/>
      <c r="Y32" s="3154"/>
      <c r="Z32" s="1817" t="str">
        <f t="shared" si="13"/>
        <v>毗邻道路的类型与等级</v>
      </c>
      <c r="AA32" s="1814">
        <f t="shared" si="3"/>
        <v>1.0204081632653061</v>
      </c>
      <c r="AB32" s="1814">
        <f t="shared" si="4"/>
        <v>1.0204081632653061</v>
      </c>
      <c r="AC32" s="1814">
        <f t="shared" si="5"/>
        <v>1</v>
      </c>
    </row>
    <row r="33" spans="1:29" ht="15">
      <c r="A33" s="428"/>
      <c r="B33" s="456"/>
      <c r="C33" s="447" t="s">
        <v>3113</v>
      </c>
      <c r="D33" s="448"/>
      <c r="E33" s="2612" t="s">
        <v>3115</v>
      </c>
      <c r="F33" s="448"/>
      <c r="G33" s="2612" t="s">
        <v>3115</v>
      </c>
      <c r="H33" s="448"/>
      <c r="I33" s="447" t="s">
        <v>3113</v>
      </c>
      <c r="J33" s="448"/>
      <c r="K33" s="613"/>
      <c r="L33" s="1142"/>
      <c r="M33" s="1133"/>
      <c r="N33" s="1133"/>
      <c r="O33" s="1141"/>
      <c r="P33" s="3154"/>
      <c r="Q33" s="1813"/>
      <c r="R33" s="774"/>
      <c r="S33" s="775"/>
      <c r="T33" s="774"/>
      <c r="U33" s="775"/>
      <c r="V33" s="774"/>
      <c r="W33" s="775"/>
      <c r="X33" s="1816"/>
      <c r="Y33" s="3154"/>
      <c r="Z33" s="1817"/>
      <c r="AA33" s="1814">
        <v>1</v>
      </c>
      <c r="AB33" s="1814">
        <v>1</v>
      </c>
      <c r="AC33" s="1814">
        <v>1</v>
      </c>
    </row>
    <row r="34" spans="1:29" ht="15.75" thickBot="1">
      <c r="A34" s="428"/>
      <c r="B34" s="422" t="s">
        <v>2751</v>
      </c>
      <c r="C34" s="616" t="s">
        <v>442</v>
      </c>
      <c r="D34" s="435">
        <v>100</v>
      </c>
      <c r="E34" s="634" t="s">
        <v>137</v>
      </c>
      <c r="F34" s="435">
        <f>SUMIF(108:108,E34,109:109)-SUMIF(108:108,C34,109:109)+100</f>
        <v>99</v>
      </c>
      <c r="G34" s="634" t="s">
        <v>523</v>
      </c>
      <c r="H34" s="435">
        <f>SUMIF(108:108,G34,109:109)-SUMIF(108:108,C34,109:109)+100</f>
        <v>98</v>
      </c>
      <c r="I34" s="616" t="s">
        <v>523</v>
      </c>
      <c r="J34" s="435">
        <f>SUMIF(108:108,I34,109:109)-SUMIF(108:108,C34,109:109)+100</f>
        <v>98</v>
      </c>
      <c r="K34" s="612">
        <v>1</v>
      </c>
      <c r="L34" s="1142"/>
      <c r="M34" s="1133"/>
      <c r="N34" s="1133"/>
      <c r="O34" s="1141"/>
      <c r="P34" s="3154"/>
      <c r="Q34" s="1813" t="str">
        <f t="shared" si="8"/>
        <v>土地级别</v>
      </c>
      <c r="R34" s="774" t="s">
        <v>17</v>
      </c>
      <c r="S34" s="775">
        <f t="shared" si="10"/>
        <v>99</v>
      </c>
      <c r="T34" s="774" t="s">
        <v>17</v>
      </c>
      <c r="U34" s="775">
        <f t="shared" si="11"/>
        <v>98</v>
      </c>
      <c r="V34" s="774" t="s">
        <v>17</v>
      </c>
      <c r="W34" s="775">
        <f t="shared" si="12"/>
        <v>98</v>
      </c>
      <c r="X34" s="1816"/>
      <c r="Y34" s="3154"/>
      <c r="Z34" s="1817" t="str">
        <f t="shared" si="13"/>
        <v>土地级别</v>
      </c>
      <c r="AA34" s="1814">
        <f t="shared" si="3"/>
        <v>1.0101010101010102</v>
      </c>
      <c r="AB34" s="1814">
        <f t="shared" si="4"/>
        <v>1.0204081632653061</v>
      </c>
      <c r="AC34" s="1814">
        <f t="shared" si="5"/>
        <v>1.0204081632653061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54"/>
      <c r="Q35" s="1813">
        <f t="shared" si="8"/>
        <v>111</v>
      </c>
      <c r="R35" s="774" t="s">
        <v>17</v>
      </c>
      <c r="S35" s="775">
        <f t="shared" si="10"/>
        <v>100</v>
      </c>
      <c r="T35" s="774" t="s">
        <v>17</v>
      </c>
      <c r="U35" s="775">
        <f t="shared" si="11"/>
        <v>100</v>
      </c>
      <c r="V35" s="774" t="s">
        <v>17</v>
      </c>
      <c r="W35" s="775">
        <f t="shared" si="12"/>
        <v>100</v>
      </c>
      <c r="X35" s="1816"/>
      <c r="Y35" s="3154"/>
      <c r="Z35" s="1817">
        <f t="shared" si="13"/>
        <v>111</v>
      </c>
      <c r="AA35" s="1814">
        <f t="shared" si="3"/>
        <v>1</v>
      </c>
      <c r="AB35" s="1814">
        <f t="shared" si="4"/>
        <v>1</v>
      </c>
      <c r="AC35" s="1814">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55" t="s">
        <v>2566</v>
      </c>
      <c r="Q36" s="1813">
        <f t="shared" si="8"/>
        <v>111</v>
      </c>
      <c r="R36" s="774" t="s">
        <v>17</v>
      </c>
      <c r="S36" s="775">
        <f t="shared" si="10"/>
        <v>100</v>
      </c>
      <c r="T36" s="774" t="s">
        <v>17</v>
      </c>
      <c r="U36" s="775">
        <f t="shared" si="11"/>
        <v>100</v>
      </c>
      <c r="V36" s="774" t="s">
        <v>17</v>
      </c>
      <c r="W36" s="775">
        <f t="shared" si="12"/>
        <v>100</v>
      </c>
      <c r="X36" s="1816"/>
      <c r="Y36" s="3156" t="s">
        <v>2566</v>
      </c>
      <c r="Z36" s="1817">
        <f t="shared" si="13"/>
        <v>111</v>
      </c>
      <c r="AA36" s="1814">
        <f t="shared" si="3"/>
        <v>1</v>
      </c>
      <c r="AB36" s="1814">
        <f t="shared" si="4"/>
        <v>1</v>
      </c>
      <c r="AC36" s="1814">
        <f t="shared" si="5"/>
        <v>1</v>
      </c>
    </row>
    <row r="37" spans="1:29" s="471" customFormat="1" ht="15.75" hidden="1" thickBot="1">
      <c r="A37" s="676"/>
      <c r="B37" s="1390">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56"/>
      <c r="Q37" s="1813">
        <f t="shared" si="8"/>
        <v>111</v>
      </c>
      <c r="R37" s="777" t="s">
        <v>17</v>
      </c>
      <c r="S37" s="778">
        <f t="shared" si="10"/>
        <v>100</v>
      </c>
      <c r="T37" s="777" t="s">
        <v>17</v>
      </c>
      <c r="U37" s="778">
        <f t="shared" si="11"/>
        <v>100</v>
      </c>
      <c r="V37" s="777" t="s">
        <v>17</v>
      </c>
      <c r="W37" s="778">
        <f t="shared" si="12"/>
        <v>100</v>
      </c>
      <c r="X37" s="779"/>
      <c r="Y37" s="3156"/>
      <c r="Z37" s="780">
        <f t="shared" si="13"/>
        <v>111</v>
      </c>
      <c r="AA37" s="1814">
        <f t="shared" si="3"/>
        <v>1</v>
      </c>
      <c r="AB37" s="1814">
        <f t="shared" si="4"/>
        <v>1</v>
      </c>
      <c r="AC37" s="1814">
        <f t="shared" si="5"/>
        <v>1</v>
      </c>
    </row>
    <row r="38" spans="1:29" ht="15">
      <c r="A38" s="472" t="s">
        <v>2564</v>
      </c>
      <c r="B38" s="456" t="s">
        <v>2752</v>
      </c>
      <c r="C38" s="679">
        <f>'数据-基础表'!A3</f>
        <v>70334.78</v>
      </c>
      <c r="D38" s="467">
        <v>100</v>
      </c>
      <c r="E38" s="679">
        <v>20579.64</v>
      </c>
      <c r="F38" s="467">
        <f>LOOKUP(E38,117:117,118:118)-LOOKUP(C38,117:117,118:118)+100</f>
        <v>100</v>
      </c>
      <c r="G38" s="679">
        <v>56142.3</v>
      </c>
      <c r="H38" s="467">
        <f>LOOKUP(G38,117:117,118:118)-LOOKUP(C38,117:117,118:118)+100</f>
        <v>100</v>
      </c>
      <c r="I38" s="530">
        <v>41446.550000000003</v>
      </c>
      <c r="J38" s="467">
        <f>LOOKUP(I38,117:117,118:118)-LOOKUP(C38,117:117,118:118)+100</f>
        <v>100</v>
      </c>
      <c r="K38" s="613"/>
      <c r="L38" s="1142"/>
      <c r="M38" s="1133"/>
      <c r="N38" s="1133"/>
      <c r="O38" s="1141"/>
      <c r="P38" s="3156"/>
      <c r="Q38" s="1813" t="str">
        <f>B38</f>
        <v>宗地面积</v>
      </c>
      <c r="R38" s="774" t="s">
        <v>17</v>
      </c>
      <c r="S38" s="775">
        <f t="shared" si="10"/>
        <v>100</v>
      </c>
      <c r="T38" s="774" t="s">
        <v>17</v>
      </c>
      <c r="U38" s="775">
        <f t="shared" si="11"/>
        <v>100</v>
      </c>
      <c r="V38" s="774" t="s">
        <v>17</v>
      </c>
      <c r="W38" s="775">
        <f t="shared" si="12"/>
        <v>100</v>
      </c>
      <c r="X38" s="1816"/>
      <c r="Y38" s="3156"/>
      <c r="Z38" s="1817" t="str">
        <f t="shared" si="13"/>
        <v>宗地面积</v>
      </c>
      <c r="AA38" s="1814">
        <f t="shared" si="3"/>
        <v>1</v>
      </c>
      <c r="AB38" s="1814">
        <f t="shared" si="4"/>
        <v>1</v>
      </c>
      <c r="AC38" s="1814">
        <f t="shared" si="5"/>
        <v>1</v>
      </c>
    </row>
    <row r="39" spans="1:29" ht="15">
      <c r="A39" s="472"/>
      <c r="B39" s="422" t="s">
        <v>2753</v>
      </c>
      <c r="C39" s="2614" t="s">
        <v>3223</v>
      </c>
      <c r="D39" s="435">
        <v>100</v>
      </c>
      <c r="E39" s="2614" t="s">
        <v>3223</v>
      </c>
      <c r="F39" s="435">
        <f>SUMIF(119:119,E39,120:120)-SUMIF(119:119,C39,120:120)+100</f>
        <v>100</v>
      </c>
      <c r="G39" s="2614" t="s">
        <v>3223</v>
      </c>
      <c r="H39" s="435">
        <f>SUMIF(119:119,G39,120:120)-SUMIF(119:119,C39,120:120)+100</f>
        <v>100</v>
      </c>
      <c r="I39" s="2614" t="s">
        <v>3120</v>
      </c>
      <c r="J39" s="435">
        <f>SUMIF(119:119,I39,120:120)-SUMIF(119:119,C39,120:120)+100</f>
        <v>102</v>
      </c>
      <c r="K39" s="612">
        <v>2</v>
      </c>
      <c r="L39" s="1142"/>
      <c r="M39" s="1133"/>
      <c r="N39" s="1133"/>
      <c r="O39" s="1141"/>
      <c r="P39" s="3156"/>
      <c r="Q39" s="1813" t="str">
        <f t="shared" ref="Q39:Q45" si="14">B39</f>
        <v>宗地形状</v>
      </c>
      <c r="R39" s="774" t="s">
        <v>17</v>
      </c>
      <c r="S39" s="775">
        <f t="shared" si="10"/>
        <v>100</v>
      </c>
      <c r="T39" s="774" t="s">
        <v>17</v>
      </c>
      <c r="U39" s="775">
        <f t="shared" si="11"/>
        <v>100</v>
      </c>
      <c r="V39" s="774" t="s">
        <v>17</v>
      </c>
      <c r="W39" s="775">
        <f t="shared" si="12"/>
        <v>102</v>
      </c>
      <c r="X39" s="1816"/>
      <c r="Y39" s="3156"/>
      <c r="Z39" s="1817" t="str">
        <f t="shared" si="13"/>
        <v>宗地形状</v>
      </c>
      <c r="AA39" s="1814">
        <f t="shared" si="3"/>
        <v>1</v>
      </c>
      <c r="AB39" s="1814">
        <f t="shared" si="4"/>
        <v>1</v>
      </c>
      <c r="AC39" s="1814">
        <f t="shared" si="5"/>
        <v>0.98039215686274506</v>
      </c>
    </row>
    <row r="40" spans="1:29" ht="15">
      <c r="A40" s="472"/>
      <c r="B40" s="422" t="s">
        <v>2754</v>
      </c>
      <c r="C40" s="2614" t="s">
        <v>3108</v>
      </c>
      <c r="D40" s="435">
        <v>100</v>
      </c>
      <c r="E40" s="2614" t="s">
        <v>3108</v>
      </c>
      <c r="F40" s="435">
        <f>SUMIF(121:121,E40,122:122)-SUMIF(121:121,C40,122:122)+100</f>
        <v>100</v>
      </c>
      <c r="G40" s="2614" t="s">
        <v>3108</v>
      </c>
      <c r="H40" s="435">
        <f>SUMIF(121:121,G40,122:122)-SUMIF(121:121,C40,122:122)+100</f>
        <v>100</v>
      </c>
      <c r="I40" s="2614" t="s">
        <v>3108</v>
      </c>
      <c r="J40" s="435">
        <f>SUMIF(121:121,I40,122:122)-SUMIF(121:121,C40,122:122)+100</f>
        <v>100</v>
      </c>
      <c r="K40" s="612"/>
      <c r="L40" s="1142"/>
      <c r="M40" s="1133"/>
      <c r="N40" s="1133"/>
      <c r="O40" s="1141"/>
      <c r="P40" s="3156"/>
      <c r="Q40" s="1813" t="str">
        <f t="shared" si="14"/>
        <v>临街宽度及深度</v>
      </c>
      <c r="R40" s="774" t="s">
        <v>17</v>
      </c>
      <c r="S40" s="775">
        <f t="shared" si="10"/>
        <v>100</v>
      </c>
      <c r="T40" s="774" t="s">
        <v>17</v>
      </c>
      <c r="U40" s="775">
        <f t="shared" si="11"/>
        <v>100</v>
      </c>
      <c r="V40" s="774" t="s">
        <v>17</v>
      </c>
      <c r="W40" s="775">
        <f t="shared" si="12"/>
        <v>100</v>
      </c>
      <c r="X40" s="1816"/>
      <c r="Y40" s="3156"/>
      <c r="Z40" s="1817" t="str">
        <f t="shared" si="13"/>
        <v>临街宽度及深度</v>
      </c>
      <c r="AA40" s="1814">
        <f t="shared" si="3"/>
        <v>1</v>
      </c>
      <c r="AB40" s="1814">
        <f t="shared" si="4"/>
        <v>1</v>
      </c>
      <c r="AC40" s="1814">
        <f t="shared" si="5"/>
        <v>1</v>
      </c>
    </row>
    <row r="41" spans="1:29" s="116" customFormat="1" ht="15">
      <c r="A41" s="473"/>
      <c r="B41" s="422" t="s">
        <v>2755</v>
      </c>
      <c r="C41" s="2703" t="s">
        <v>3110</v>
      </c>
      <c r="D41" s="135">
        <v>100</v>
      </c>
      <c r="E41" s="2703" t="s">
        <v>3110</v>
      </c>
      <c r="F41" s="435">
        <f>SUMIF(123:123,E41,124:124)-SUMIF(123:123,C41,124:124)+100</f>
        <v>100</v>
      </c>
      <c r="G41" s="2703" t="s">
        <v>3110</v>
      </c>
      <c r="H41" s="435">
        <f>SUMIF(123:123,G41,124:124)-SUMIF(123:123,C41,124:124)+100</f>
        <v>100</v>
      </c>
      <c r="I41" s="2703" t="s">
        <v>3110</v>
      </c>
      <c r="J41" s="435">
        <f>SUMIF(123:123,I41,124:124)-SUMIF(123:123,C41,124:124)+100</f>
        <v>100</v>
      </c>
      <c r="K41" s="612"/>
      <c r="L41" s="1134"/>
      <c r="M41" s="1135"/>
      <c r="N41" s="1135"/>
      <c r="O41" s="1136"/>
      <c r="P41" s="3156"/>
      <c r="Q41" s="1813" t="str">
        <f t="shared" si="14"/>
        <v>宗地开发程度</v>
      </c>
      <c r="R41" s="770" t="s">
        <v>17</v>
      </c>
      <c r="S41" s="771">
        <f t="shared" si="10"/>
        <v>100</v>
      </c>
      <c r="T41" s="770" t="s">
        <v>17</v>
      </c>
      <c r="U41" s="771">
        <f t="shared" si="11"/>
        <v>100</v>
      </c>
      <c r="V41" s="770" t="s">
        <v>17</v>
      </c>
      <c r="W41" s="771">
        <f t="shared" si="12"/>
        <v>100</v>
      </c>
      <c r="X41" s="772"/>
      <c r="Y41" s="3156"/>
      <c r="Z41" s="55" t="str">
        <f t="shared" si="13"/>
        <v>宗地开发程度</v>
      </c>
      <c r="AA41" s="773">
        <f t="shared" si="3"/>
        <v>1</v>
      </c>
      <c r="AB41" s="773">
        <f t="shared" si="4"/>
        <v>1</v>
      </c>
      <c r="AC41" s="773">
        <f t="shared" si="5"/>
        <v>1</v>
      </c>
    </row>
    <row r="42" spans="1:29" ht="15.75" thickBot="1">
      <c r="A42" s="472"/>
      <c r="B42" s="422" t="s">
        <v>2756</v>
      </c>
      <c r="C42" s="2614" t="s">
        <v>3108</v>
      </c>
      <c r="D42" s="435">
        <v>100</v>
      </c>
      <c r="E42" s="2614" t="s">
        <v>3108</v>
      </c>
      <c r="F42" s="435">
        <f>SUMIF(125:125,E42,126:126)-SUMIF(125:125,C42,126:126)+100</f>
        <v>100</v>
      </c>
      <c r="G42" s="2614" t="s">
        <v>3108</v>
      </c>
      <c r="H42" s="435">
        <f>SUMIF(125:125,G42,126:126)-SUMIF(125:125,C42,126:126)+100</f>
        <v>100</v>
      </c>
      <c r="I42" s="2614" t="s">
        <v>3108</v>
      </c>
      <c r="J42" s="435">
        <f>SUMIF(125:125,I42,126:126)-SUMIF(125:125,C42,126:126)+100</f>
        <v>100</v>
      </c>
      <c r="K42" s="612"/>
      <c r="L42" s="1142"/>
      <c r="M42" s="1133"/>
      <c r="N42" s="1133"/>
      <c r="O42" s="1141"/>
      <c r="P42" s="3156" t="s">
        <v>2566</v>
      </c>
      <c r="Q42" s="1813" t="str">
        <f t="shared" si="14"/>
        <v>工程地质条件</v>
      </c>
      <c r="R42" s="774" t="s">
        <v>17</v>
      </c>
      <c r="S42" s="775">
        <f t="shared" si="10"/>
        <v>100</v>
      </c>
      <c r="T42" s="774" t="s">
        <v>17</v>
      </c>
      <c r="U42" s="775">
        <f t="shared" si="11"/>
        <v>100</v>
      </c>
      <c r="V42" s="774" t="s">
        <v>17</v>
      </c>
      <c r="W42" s="775">
        <f t="shared" si="12"/>
        <v>100</v>
      </c>
      <c r="X42" s="1816"/>
      <c r="Y42" s="3156" t="s">
        <v>2566</v>
      </c>
      <c r="Z42" s="1817" t="str">
        <f t="shared" si="13"/>
        <v>工程地质条件</v>
      </c>
      <c r="AA42" s="1814">
        <f t="shared" si="3"/>
        <v>1</v>
      </c>
      <c r="AB42" s="1814">
        <f t="shared" si="4"/>
        <v>1</v>
      </c>
      <c r="AC42" s="1814">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56"/>
      <c r="Q43" s="1813">
        <f t="shared" si="14"/>
        <v>111</v>
      </c>
      <c r="R43" s="774" t="s">
        <v>17</v>
      </c>
      <c r="S43" s="775">
        <f t="shared" si="10"/>
        <v>100</v>
      </c>
      <c r="T43" s="774" t="s">
        <v>17</v>
      </c>
      <c r="U43" s="775">
        <f t="shared" si="11"/>
        <v>100</v>
      </c>
      <c r="V43" s="774" t="s">
        <v>17</v>
      </c>
      <c r="W43" s="775">
        <f t="shared" si="12"/>
        <v>100</v>
      </c>
      <c r="X43" s="1816"/>
      <c r="Y43" s="3156"/>
      <c r="Z43" s="1817">
        <f t="shared" si="13"/>
        <v>111</v>
      </c>
      <c r="AA43" s="1814">
        <f t="shared" si="3"/>
        <v>1</v>
      </c>
      <c r="AB43" s="1814">
        <f t="shared" si="4"/>
        <v>1</v>
      </c>
      <c r="AC43" s="1814">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56"/>
      <c r="Q44" s="1813">
        <f t="shared" si="14"/>
        <v>111</v>
      </c>
      <c r="R44" s="774" t="s">
        <v>17</v>
      </c>
      <c r="S44" s="775">
        <f t="shared" si="10"/>
        <v>100</v>
      </c>
      <c r="T44" s="774" t="s">
        <v>17</v>
      </c>
      <c r="U44" s="775">
        <f t="shared" si="11"/>
        <v>100</v>
      </c>
      <c r="V44" s="774" t="s">
        <v>17</v>
      </c>
      <c r="W44" s="775">
        <f t="shared" si="12"/>
        <v>100</v>
      </c>
      <c r="X44" s="1816"/>
      <c r="Y44" s="3156"/>
      <c r="Z44" s="1817">
        <f t="shared" si="13"/>
        <v>111</v>
      </c>
      <c r="AA44" s="1814">
        <f t="shared" si="3"/>
        <v>1</v>
      </c>
      <c r="AB44" s="1814">
        <f t="shared" si="4"/>
        <v>1</v>
      </c>
      <c r="AC44" s="1814">
        <f t="shared" si="5"/>
        <v>1</v>
      </c>
    </row>
    <row r="45" spans="1:29" s="471" customFormat="1" ht="15.75" hidden="1"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56"/>
      <c r="Q45" s="1813">
        <f t="shared" si="14"/>
        <v>111</v>
      </c>
      <c r="R45" s="777" t="s">
        <v>17</v>
      </c>
      <c r="S45" s="778">
        <f t="shared" si="10"/>
        <v>100</v>
      </c>
      <c r="T45" s="777" t="s">
        <v>17</v>
      </c>
      <c r="U45" s="778">
        <f t="shared" si="11"/>
        <v>100</v>
      </c>
      <c r="V45" s="777" t="s">
        <v>17</v>
      </c>
      <c r="W45" s="778">
        <f t="shared" si="12"/>
        <v>100</v>
      </c>
      <c r="X45" s="779"/>
      <c r="Y45" s="3156"/>
      <c r="Z45" s="780">
        <f t="shared" si="13"/>
        <v>111</v>
      </c>
      <c r="AA45" s="1814">
        <f t="shared" si="3"/>
        <v>1</v>
      </c>
      <c r="AB45" s="1814">
        <f t="shared" si="4"/>
        <v>1</v>
      </c>
      <c r="AC45" s="1814">
        <f t="shared" si="5"/>
        <v>1</v>
      </c>
    </row>
    <row r="46" spans="1:29" ht="15">
      <c r="A46" s="479" t="s">
        <v>2721</v>
      </c>
      <c r="B46" s="2705" t="s">
        <v>2757</v>
      </c>
      <c r="C46" s="682" t="s">
        <v>1</v>
      </c>
      <c r="D46" s="481"/>
      <c r="E46" s="482">
        <v>4415</v>
      </c>
      <c r="F46" s="483"/>
      <c r="G46" s="484">
        <v>4845</v>
      </c>
      <c r="H46" s="485"/>
      <c r="I46" s="482">
        <v>5342</v>
      </c>
      <c r="J46" s="485"/>
      <c r="K46" s="783"/>
      <c r="L46" s="1145"/>
      <c r="M46" s="1146"/>
      <c r="N46" s="1133"/>
      <c r="O46" s="1146"/>
      <c r="P46" s="3151" t="str">
        <f>A46</f>
        <v>成交单价</v>
      </c>
      <c r="Q46" s="3151"/>
      <c r="R46" s="3157">
        <f>E46</f>
        <v>4415</v>
      </c>
      <c r="S46" s="3157"/>
      <c r="T46" s="3157">
        <f>G46</f>
        <v>4845</v>
      </c>
      <c r="U46" s="3157"/>
      <c r="V46" s="3157">
        <f>I46</f>
        <v>5342</v>
      </c>
      <c r="W46" s="3157"/>
      <c r="X46" s="759"/>
      <c r="Y46" s="781"/>
      <c r="Z46" s="759"/>
      <c r="AA46" s="759"/>
      <c r="AB46" s="759"/>
      <c r="AC46" s="759"/>
    </row>
    <row r="47" spans="1:29" ht="15.75" thickBot="1">
      <c r="A47" s="486" t="s">
        <v>2670</v>
      </c>
      <c r="B47" s="683"/>
      <c r="C47" s="490">
        <f>R48</f>
        <v>6115</v>
      </c>
      <c r="D47" s="489"/>
      <c r="E47" s="490">
        <f>R47</f>
        <v>5557</v>
      </c>
      <c r="F47" s="491"/>
      <c r="G47" s="488">
        <f>T47</f>
        <v>6192</v>
      </c>
      <c r="H47" s="489"/>
      <c r="I47" s="490">
        <f>V47</f>
        <v>6595</v>
      </c>
      <c r="J47" s="489"/>
      <c r="K47" s="784"/>
      <c r="L47" s="1145"/>
      <c r="M47" s="1146"/>
      <c r="N47" s="1146"/>
      <c r="O47" s="1146"/>
      <c r="P47" s="3151" t="str">
        <f>A47</f>
        <v>比较价值（元/平方米）</v>
      </c>
      <c r="Q47" s="3151"/>
      <c r="R47" s="3144">
        <f>ROUND(PRODUCT(R46,AA7:AA45),0)</f>
        <v>5557</v>
      </c>
      <c r="S47" s="3144"/>
      <c r="T47" s="3144">
        <f>ROUND(PRODUCT(T46,AB7:AB45),0)</f>
        <v>6192</v>
      </c>
      <c r="U47" s="3144"/>
      <c r="V47" s="3144">
        <f>ROUND(PRODUCT(V46,AC7:AC45),0)</f>
        <v>6595</v>
      </c>
      <c r="W47" s="3144"/>
      <c r="X47" s="759"/>
      <c r="Y47" s="759"/>
      <c r="Z47" s="759"/>
      <c r="AA47" s="759"/>
      <c r="AB47" s="759"/>
      <c r="AC47" s="759"/>
    </row>
    <row r="48" spans="1:29" ht="15.75" thickBot="1">
      <c r="A48" s="492" t="s">
        <v>2758</v>
      </c>
      <c r="B48" s="493"/>
      <c r="C48" s="494">
        <f>R48</f>
        <v>6115</v>
      </c>
      <c r="D48" s="494"/>
      <c r="E48" s="494"/>
      <c r="F48" s="494"/>
      <c r="G48" s="494"/>
      <c r="H48" s="494"/>
      <c r="I48" s="494"/>
      <c r="J48" s="494"/>
      <c r="K48" s="785"/>
      <c r="L48" s="1145"/>
      <c r="M48" s="1146"/>
      <c r="N48" s="1146"/>
      <c r="O48" s="1146"/>
      <c r="P48" s="3145" t="str">
        <f>A48</f>
        <v>估价对象XX用房的比较价值（楼面单价，元/平方米）</v>
      </c>
      <c r="Q48" s="3146"/>
      <c r="R48" s="3147">
        <f>ROUND(AVERAGE(R47:V47),0)</f>
        <v>6115</v>
      </c>
      <c r="S48" s="3147"/>
      <c r="T48" s="3147"/>
      <c r="U48" s="3147"/>
      <c r="V48" s="3147"/>
      <c r="W48" s="3147"/>
      <c r="X48" s="759"/>
      <c r="Y48" s="759"/>
      <c r="Z48" s="759"/>
      <c r="AA48" s="759"/>
      <c r="AB48" s="759"/>
      <c r="AC48" s="759"/>
    </row>
    <row r="49" spans="1:15">
      <c r="A49" s="1146"/>
      <c r="B49" s="1146"/>
      <c r="C49" s="1146"/>
      <c r="D49" s="1146"/>
      <c r="E49" s="1146"/>
      <c r="F49" s="1146"/>
      <c r="G49" s="1149"/>
      <c r="H49" s="1146"/>
      <c r="I49" s="1146"/>
      <c r="J49" s="1146"/>
      <c r="K49" s="1108"/>
      <c r="L49" s="1109"/>
      <c r="M49" s="1146"/>
      <c r="N49" s="1146"/>
      <c r="O49" s="1146"/>
    </row>
    <row r="50" spans="1:15">
      <c r="A50" s="1146"/>
      <c r="B50" s="1146"/>
      <c r="C50" s="1146"/>
      <c r="D50" s="1146"/>
      <c r="E50" s="1146"/>
      <c r="F50" s="1146"/>
      <c r="G50" s="1146"/>
      <c r="H50" s="1146"/>
      <c r="I50" s="1146"/>
      <c r="J50" s="1146"/>
      <c r="K50" s="1108"/>
      <c r="L50" s="1109"/>
      <c r="M50" s="1146"/>
      <c r="N50" s="1146"/>
      <c r="O50" s="1146"/>
    </row>
    <row r="51" spans="1:15" ht="13.5" customHeight="1">
      <c r="A51" s="1146"/>
      <c r="B51" s="1146"/>
      <c r="C51" s="497" t="s">
        <v>2672</v>
      </c>
      <c r="D51" s="498"/>
      <c r="E51" s="499">
        <f>IF(E46&lt;E47,E47/E46-1,E46/E47-1)</f>
        <v>0.25866364665911656</v>
      </c>
      <c r="F51" s="500" t="str">
        <f>IF(OR(E51&gt;=0.3,E51&lt;=-0.3),"超过30%","")</f>
        <v/>
      </c>
      <c r="G51" s="499">
        <f>IF(G46&lt;G47,G47/G46-1,G46/G47-1)</f>
        <v>0.27801857585139311</v>
      </c>
      <c r="H51" s="500" t="str">
        <f>IF(OR(G51&gt;=0.3,G51&lt;=-0.3),"超过30%","")</f>
        <v/>
      </c>
      <c r="I51" s="499">
        <f>IF(I46&lt;I47,I47/I46-1,I46/I47-1)</f>
        <v>0.23455634593785102</v>
      </c>
      <c r="J51" s="500" t="str">
        <f>IF(OR(I51&gt;=0.3,I51&lt;=-0.3),"超过30%","")</f>
        <v/>
      </c>
      <c r="K51" s="1108"/>
      <c r="L51" s="1109"/>
      <c r="M51" s="1146"/>
      <c r="N51" s="1146"/>
      <c r="O51" s="1146"/>
    </row>
    <row r="52" spans="1:15" ht="13.5" customHeight="1">
      <c r="A52" s="1146"/>
      <c r="B52" s="1146"/>
      <c r="C52" s="497" t="s">
        <v>2673</v>
      </c>
      <c r="D52" s="501"/>
      <c r="E52" s="499">
        <f>IF(E47&lt;G47,G47/E47-1,E47/G47-1)</f>
        <v>0.11427028972467168</v>
      </c>
      <c r="F52" s="500" t="str">
        <f>IF(OR(E52&gt;=0.2,E52&lt;=-0.2),"超过20%","")</f>
        <v/>
      </c>
      <c r="G52" s="499">
        <f>IF(G47&lt;I47,I47/G47-1,G47/I47-1)</f>
        <v>6.5083979328165453E-2</v>
      </c>
      <c r="H52" s="500" t="str">
        <f>IF(OR(G52&gt;=0.2,G52&lt;=-0.2),"超过20%","")</f>
        <v/>
      </c>
      <c r="I52" s="499">
        <f>IF(I47&lt;E47,E47/I47-1,I47/E47-1)</f>
        <v>0.18679143422710087</v>
      </c>
      <c r="J52" s="500" t="str">
        <f>IF(OR(I52&gt;=0.2,I52&lt;=-0.2),"超过20%","")</f>
        <v/>
      </c>
      <c r="K52" s="1108"/>
      <c r="L52" s="1109"/>
      <c r="M52" s="1146"/>
      <c r="N52" s="1146"/>
      <c r="O52" s="1146"/>
    </row>
    <row r="53" spans="1:15" s="502" customFormat="1" ht="13.5" customHeight="1">
      <c r="A53" s="1147"/>
      <c r="B53" s="1147"/>
      <c r="C53" s="497" t="s">
        <v>2674</v>
      </c>
      <c r="D53" s="501"/>
      <c r="E53" s="499">
        <f>IF(E46&lt;G46,G46/E46-1,E46/G46-1)</f>
        <v>9.7395243488108685E-2</v>
      </c>
      <c r="F53" s="500" t="str">
        <f>IF(OR(E53&gt;=0.3,E53&lt;=-0.3),"超过30%","")</f>
        <v/>
      </c>
      <c r="G53" s="499">
        <f>IF(G46&lt;I46,I46/G46-1,G46/I46-1)</f>
        <v>0.10257997936016516</v>
      </c>
      <c r="H53" s="500" t="str">
        <f>IF(OR(G53&gt;=0.3,G53&lt;=-0.3),"超过30%","")</f>
        <v/>
      </c>
      <c r="I53" s="499">
        <f>IF(I46&lt;E46,E46/I46-1,I46/E46-1)</f>
        <v>0.20996602491506233</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2759</v>
      </c>
      <c r="B55" s="685" t="s">
        <v>2760</v>
      </c>
      <c r="C55" s="2706" t="s">
        <v>3104</v>
      </c>
      <c r="D55" s="2707" t="s">
        <v>2762</v>
      </c>
      <c r="E55" s="686" t="s">
        <v>2763</v>
      </c>
      <c r="F55" s="1110" t="s">
        <v>2764</v>
      </c>
      <c r="G55" s="3148" t="s">
        <v>2765</v>
      </c>
      <c r="H55" s="3149"/>
      <c r="I55" s="143" t="s">
        <v>2766</v>
      </c>
      <c r="J55" s="2708" t="str">
        <f>项目基本情况!F35</f>
        <v>陕西省西安市</v>
      </c>
      <c r="K55" s="2709" t="s">
        <v>2767</v>
      </c>
      <c r="L55" s="1109"/>
      <c r="M55" s="1146"/>
      <c r="N55" s="1146"/>
      <c r="O55" s="1146"/>
    </row>
    <row r="56" spans="1:15" s="692" customFormat="1">
      <c r="A56" s="688" t="s">
        <v>2768</v>
      </c>
      <c r="B56" s="689">
        <f>C48</f>
        <v>6115</v>
      </c>
      <c r="C56" s="690">
        <v>1</v>
      </c>
      <c r="D56" s="1165">
        <v>1</v>
      </c>
      <c r="E56" s="690">
        <f>'数据-汇总表'!E8+'数据-汇总表'!E9</f>
        <v>135784.13</v>
      </c>
      <c r="F56" s="1106">
        <f t="shared" ref="F56:F65" si="15">ROUND(B56*E56/10000,0)</f>
        <v>83032</v>
      </c>
      <c r="G56" s="3150"/>
      <c r="H56" s="3151"/>
      <c r="I56" s="1111">
        <v>1</v>
      </c>
      <c r="J56" s="1114">
        <v>1</v>
      </c>
      <c r="K56" s="1147"/>
      <c r="L56" s="944"/>
      <c r="M56" s="944"/>
      <c r="N56" s="944"/>
      <c r="O56" s="944"/>
    </row>
    <row r="57" spans="1:15" s="692" customFormat="1">
      <c r="A57" s="693" t="s">
        <v>2769</v>
      </c>
      <c r="B57" s="262">
        <f>ROUND($C$48*C57*D57,0)</f>
        <v>0</v>
      </c>
      <c r="C57" s="200">
        <f t="shared" ref="C57:C65" si="16">IF($C$55="北京市系数",I57,J57)</f>
        <v>0</v>
      </c>
      <c r="D57" s="1166">
        <v>0.25</v>
      </c>
      <c r="E57" s="694"/>
      <c r="F57" s="1106">
        <f t="shared" si="15"/>
        <v>0</v>
      </c>
      <c r="G57" s="3152" t="s">
        <v>2770</v>
      </c>
      <c r="H57" s="1107">
        <f>项目基本情况!B37</f>
        <v>0</v>
      </c>
      <c r="I57" s="1111">
        <f>SUMIF(修正!A45:A56,H57,修正!B45:B56)</f>
        <v>0</v>
      </c>
      <c r="J57" s="1115">
        <v>0</v>
      </c>
      <c r="K57" s="1146"/>
      <c r="L57" s="944"/>
      <c r="M57" s="944"/>
      <c r="N57" s="944"/>
      <c r="O57" s="944"/>
    </row>
    <row r="58" spans="1:15" s="692" customFormat="1">
      <c r="A58" s="693" t="s">
        <v>2771</v>
      </c>
      <c r="B58" s="262">
        <f t="shared" ref="B58:B65" si="17">ROUND($C$48*C58*D58,0)</f>
        <v>0</v>
      </c>
      <c r="C58" s="200">
        <f t="shared" si="16"/>
        <v>0</v>
      </c>
      <c r="D58" s="1166">
        <v>0.25</v>
      </c>
      <c r="E58" s="694"/>
      <c r="F58" s="1106">
        <f t="shared" si="15"/>
        <v>0</v>
      </c>
      <c r="G58" s="3152"/>
      <c r="H58" s="1107">
        <f>项目基本情况!B37</f>
        <v>0</v>
      </c>
      <c r="I58" s="1111">
        <f>SUMIF(修正!A45:A56,H58,修正!C45:C56)</f>
        <v>0</v>
      </c>
      <c r="J58" s="1115">
        <v>0</v>
      </c>
      <c r="K58" s="1147"/>
      <c r="L58" s="944"/>
      <c r="M58" s="944"/>
      <c r="N58" s="944"/>
      <c r="O58" s="944"/>
    </row>
    <row r="59" spans="1:15" s="692" customFormat="1">
      <c r="A59" s="693" t="s">
        <v>2772</v>
      </c>
      <c r="B59" s="262">
        <f t="shared" si="17"/>
        <v>0</v>
      </c>
      <c r="C59" s="200">
        <f t="shared" si="16"/>
        <v>0</v>
      </c>
      <c r="D59" s="1166">
        <v>0.25</v>
      </c>
      <c r="E59" s="694"/>
      <c r="F59" s="1106">
        <f t="shared" si="15"/>
        <v>0</v>
      </c>
      <c r="G59" s="3152"/>
      <c r="H59" s="1107">
        <f>项目基本情况!B37</f>
        <v>0</v>
      </c>
      <c r="I59" s="1111">
        <f>SUMIF(修正!A45:A56,H59,修正!D45:D56)</f>
        <v>0</v>
      </c>
      <c r="J59" s="1115">
        <v>0</v>
      </c>
      <c r="K59" s="1146"/>
      <c r="L59" s="944"/>
      <c r="M59" s="944"/>
      <c r="N59" s="944"/>
      <c r="O59" s="944"/>
    </row>
    <row r="60" spans="1:15" s="692" customFormat="1">
      <c r="A60" s="693" t="s">
        <v>2773</v>
      </c>
      <c r="B60" s="262">
        <f t="shared" si="17"/>
        <v>0</v>
      </c>
      <c r="C60" s="200">
        <f t="shared" si="16"/>
        <v>0</v>
      </c>
      <c r="D60" s="1166">
        <v>0.25</v>
      </c>
      <c r="E60" s="694"/>
      <c r="F60" s="1106">
        <f t="shared" si="15"/>
        <v>0</v>
      </c>
      <c r="G60" s="3152"/>
      <c r="H60" s="1107">
        <f>项目基本情况!B37</f>
        <v>0</v>
      </c>
      <c r="I60" s="1111">
        <f>SUMIF(修正!A45:A56,H60,修正!E45:E56)</f>
        <v>0</v>
      </c>
      <c r="J60" s="1115">
        <v>0</v>
      </c>
      <c r="K60" s="1147"/>
      <c r="L60" s="944"/>
      <c r="M60" s="944"/>
      <c r="N60" s="944"/>
      <c r="O60" s="944"/>
    </row>
    <row r="61" spans="1:15" s="692" customFormat="1">
      <c r="A61" s="693" t="s">
        <v>2774</v>
      </c>
      <c r="B61" s="262">
        <f t="shared" si="17"/>
        <v>0</v>
      </c>
      <c r="C61" s="200">
        <f t="shared" si="16"/>
        <v>0</v>
      </c>
      <c r="D61" s="1166">
        <v>0.25</v>
      </c>
      <c r="E61" s="261">
        <f>'数据-汇总表'!E11</f>
        <v>0</v>
      </c>
      <c r="F61" s="1106">
        <f t="shared" si="15"/>
        <v>0</v>
      </c>
      <c r="G61" s="2710" t="s">
        <v>2775</v>
      </c>
      <c r="H61" s="1107">
        <f>项目基本情况!C37</f>
        <v>0</v>
      </c>
      <c r="I61" s="1111">
        <f>SUMIF(修正!A45:A56,H61,修正!F45:F56)</f>
        <v>0</v>
      </c>
      <c r="J61" s="1115">
        <v>0</v>
      </c>
      <c r="K61" s="1146"/>
      <c r="L61" s="944"/>
      <c r="M61" s="944"/>
      <c r="N61" s="944"/>
      <c r="O61" s="944"/>
    </row>
    <row r="62" spans="1:15" s="692" customFormat="1">
      <c r="A62" s="693" t="s">
        <v>2776</v>
      </c>
      <c r="B62" s="262">
        <f t="shared" si="17"/>
        <v>0</v>
      </c>
      <c r="C62" s="200">
        <f t="shared" si="16"/>
        <v>0</v>
      </c>
      <c r="D62" s="1166">
        <v>0.25</v>
      </c>
      <c r="E62" s="261">
        <f>'数据-汇总表'!E12</f>
        <v>0</v>
      </c>
      <c r="F62" s="1106">
        <f t="shared" si="15"/>
        <v>0</v>
      </c>
      <c r="G62" s="1112" t="s">
        <v>2777</v>
      </c>
      <c r="H62" s="1107">
        <f>IF(G62="商业",项目基本情况!B37,IF(G62="办公",项目基本情况!C37,IF(G62="住宅",项目基本情况!D37,项目基本情况!E37)))</f>
        <v>0</v>
      </c>
      <c r="I62" s="1111">
        <f>SUMIF(修正!A45:A56,H62,修正!G45:G56)</f>
        <v>0</v>
      </c>
      <c r="J62" s="1115">
        <v>0</v>
      </c>
      <c r="K62" s="1147"/>
      <c r="L62" s="944"/>
      <c r="M62" s="944"/>
      <c r="N62" s="944"/>
      <c r="O62" s="944"/>
    </row>
    <row r="63" spans="1:15" s="692" customFormat="1">
      <c r="A63" s="693" t="s">
        <v>2778</v>
      </c>
      <c r="B63" s="262">
        <f t="shared" si="17"/>
        <v>0</v>
      </c>
      <c r="C63" s="200">
        <f t="shared" si="16"/>
        <v>0</v>
      </c>
      <c r="D63" s="1166">
        <v>0.25</v>
      </c>
      <c r="E63" s="261">
        <f>'数据-汇总表'!E13</f>
        <v>74071</v>
      </c>
      <c r="F63" s="1106">
        <f t="shared" si="15"/>
        <v>0</v>
      </c>
      <c r="G63" s="1112" t="s">
        <v>2779</v>
      </c>
      <c r="H63" s="1107">
        <f>IF(G63="商业",项目基本情况!B37,IF(G63="办公",项目基本情况!C37,IF(G63="住宅",项目基本情况!D37,项目基本情况!E37)))</f>
        <v>0</v>
      </c>
      <c r="I63" s="1111">
        <f>SUMIF(修正!A45:A56,H63,修正!H45:H56)</f>
        <v>0</v>
      </c>
      <c r="J63" s="1115">
        <v>0</v>
      </c>
      <c r="K63" s="1146"/>
      <c r="L63" s="944"/>
      <c r="M63" s="944"/>
      <c r="N63" s="944"/>
      <c r="O63" s="944"/>
    </row>
    <row r="64" spans="1:15" s="692" customFormat="1">
      <c r="A64" s="693" t="s">
        <v>2780</v>
      </c>
      <c r="B64" s="262">
        <f t="shared" si="17"/>
        <v>0</v>
      </c>
      <c r="C64" s="200">
        <f t="shared" si="16"/>
        <v>0</v>
      </c>
      <c r="D64" s="1166">
        <v>0.25</v>
      </c>
      <c r="E64" s="261">
        <f>'数据-汇总表'!E14</f>
        <v>0</v>
      </c>
      <c r="F64" s="1106">
        <f t="shared" si="15"/>
        <v>0</v>
      </c>
      <c r="G64" s="2710" t="s">
        <v>2770</v>
      </c>
      <c r="H64" s="1107">
        <f>项目基本情况!B37</f>
        <v>0</v>
      </c>
      <c r="I64" s="1111">
        <f>SUMIF(修正!A45:A56,H64,修正!H45:H56)</f>
        <v>0</v>
      </c>
      <c r="J64" s="1115">
        <v>0</v>
      </c>
      <c r="K64" s="1147"/>
      <c r="L64" s="944"/>
      <c r="M64" s="944"/>
      <c r="N64" s="944"/>
      <c r="O64" s="944"/>
    </row>
    <row r="65" spans="1:17" s="692" customFormat="1" ht="15" thickBot="1">
      <c r="A65" s="693" t="s">
        <v>2781</v>
      </c>
      <c r="B65" s="262">
        <f t="shared" si="17"/>
        <v>0</v>
      </c>
      <c r="C65" s="200">
        <f t="shared" si="16"/>
        <v>0</v>
      </c>
      <c r="D65" s="1166">
        <v>0.25</v>
      </c>
      <c r="E65" s="261">
        <f>'数据-汇总表'!E15</f>
        <v>0</v>
      </c>
      <c r="F65" s="1106">
        <f t="shared" si="15"/>
        <v>0</v>
      </c>
      <c r="G65" s="2711" t="s">
        <v>2775</v>
      </c>
      <c r="H65" s="1116">
        <f>项目基本情况!C37</f>
        <v>0</v>
      </c>
      <c r="I65" s="1113">
        <f>SUMIF(修正!A45:A56,H65,修正!H45:H56)</f>
        <v>0</v>
      </c>
      <c r="J65" s="1115">
        <v>0</v>
      </c>
      <c r="K65" s="1146"/>
      <c r="L65" s="944"/>
      <c r="M65" s="944"/>
      <c r="N65" s="944"/>
      <c r="O65" s="944"/>
    </row>
    <row r="66" spans="1:17" s="692" customFormat="1" ht="13.5" thickBot="1">
      <c r="A66" s="695" t="s">
        <v>2782</v>
      </c>
      <c r="B66" s="696" t="s">
        <v>28</v>
      </c>
      <c r="C66" s="696" t="s">
        <v>29</v>
      </c>
      <c r="D66" s="696" t="s">
        <v>1029</v>
      </c>
      <c r="E66" s="696">
        <f>IF(B46="楼面地价",SUM(E56:E65),'数据-汇总表'!D3)</f>
        <v>209855.13</v>
      </c>
      <c r="F66" s="697">
        <f>IF(B46="楼面地价",SUM(F56:F65),ROUND(C48*E66/10000,0))</f>
        <v>83032</v>
      </c>
      <c r="G66" s="787"/>
      <c r="H66" s="787"/>
      <c r="I66" s="787"/>
      <c r="J66" s="787"/>
      <c r="K66" s="1160"/>
      <c r="L66" s="944"/>
      <c r="M66" s="944"/>
      <c r="N66" s="944"/>
      <c r="O66" s="944"/>
    </row>
    <row r="67" spans="1:17">
      <c r="A67" s="759"/>
      <c r="B67" s="761"/>
      <c r="C67" s="762"/>
      <c r="D67" s="759"/>
      <c r="E67" s="759"/>
      <c r="F67" s="759"/>
      <c r="G67" s="759"/>
      <c r="H67" s="759"/>
      <c r="I67" s="759"/>
      <c r="J67" s="1146"/>
      <c r="K67" s="1108"/>
      <c r="L67" s="1109"/>
      <c r="M67" s="1146"/>
      <c r="N67" s="1146"/>
      <c r="O67" s="1146"/>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2675</v>
      </c>
      <c r="B69" s="759"/>
      <c r="C69" s="764"/>
      <c r="D69" s="764"/>
      <c r="E69" s="764"/>
      <c r="F69" s="765"/>
      <c r="G69" s="765"/>
      <c r="H69" s="764"/>
      <c r="I69" s="764"/>
      <c r="J69" s="1161"/>
      <c r="K69" s="1162"/>
      <c r="L69" s="1163"/>
      <c r="M69" s="1161"/>
      <c r="N69" s="1161"/>
      <c r="O69" s="1161"/>
      <c r="P69" s="503"/>
      <c r="Q69" s="504"/>
    </row>
    <row r="70" spans="1:17" s="508" customFormat="1" ht="15">
      <c r="A70" s="2712" t="s">
        <v>2783</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6" customFormat="1" ht="30" customHeight="1">
      <c r="A71" s="2713" t="s">
        <v>2784</v>
      </c>
      <c r="B71" s="332" t="str">
        <f>"北京市平均增长率"&amp;TEXT(SUMIF(基准地价修正!N21:N25,A71,基准地价修正!P21:P25),"0.00%")</f>
        <v>北京市平均增长率2.78%</v>
      </c>
      <c r="C71" s="603">
        <v>100</v>
      </c>
      <c r="D71" s="595">
        <f>C71-2.5</f>
        <v>97.5</v>
      </c>
      <c r="E71" s="595">
        <f>D71-2.5</f>
        <v>95</v>
      </c>
      <c r="F71" s="595">
        <f>E71-2.5</f>
        <v>92.5</v>
      </c>
      <c r="G71" s="595"/>
      <c r="H71" s="595"/>
      <c r="I71" s="595"/>
      <c r="J71" s="595"/>
      <c r="K71" s="595"/>
      <c r="L71" s="595"/>
      <c r="M71" s="1570"/>
      <c r="N71" s="595"/>
      <c r="O71" s="1571"/>
      <c r="P71" s="504"/>
    </row>
    <row r="72" spans="1:17" s="116" customFormat="1" ht="15.75" thickBot="1">
      <c r="A72" s="515" t="s">
        <v>2586</v>
      </c>
      <c r="B72" s="516"/>
      <c r="C72" s="517"/>
      <c r="D72" s="518"/>
      <c r="E72" s="518"/>
      <c r="F72" s="518"/>
      <c r="G72" s="518"/>
      <c r="H72" s="518"/>
      <c r="I72" s="518"/>
      <c r="J72" s="518"/>
      <c r="K72" s="518"/>
      <c r="L72" s="518"/>
      <c r="M72" s="519"/>
      <c r="N72" s="518"/>
      <c r="O72" s="1164"/>
      <c r="P72" s="504"/>
      <c r="Q72" s="504"/>
    </row>
    <row r="73" spans="1:17" s="116" customFormat="1" ht="15">
      <c r="A73" s="521" t="s">
        <v>2551</v>
      </c>
      <c r="B73" s="510"/>
      <c r="C73" s="522" t="s">
        <v>2653</v>
      </c>
      <c r="D73" s="523"/>
      <c r="E73" s="523"/>
      <c r="F73" s="523"/>
      <c r="G73" s="523"/>
      <c r="H73" s="523"/>
      <c r="I73" s="523"/>
      <c r="J73" s="523"/>
      <c r="K73" s="523"/>
      <c r="L73" s="524"/>
      <c r="M73" s="525"/>
      <c r="N73" s="1153"/>
      <c r="O73" s="1153"/>
      <c r="P73" s="526"/>
      <c r="Q73" s="504"/>
    </row>
    <row r="74" spans="1:17" s="116"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2589</v>
      </c>
      <c r="B75" s="528" t="s">
        <v>2555</v>
      </c>
      <c r="C75" s="2937" t="s">
        <v>3107</v>
      </c>
      <c r="D75" s="2937" t="s">
        <v>3150</v>
      </c>
      <c r="E75" s="530"/>
      <c r="F75" s="530"/>
      <c r="G75" s="530"/>
      <c r="H75" s="530"/>
      <c r="I75" s="530"/>
      <c r="J75" s="530"/>
      <c r="K75" s="531"/>
      <c r="L75" s="532"/>
      <c r="M75" s="533"/>
      <c r="N75" s="1154"/>
      <c r="O75" s="1154"/>
      <c r="P75" s="45"/>
      <c r="Q75" s="504"/>
    </row>
    <row r="76" spans="1:17" ht="15.75" thickBot="1">
      <c r="A76" s="534"/>
      <c r="B76" s="535"/>
      <c r="C76" s="536">
        <v>100</v>
      </c>
      <c r="D76" s="536">
        <v>100</v>
      </c>
      <c r="E76" s="536"/>
      <c r="F76" s="536"/>
      <c r="G76" s="536"/>
      <c r="H76" s="536"/>
      <c r="I76" s="536"/>
      <c r="J76" s="536"/>
      <c r="K76" s="536"/>
      <c r="L76" s="536"/>
      <c r="M76" s="537"/>
      <c r="N76" s="1155"/>
      <c r="O76" s="1155"/>
      <c r="P76" s="45"/>
      <c r="Q76" s="504"/>
    </row>
    <row r="77" spans="1:17" ht="27.75" thickTop="1">
      <c r="A77" s="534"/>
      <c r="B77" s="538" t="s">
        <v>2558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2559</v>
      </c>
      <c r="C79" s="547" t="str">
        <f>C80&amp;"（含）"&amp;"-"&amp;D80</f>
        <v>0（含）-2</v>
      </c>
      <c r="D79" s="547" t="str">
        <f t="shared" ref="D79:L79" si="20">D80&amp;"（含）"&amp;"-"&amp;E80</f>
        <v>2（含）-4</v>
      </c>
      <c r="E79" s="547" t="str">
        <f t="shared" si="20"/>
        <v>4（含）-6</v>
      </c>
      <c r="F79" s="547" t="str">
        <f t="shared" si="20"/>
        <v>6（含）-8</v>
      </c>
      <c r="G79" s="547" t="str">
        <f t="shared" si="20"/>
        <v>8（含）-10</v>
      </c>
      <c r="H79" s="547" t="str">
        <f t="shared" si="20"/>
        <v>10（含）-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2</v>
      </c>
      <c r="E80" s="549">
        <v>4</v>
      </c>
      <c r="F80" s="549">
        <v>6</v>
      </c>
      <c r="G80" s="549">
        <v>8</v>
      </c>
      <c r="H80" s="549">
        <v>10</v>
      </c>
      <c r="I80" s="549"/>
      <c r="J80" s="549"/>
      <c r="K80" s="550"/>
      <c r="L80" s="551"/>
      <c r="M80" s="552"/>
      <c r="N80" s="1154"/>
      <c r="O80" s="1154"/>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5"/>
      <c r="O81" s="1155"/>
      <c r="P81" s="45"/>
      <c r="Q81" s="504"/>
    </row>
    <row r="82" spans="1:17" s="471" customFormat="1" ht="15.75" hidden="1"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hidden="1" thickBot="1">
      <c r="A83" s="553"/>
      <c r="B83" s="543"/>
      <c r="C83" s="560"/>
      <c r="D83" s="536"/>
      <c r="E83" s="536"/>
      <c r="F83" s="536"/>
      <c r="G83" s="536"/>
      <c r="H83" s="536"/>
      <c r="I83" s="536"/>
      <c r="J83" s="536"/>
      <c r="K83" s="536"/>
      <c r="L83" s="536"/>
      <c r="M83" s="537"/>
      <c r="N83" s="1155"/>
      <c r="O83" s="1155"/>
      <c r="P83" s="558"/>
      <c r="Q83" s="559"/>
    </row>
    <row r="84" spans="1:17" s="471" customFormat="1" ht="15.75" hidden="1" thickTop="1">
      <c r="A84" s="553"/>
      <c r="B84" s="538">
        <f>B13</f>
        <v>111</v>
      </c>
      <c r="C84" s="554"/>
      <c r="D84" s="554"/>
      <c r="E84" s="554"/>
      <c r="F84" s="554"/>
      <c r="G84" s="554"/>
      <c r="H84" s="555"/>
      <c r="I84" s="555"/>
      <c r="J84" s="555"/>
      <c r="K84" s="555"/>
      <c r="L84" s="556"/>
      <c r="M84" s="557"/>
      <c r="N84" s="1156"/>
      <c r="O84" s="1156"/>
      <c r="P84" s="470"/>
      <c r="Q84" s="561"/>
    </row>
    <row r="85" spans="1:17" s="471" customFormat="1" ht="15.75" hidden="1" thickBot="1">
      <c r="A85" s="553"/>
      <c r="B85" s="543"/>
      <c r="C85" s="560"/>
      <c r="D85" s="560"/>
      <c r="E85" s="560"/>
      <c r="F85" s="560"/>
      <c r="G85" s="560"/>
      <c r="H85" s="562"/>
      <c r="I85" s="562"/>
      <c r="J85" s="562"/>
      <c r="K85" s="562"/>
      <c r="L85" s="562"/>
      <c r="M85" s="563"/>
      <c r="N85" s="1156"/>
      <c r="O85" s="1156"/>
      <c r="P85" s="558"/>
      <c r="Q85" s="559"/>
    </row>
    <row r="86" spans="1:17" s="471" customFormat="1" ht="15.75" hidden="1" thickTop="1">
      <c r="A86" s="553"/>
      <c r="B86" s="546">
        <f>B14</f>
        <v>111</v>
      </c>
      <c r="C86" s="523"/>
      <c r="D86" s="523"/>
      <c r="E86" s="523"/>
      <c r="F86" s="523"/>
      <c r="G86" s="523"/>
      <c r="H86" s="564"/>
      <c r="I86" s="564"/>
      <c r="J86" s="564"/>
      <c r="K86" s="564"/>
      <c r="L86" s="565"/>
      <c r="M86" s="566"/>
      <c r="N86" s="1156"/>
      <c r="O86" s="1156"/>
      <c r="P86" s="567"/>
      <c r="Q86" s="559"/>
    </row>
    <row r="87" spans="1:17" s="471" customFormat="1" ht="15.75" hidden="1" thickBot="1">
      <c r="A87" s="568"/>
      <c r="B87" s="569"/>
      <c r="C87" s="570"/>
      <c r="D87" s="570"/>
      <c r="E87" s="570"/>
      <c r="F87" s="570"/>
      <c r="G87" s="570"/>
      <c r="H87" s="571"/>
      <c r="I87" s="571"/>
      <c r="J87" s="571"/>
      <c r="K87" s="571"/>
      <c r="L87" s="571"/>
      <c r="M87" s="572"/>
      <c r="N87" s="1156"/>
      <c r="O87" s="1156"/>
      <c r="P87" s="558"/>
      <c r="Q87" s="559"/>
    </row>
    <row r="88" spans="1:17" ht="15" thickTop="1">
      <c r="A88" s="527" t="s">
        <v>2560</v>
      </c>
      <c r="B88" s="528" t="s">
        <v>2597</v>
      </c>
      <c r="C88" s="573" t="s">
        <v>2598</v>
      </c>
      <c r="D88" s="573" t="s">
        <v>2599</v>
      </c>
      <c r="E88" s="573" t="s">
        <v>2600</v>
      </c>
      <c r="F88" s="573" t="s">
        <v>2601</v>
      </c>
      <c r="G88" s="573" t="s">
        <v>2602</v>
      </c>
      <c r="H88" s="529"/>
      <c r="I88" s="529"/>
      <c r="J88" s="529"/>
      <c r="K88" s="574"/>
      <c r="L88" s="575"/>
      <c r="M88" s="576"/>
      <c r="N88" s="1154"/>
      <c r="O88" s="1154"/>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5"/>
      <c r="O89" s="1155"/>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4"/>
      <c r="O90" s="1154"/>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5"/>
      <c r="O91" s="1155"/>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4"/>
      <c r="O94" s="1154"/>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5"/>
      <c r="O95" s="1155"/>
      <c r="P95" s="45"/>
      <c r="Q95" s="504"/>
    </row>
    <row r="96" spans="1:17" s="116" customFormat="1" ht="15.75" thickTop="1">
      <c r="A96" s="579"/>
      <c r="B96" s="538" t="s">
        <v>2786</v>
      </c>
      <c r="C96" s="578" t="s">
        <v>2598</v>
      </c>
      <c r="D96" s="578" t="s">
        <v>2599</v>
      </c>
      <c r="E96" s="578" t="s">
        <v>2600</v>
      </c>
      <c r="F96" s="578" t="s">
        <v>2601</v>
      </c>
      <c r="G96" s="578" t="s">
        <v>2602</v>
      </c>
      <c r="H96" s="578"/>
      <c r="I96" s="578"/>
      <c r="J96" s="578"/>
      <c r="K96" s="578"/>
      <c r="L96" s="698"/>
      <c r="M96" s="622"/>
      <c r="N96" s="1153"/>
      <c r="O96" s="1153"/>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6" customFormat="1" ht="27.75" thickTop="1">
      <c r="A98" s="579"/>
      <c r="B98" s="538" t="s">
        <v>2787</v>
      </c>
      <c r="C98" s="573" t="s">
        <v>2598</v>
      </c>
      <c r="D98" s="573" t="s">
        <v>2599</v>
      </c>
      <c r="E98" s="573" t="s">
        <v>2600</v>
      </c>
      <c r="F98" s="573" t="s">
        <v>2601</v>
      </c>
      <c r="G98" s="573" t="s">
        <v>2602</v>
      </c>
      <c r="H98" s="578"/>
      <c r="I98" s="578"/>
      <c r="J98" s="578"/>
      <c r="K98" s="578"/>
      <c r="L98" s="578"/>
      <c r="M98" s="622"/>
      <c r="N98" s="1153"/>
      <c r="O98" s="1153"/>
      <c r="P98" s="45"/>
      <c r="Q98" s="504"/>
    </row>
    <row r="99" spans="1:17" s="116" customFormat="1" ht="15.75" thickBot="1">
      <c r="A99" s="579"/>
      <c r="B99" s="543"/>
      <c r="C99" s="544">
        <v>100</v>
      </c>
      <c r="D99" s="544">
        <f>C99-$K25</f>
        <v>97</v>
      </c>
      <c r="E99" s="544">
        <f>D99-$K25</f>
        <v>94</v>
      </c>
      <c r="F99" s="544">
        <f>E99-$K25</f>
        <v>91</v>
      </c>
      <c r="G99" s="544">
        <f>F99-$K25</f>
        <v>88</v>
      </c>
      <c r="H99" s="544"/>
      <c r="I99" s="544"/>
      <c r="J99" s="544"/>
      <c r="K99" s="544"/>
      <c r="L99" s="544"/>
      <c r="M99" s="545"/>
      <c r="N99" s="1155"/>
      <c r="O99" s="1155"/>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5"/>
      <c r="O105" s="1155"/>
      <c r="P105" s="45"/>
      <c r="Q105" s="504"/>
    </row>
    <row r="106" spans="1:17" ht="27.75" thickTop="1">
      <c r="A106" s="534"/>
      <c r="B106" s="538" t="s">
        <v>2692</v>
      </c>
      <c r="C106" s="2938" t="s">
        <v>3112</v>
      </c>
      <c r="D106" s="2938" t="s">
        <v>3114</v>
      </c>
      <c r="E106" s="2938" t="s">
        <v>3116</v>
      </c>
      <c r="F106" s="2938" t="s">
        <v>3117</v>
      </c>
      <c r="G106" s="2938" t="s">
        <v>3118</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2751</v>
      </c>
      <c r="C108" s="2939" t="s">
        <v>3140</v>
      </c>
      <c r="D108" s="2939" t="s">
        <v>3141</v>
      </c>
      <c r="E108" s="2939" t="s">
        <v>3142</v>
      </c>
      <c r="F108" s="2939" t="s">
        <v>3143</v>
      </c>
      <c r="G108" s="2939" t="s">
        <v>3144</v>
      </c>
      <c r="H108" s="583"/>
      <c r="I108" s="583"/>
      <c r="J108" s="583"/>
      <c r="K108" s="584"/>
      <c r="L108" s="585"/>
      <c r="M108" s="586"/>
      <c r="N108" s="1154"/>
      <c r="O108" s="1154"/>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5"/>
      <c r="O109" s="1155"/>
      <c r="P109" s="45"/>
      <c r="Q109" s="504"/>
    </row>
    <row r="110" spans="1:17" ht="15.75" hidden="1" thickTop="1">
      <c r="A110" s="534"/>
      <c r="B110" s="546">
        <f>B35</f>
        <v>111</v>
      </c>
      <c r="C110" s="554"/>
      <c r="D110" s="554"/>
      <c r="E110" s="554"/>
      <c r="F110" s="554"/>
      <c r="G110" s="587"/>
      <c r="H110" s="587"/>
      <c r="I110" s="587"/>
      <c r="J110" s="587"/>
      <c r="K110" s="588"/>
      <c r="L110" s="589"/>
      <c r="M110" s="590"/>
      <c r="N110" s="1154"/>
      <c r="O110" s="1154"/>
      <c r="P110" s="45"/>
      <c r="Q110" s="504"/>
    </row>
    <row r="111" spans="1:17" ht="15.75" hidden="1" thickBot="1">
      <c r="A111" s="534"/>
      <c r="B111" s="569"/>
      <c r="C111" s="560"/>
      <c r="D111" s="560"/>
      <c r="E111" s="560"/>
      <c r="F111" s="560"/>
      <c r="G111" s="591"/>
      <c r="H111" s="591"/>
      <c r="I111" s="591"/>
      <c r="J111" s="591"/>
      <c r="K111" s="591"/>
      <c r="L111" s="591"/>
      <c r="M111" s="592"/>
      <c r="N111" s="1155"/>
      <c r="O111" s="1155"/>
      <c r="P111" s="45"/>
      <c r="Q111" s="504"/>
    </row>
    <row r="112" spans="1:17" ht="15" hidden="1" thickTop="1">
      <c r="A112" s="675"/>
      <c r="B112" s="538">
        <f>B36</f>
        <v>111</v>
      </c>
      <c r="C112" s="523"/>
      <c r="D112" s="523"/>
      <c r="E112" s="523"/>
      <c r="F112" s="523"/>
      <c r="G112" s="583"/>
      <c r="H112" s="583"/>
      <c r="I112" s="583"/>
      <c r="J112" s="583"/>
      <c r="K112" s="584"/>
      <c r="L112" s="585"/>
      <c r="M112" s="586"/>
      <c r="N112" s="1154"/>
      <c r="O112" s="1154"/>
      <c r="P112" s="45"/>
      <c r="Q112" s="504"/>
    </row>
    <row r="113" spans="1:17" ht="15.75" hidden="1" thickBot="1">
      <c r="A113" s="534"/>
      <c r="B113" s="543"/>
      <c r="C113" s="570"/>
      <c r="D113" s="570"/>
      <c r="E113" s="570"/>
      <c r="F113" s="570"/>
      <c r="G113" s="536"/>
      <c r="H113" s="536"/>
      <c r="I113" s="536"/>
      <c r="J113" s="536"/>
      <c r="K113" s="536"/>
      <c r="L113" s="536"/>
      <c r="M113" s="537"/>
      <c r="N113" s="1155"/>
      <c r="O113" s="1155"/>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hidden="1" thickBot="1">
      <c r="A115" s="553"/>
      <c r="B115" s="546"/>
      <c r="C115" s="512"/>
      <c r="D115" s="677"/>
      <c r="E115" s="677"/>
      <c r="F115" s="677"/>
      <c r="G115" s="677"/>
      <c r="H115" s="677"/>
      <c r="I115" s="677"/>
      <c r="J115" s="677"/>
      <c r="K115" s="677"/>
      <c r="L115" s="677"/>
      <c r="M115" s="699"/>
      <c r="N115" s="1155"/>
      <c r="O115" s="1155"/>
      <c r="P115" s="558"/>
      <c r="Q115" s="559"/>
    </row>
    <row r="116" spans="1:17" ht="29.25" thickTop="1">
      <c r="A116" s="527" t="s">
        <v>2564</v>
      </c>
      <c r="B116" s="528" t="s">
        <v>2792</v>
      </c>
      <c r="C116" s="529" t="str">
        <f>C117&amp;"(含)"&amp;"-"&amp;D117</f>
        <v>0(含)-100000</v>
      </c>
      <c r="D116" s="529" t="str">
        <f t="shared" ref="D116:M116" si="25">D117&amp;"(含)"&amp;"-"&amp;E117</f>
        <v>100000(含)-200000</v>
      </c>
      <c r="E116" s="529" t="str">
        <f t="shared" si="25"/>
        <v>200000(含)-300000</v>
      </c>
      <c r="F116" s="529" t="str">
        <f t="shared" si="25"/>
        <v>300000(含)-400000</v>
      </c>
      <c r="G116" s="529" t="str">
        <f t="shared" si="25"/>
        <v>400000(含)-500000</v>
      </c>
      <c r="H116" s="529" t="str">
        <f t="shared" si="25"/>
        <v>500000(含)-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100000</v>
      </c>
      <c r="E117" s="595">
        <v>200000</v>
      </c>
      <c r="F117" s="595">
        <v>300000</v>
      </c>
      <c r="G117" s="595">
        <v>400000</v>
      </c>
      <c r="H117" s="595">
        <v>500000</v>
      </c>
      <c r="I117" s="595"/>
      <c r="J117" s="596"/>
      <c r="K117" s="596"/>
      <c r="L117" s="597"/>
      <c r="M117" s="598"/>
      <c r="N117" s="1154"/>
      <c r="O117" s="1154"/>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5"/>
      <c r="O118" s="1155"/>
      <c r="P118" s="45"/>
      <c r="Q118" s="504"/>
    </row>
    <row r="119" spans="1:17" ht="15" thickTop="1">
      <c r="A119" s="599"/>
      <c r="B119" s="538" t="s">
        <v>2793</v>
      </c>
      <c r="C119" s="2939" t="s">
        <v>3119</v>
      </c>
      <c r="D119" s="2939" t="s">
        <v>3121</v>
      </c>
      <c r="E119" s="2939" t="s">
        <v>3122</v>
      </c>
      <c r="F119" s="2939" t="s">
        <v>3123</v>
      </c>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2794</v>
      </c>
      <c r="C121" s="2940" t="s">
        <v>2598</v>
      </c>
      <c r="D121" s="2940" t="s">
        <v>2599</v>
      </c>
      <c r="E121" s="2940" t="s">
        <v>2600</v>
      </c>
      <c r="F121" s="2940" t="s">
        <v>2601</v>
      </c>
      <c r="G121" s="2940" t="s">
        <v>2602</v>
      </c>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2795</v>
      </c>
      <c r="C123" s="2938" t="s">
        <v>3124</v>
      </c>
      <c r="D123" s="2938" t="s">
        <v>3125</v>
      </c>
      <c r="E123" s="2938" t="s">
        <v>3126</v>
      </c>
      <c r="F123" s="2938" t="s">
        <v>3127</v>
      </c>
      <c r="G123" s="2938" t="s">
        <v>3128</v>
      </c>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2796</v>
      </c>
      <c r="C125" s="2940" t="s">
        <v>2598</v>
      </c>
      <c r="D125" s="2940" t="s">
        <v>2599</v>
      </c>
      <c r="E125" s="2940" t="s">
        <v>2600</v>
      </c>
      <c r="F125" s="2940" t="s">
        <v>2601</v>
      </c>
      <c r="G125" s="2940" t="s">
        <v>2602</v>
      </c>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hidden="1" thickTop="1">
      <c r="A127" s="599"/>
      <c r="B127" s="538">
        <f>B43</f>
        <v>111</v>
      </c>
      <c r="C127" s="554"/>
      <c r="D127" s="554"/>
      <c r="E127" s="554"/>
      <c r="F127" s="554"/>
      <c r="G127" s="554"/>
      <c r="H127" s="583"/>
      <c r="I127" s="583"/>
      <c r="J127" s="583"/>
      <c r="K127" s="584"/>
      <c r="L127" s="585"/>
      <c r="M127" s="586"/>
      <c r="N127" s="1154"/>
      <c r="O127" s="1154"/>
      <c r="P127" s="45"/>
      <c r="Q127" s="504"/>
    </row>
    <row r="128" spans="1:17" ht="15.75" hidden="1" thickBot="1">
      <c r="A128" s="534"/>
      <c r="B128" s="543"/>
      <c r="C128" s="560"/>
      <c r="D128" s="560"/>
      <c r="E128" s="560"/>
      <c r="F128" s="560"/>
      <c r="G128" s="536"/>
      <c r="H128" s="536"/>
      <c r="I128" s="536"/>
      <c r="J128" s="536"/>
      <c r="K128" s="536"/>
      <c r="L128" s="536"/>
      <c r="M128" s="537"/>
      <c r="N128" s="1155"/>
      <c r="O128" s="1155"/>
      <c r="P128" s="45"/>
      <c r="Q128" s="504"/>
    </row>
    <row r="129" spans="1:17" ht="15" hidden="1" thickTop="1">
      <c r="A129" s="599"/>
      <c r="B129" s="538">
        <f>B44</f>
        <v>111</v>
      </c>
      <c r="C129" s="523"/>
      <c r="D129" s="523"/>
      <c r="E129" s="523"/>
      <c r="F129" s="523"/>
      <c r="G129" s="583"/>
      <c r="H129" s="583"/>
      <c r="I129" s="583"/>
      <c r="J129" s="583"/>
      <c r="K129" s="584"/>
      <c r="L129" s="585"/>
      <c r="M129" s="586"/>
      <c r="N129" s="1154"/>
      <c r="O129" s="1154"/>
      <c r="P129" s="45"/>
      <c r="Q129" s="504"/>
    </row>
    <row r="130" spans="1:17" ht="15.75" hidden="1" thickBot="1">
      <c r="A130" s="534"/>
      <c r="B130" s="543"/>
      <c r="C130" s="570"/>
      <c r="D130" s="570"/>
      <c r="E130" s="570"/>
      <c r="F130" s="570"/>
      <c r="G130" s="536"/>
      <c r="H130" s="536"/>
      <c r="I130" s="536"/>
      <c r="J130" s="536"/>
      <c r="K130" s="536"/>
      <c r="L130" s="536"/>
      <c r="M130" s="537"/>
      <c r="N130" s="1155"/>
      <c r="O130" s="1155"/>
      <c r="P130" s="45"/>
      <c r="Q130" s="504"/>
    </row>
    <row r="131" spans="1:17" s="471" customFormat="1" ht="15" hidden="1"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hidden="1" thickBot="1">
      <c r="A132" s="568"/>
      <c r="B132" s="700"/>
      <c r="C132" s="570"/>
      <c r="D132" s="570"/>
      <c r="E132" s="570"/>
      <c r="F132" s="570"/>
      <c r="G132" s="591"/>
      <c r="H132" s="591"/>
      <c r="I132" s="591"/>
      <c r="J132" s="591"/>
      <c r="K132" s="591"/>
      <c r="L132" s="591"/>
      <c r="M132" s="592"/>
      <c r="N132" s="1156"/>
      <c r="O132" s="1156"/>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7" sqref="C7:I7"/>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t="e">
        <f>MATCH(C1,'数据-取费表'!A6:A16,0)+5</f>
        <v>#N/A</v>
      </c>
    </row>
    <row r="2" spans="1:33" ht="18" customHeight="1">
      <c r="A2" s="245" t="s">
        <v>2331</v>
      </c>
      <c r="B2" s="248">
        <f ca="1">C32</f>
        <v>204808</v>
      </c>
      <c r="C2" s="320" t="s">
        <v>2464</v>
      </c>
      <c r="D2" s="320"/>
      <c r="E2" s="320"/>
      <c r="F2" s="320"/>
      <c r="G2" s="320"/>
      <c r="H2" s="320"/>
      <c r="I2" s="320"/>
      <c r="J2" s="320"/>
      <c r="K2" s="320"/>
    </row>
    <row r="3" spans="1:33" ht="18" customHeight="1" thickBot="1">
      <c r="A3" s="247" t="s">
        <v>2333</v>
      </c>
      <c r="B3" s="248">
        <f ca="1">ROUND(B2*10000/IF(C1="",'数据-汇总表'!E3,INDIRECT("'数据-取费表'!K"&amp;$K$1)),0)</f>
        <v>9749</v>
      </c>
      <c r="C3" s="320" t="s">
        <v>2465</v>
      </c>
      <c r="D3" s="320"/>
      <c r="E3" s="320"/>
      <c r="F3" s="320"/>
      <c r="G3" s="320"/>
      <c r="H3" s="320"/>
      <c r="I3" s="320"/>
      <c r="J3" s="320"/>
      <c r="K3" s="320"/>
    </row>
    <row r="4" spans="1:33" s="959" customFormat="1" ht="16.5" customHeight="1">
      <c r="A4" s="956" t="s">
        <v>2466</v>
      </c>
      <c r="B4" s="957"/>
      <c r="C4" s="999">
        <f>SUM(C8:K8)</f>
        <v>337193</v>
      </c>
      <c r="D4" s="957"/>
      <c r="E4" s="957"/>
      <c r="F4" s="957"/>
      <c r="G4" s="957"/>
      <c r="H4" s="957"/>
      <c r="I4" s="957"/>
      <c r="J4" s="957"/>
      <c r="K4" s="958"/>
    </row>
    <row r="5" spans="1:33" s="963" customFormat="1" ht="15">
      <c r="A5" s="960" t="s">
        <v>2467</v>
      </c>
      <c r="B5" s="961" t="s">
        <v>2468</v>
      </c>
      <c r="C5" s="2555" t="s">
        <v>3093</v>
      </c>
      <c r="D5" s="2555" t="s">
        <v>3097</v>
      </c>
      <c r="E5" s="2555" t="s">
        <v>3212</v>
      </c>
      <c r="F5" s="2555" t="s">
        <v>3213</v>
      </c>
      <c r="G5" s="2555" t="s">
        <v>3214</v>
      </c>
      <c r="H5" s="2555" t="s">
        <v>3215</v>
      </c>
      <c r="I5" s="2555" t="s">
        <v>3216</v>
      </c>
      <c r="J5" s="2555" t="s">
        <v>48</v>
      </c>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2469</v>
      </c>
      <c r="C6" s="965">
        <f>'比较法-住宅'!C48</f>
        <v>22892</v>
      </c>
      <c r="D6" s="965">
        <f>C6</f>
        <v>22892</v>
      </c>
      <c r="E6" s="965">
        <f>C6</f>
        <v>22892</v>
      </c>
      <c r="F6" s="965">
        <f>C6</f>
        <v>22892</v>
      </c>
      <c r="G6" s="965">
        <f>C6</f>
        <v>22892</v>
      </c>
      <c r="H6" s="965">
        <f>C6</f>
        <v>22892</v>
      </c>
      <c r="I6" s="965">
        <f>C6</f>
        <v>22892</v>
      </c>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39" t="s">
        <v>2471</v>
      </c>
      <c r="C7" s="321">
        <f>SUMIF('数据-汇总表'!$C19:$C33,假设开发法!C5,'数据-汇总表'!$E19:$E33)</f>
        <v>24825.22</v>
      </c>
      <c r="D7" s="321">
        <f>SUMIF('数据-汇总表'!$C19:$C33,假设开发法!D5,'数据-汇总表'!$E19:$E33)</f>
        <v>20418.02</v>
      </c>
      <c r="E7" s="321">
        <f>SUMIF('数据-汇总表'!$C19:$C33,假设开发法!E5,'数据-汇总表'!$E19:$E33)</f>
        <v>14401.19</v>
      </c>
      <c r="F7" s="321">
        <f>SUMIF('数据-汇总表'!$C19:$C33,假设开发法!F5,'数据-汇总表'!$E19:$E33)</f>
        <v>14401.19</v>
      </c>
      <c r="G7" s="321">
        <f>SUMIF('数据-汇总表'!$C19:$C33,假设开发法!G5,'数据-汇总表'!$E19:$E33)</f>
        <v>14575.77</v>
      </c>
      <c r="H7" s="321">
        <f>SUMIF('数据-汇总表'!$C19:$C33,假设开发法!H5,'数据-汇总表'!$E19:$E33)</f>
        <v>23581.37</v>
      </c>
      <c r="I7" s="321">
        <f>SUMIF('数据-汇总表'!$C19:$C33,假设开发法!I5,'数据-汇总表'!$E19:$E33)</f>
        <v>23581.37</v>
      </c>
      <c r="J7" s="321">
        <f>SUMIF('数据-汇总表'!$C19:$C33,假设开发法!J5,'数据-汇总表'!$E19:$E33)</f>
        <v>74071</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2472</v>
      </c>
      <c r="B8" s="177" t="s">
        <v>2473</v>
      </c>
      <c r="C8" s="1000">
        <f>ROUND(C6*C7/10000,0)</f>
        <v>56830</v>
      </c>
      <c r="D8" s="1000">
        <f t="shared" ref="D8:I8" si="0">ROUND(D6*D7/10000,0)</f>
        <v>46741</v>
      </c>
      <c r="E8" s="1000">
        <f t="shared" si="0"/>
        <v>32967</v>
      </c>
      <c r="F8" s="1000">
        <f t="shared" si="0"/>
        <v>32967</v>
      </c>
      <c r="G8" s="1000">
        <f t="shared" si="0"/>
        <v>33367</v>
      </c>
      <c r="H8" s="1000">
        <f t="shared" si="0"/>
        <v>53982</v>
      </c>
      <c r="I8" s="1000">
        <f t="shared" si="0"/>
        <v>53982</v>
      </c>
      <c r="J8" s="1001">
        <f>ROUND('比较法-车位'!C38*1692/10000,0)</f>
        <v>26357</v>
      </c>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1335</v>
      </c>
      <c r="B11" s="975" t="s">
        <v>2481</v>
      </c>
      <c r="C11" s="323">
        <f ca="1">IF(C1="",'数据-取费表'!P16,INDIRECT("'数据-取费表'!p"&amp;$K$1)+INDIRECT("'数据-取费表'!ar"&amp;$K$1))</f>
        <v>50950</v>
      </c>
      <c r="D11" s="976"/>
      <c r="E11" s="375"/>
      <c r="F11" s="977">
        <f ca="1">1-IF('数据-取费表'!B24=0,1,IF(C1="",'数据-取费表'!N16,INDIRECT("'数据-取费表'!n"&amp;$K$1)))</f>
        <v>0.91700000000000004</v>
      </c>
      <c r="G11" s="8"/>
      <c r="H11" s="971"/>
      <c r="I11" s="971"/>
      <c r="J11" s="971"/>
      <c r="K11" s="972"/>
    </row>
    <row r="12" spans="1:33" s="978" customFormat="1" ht="13.5" customHeight="1">
      <c r="A12" s="974" t="s">
        <v>1336</v>
      </c>
      <c r="B12" s="975" t="s">
        <v>2482</v>
      </c>
      <c r="C12" s="24">
        <f ca="1">ROUND(C11*F12,0)</f>
        <v>2548</v>
      </c>
      <c r="D12" s="976"/>
      <c r="E12" s="375"/>
      <c r="F12" s="979">
        <f>'数据-取费表'!B33</f>
        <v>0.05</v>
      </c>
      <c r="G12" s="8" t="s">
        <v>2483</v>
      </c>
      <c r="H12" s="971"/>
      <c r="I12" s="971"/>
      <c r="J12" s="971"/>
      <c r="K12" s="972"/>
    </row>
    <row r="13" spans="1:33" s="978" customFormat="1" ht="13.5" customHeight="1">
      <c r="A13" s="974" t="s">
        <v>1337</v>
      </c>
      <c r="B13" s="975" t="s">
        <v>2484</v>
      </c>
      <c r="C13" s="24">
        <f ca="1">ROUND(IF(C1="",SUMIF('数据-取费表'!C:C,"住宅",'数据-取费表'!P:P)*F13,IF(INDIRECT("'数据-取费表'!c"&amp;$K$1)="住宅",INDIRECT("'数据-取费表'!P"&amp;$K$1)*F13,0)),0)</f>
        <v>1881</v>
      </c>
      <c r="D13" s="1036"/>
      <c r="E13" s="375"/>
      <c r="F13" s="979">
        <f>'数据-取费表'!B34</f>
        <v>0.05</v>
      </c>
      <c r="G13" s="8" t="s">
        <v>2485</v>
      </c>
      <c r="H13" s="971"/>
      <c r="I13" s="971"/>
      <c r="J13" s="971"/>
      <c r="K13" s="972"/>
    </row>
    <row r="14" spans="1:33" s="980" customFormat="1" ht="13.5" customHeight="1">
      <c r="A14" s="974" t="s">
        <v>1338</v>
      </c>
      <c r="B14" s="975" t="s">
        <v>2486</v>
      </c>
      <c r="C14" s="24">
        <f ca="1">ROUND(D14*E14*F11/10000,0)</f>
        <v>3853</v>
      </c>
      <c r="D14" s="1036">
        <f ca="1">IF(C1="",'数据-汇总表'!E3,INDIRECT("'数据-取费表'!K"&amp;$K$1)+INDIRECT("'数据-取费表'!S"&amp;$K$1))</f>
        <v>210072.84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2488</v>
      </c>
      <c r="C15" s="986">
        <f ca="1">ROUND(C11*F15,0)</f>
        <v>764</v>
      </c>
      <c r="D15" s="981"/>
      <c r="E15" s="986"/>
      <c r="F15" s="987">
        <f>'数据-取费表'!B36</f>
        <v>1.4999999999999999E-2</v>
      </c>
      <c r="G15" s="139"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59996</v>
      </c>
      <c r="D16" s="981"/>
      <c r="E16" s="986"/>
      <c r="F16" s="987"/>
      <c r="G16" s="139"/>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210072.84</v>
      </c>
      <c r="E17" s="24">
        <f>'数据-取费表'!B32</f>
        <v>0</v>
      </c>
      <c r="F17" s="981"/>
      <c r="G17" s="139"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2493</v>
      </c>
      <c r="C18" s="24">
        <f ca="1">C19+C20-IF(C1="",'数据-取费表'!B29,IF(G18="已全部缴纳",C19+C20,H18))</f>
        <v>0</v>
      </c>
      <c r="D18" s="1036"/>
      <c r="E18" s="24"/>
      <c r="F18" s="979"/>
      <c r="G18" s="2557" t="s">
        <v>3218</v>
      </c>
      <c r="H18" s="1580">
        <v>5571</v>
      </c>
      <c r="I18" s="2558"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135784.13</v>
      </c>
      <c r="E19" s="24">
        <f>'数据-取费表'!B27</f>
        <v>0</v>
      </c>
      <c r="F19" s="979"/>
      <c r="G19" s="15"/>
      <c r="H19" s="1582"/>
      <c r="I19" s="984"/>
      <c r="J19" s="984"/>
      <c r="K19" s="985"/>
    </row>
    <row r="20" spans="1:33" s="978" customFormat="1" ht="13.5" customHeight="1">
      <c r="A20" s="974" t="s">
        <v>806</v>
      </c>
      <c r="B20" s="975" t="s">
        <v>2496</v>
      </c>
      <c r="C20" s="24">
        <f ca="1">ROUND(D20*E20/10000,0)</f>
        <v>5571</v>
      </c>
      <c r="D20" s="1036">
        <f ca="1">IF(C1="",'数据-汇总表'!E6,IF(INDIRECT("'数据-取费表'!c"&amp;$K$1)="住宅",INDIRECT("'数据-取费表'!s"&amp;$K$1),INDIRECT("'数据-取费表'!k"&amp;$K$1)+INDIRECT("'数据-取费表'!s"&amp;$K$1)))</f>
        <v>74288.709999999992</v>
      </c>
      <c r="E20" s="24">
        <f ca="1">'数据-取费表'!B28</f>
        <v>749.91</v>
      </c>
      <c r="F20" s="979"/>
      <c r="G20" s="15"/>
      <c r="H20" s="984"/>
      <c r="I20" s="984"/>
      <c r="J20" s="984"/>
      <c r="K20" s="985"/>
    </row>
    <row r="21" spans="1:33" s="978" customFormat="1" ht="13.5" customHeight="1">
      <c r="A21" s="964" t="s">
        <v>802</v>
      </c>
      <c r="B21" s="988" t="s">
        <v>2497</v>
      </c>
      <c r="C21" s="989">
        <f ca="1">C16+C17+C18</f>
        <v>59996</v>
      </c>
      <c r="D21" s="990"/>
      <c r="E21" s="325"/>
      <c r="F21" s="325"/>
      <c r="G21" s="139" t="s">
        <v>2498</v>
      </c>
      <c r="H21" s="982"/>
      <c r="I21" s="982"/>
      <c r="J21" s="982"/>
      <c r="K21" s="983"/>
    </row>
    <row r="22" spans="1:33" s="978" customFormat="1" ht="13.5" customHeight="1">
      <c r="A22" s="964" t="s">
        <v>2470</v>
      </c>
      <c r="B22" s="988" t="s">
        <v>2499</v>
      </c>
      <c r="C22" s="989">
        <f ca="1">ROUND(C21*F22,0)</f>
        <v>1200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9276</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2.8899999999999999E-2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8">
        <f ca="1">C27</f>
        <v>2496</v>
      </c>
      <c r="D25" s="324">
        <f ca="1">C26</f>
        <v>7.4200000000000002E-2</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59">
        <f ca="1">ROUND(IF('数据-取费表'!B22&lt;=1,(1+C24)*F25*'数据-取费表'!B24,(1+C24)*(POWER((1+F25),'数据-取费表'!B24)-1)),4)</f>
        <v>7.4200000000000002E-2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0">
        <f ca="1">ROUND(IF('数据-取费表'!B22&lt;=1,(C21+C22+C23)*F25*'数据-取费表'!B24/2,(C21+C22+C23)*(POWER((1+F25),'数据-取费表'!B24/2)-1)),0)</f>
        <v>2496</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2510</v>
      </c>
      <c r="B28" s="2560" t="s">
        <v>2511</v>
      </c>
      <c r="C28" s="331">
        <f ca="1">C30</f>
        <v>5638</v>
      </c>
      <c r="D28" s="324">
        <f ca="1">C29</f>
        <v>6.1699999999999998E-2</v>
      </c>
      <c r="E28" s="326" t="s">
        <v>15</v>
      </c>
      <c r="F28" s="332">
        <f ca="1">IF(C1="",'数据-取费表'!Q16,INDIRECT("'数据-取费表'!q"&amp;$K$1))</f>
        <v>0.08</v>
      </c>
      <c r="G28" s="992"/>
      <c r="H28" s="993"/>
      <c r="I28" s="993"/>
      <c r="J28" s="993"/>
      <c r="K28" s="994"/>
    </row>
    <row r="29" spans="1:33" s="335" customFormat="1" ht="13.5" customHeight="1">
      <c r="A29" s="974" t="s">
        <v>803</v>
      </c>
      <c r="B29" s="997" t="s">
        <v>2512</v>
      </c>
      <c r="C29" s="328">
        <f ca="1">ROUND((1+C24)*F28*'数据-取费表'!B24/'数据-取费表'!B20,4)</f>
        <v>6.1699999999999998E-2</v>
      </c>
      <c r="D29" s="328"/>
      <c r="E29" s="329"/>
      <c r="F29" s="334"/>
      <c r="G29" s="139" t="s">
        <v>2513</v>
      </c>
      <c r="H29" s="982"/>
      <c r="I29" s="982"/>
      <c r="J29" s="982"/>
      <c r="K29" s="983"/>
    </row>
    <row r="30" spans="1:33" s="335" customFormat="1" ht="13.5" customHeight="1">
      <c r="A30" s="974" t="s">
        <v>804</v>
      </c>
      <c r="B30" s="997" t="s">
        <v>2514</v>
      </c>
      <c r="C30" s="336">
        <f ca="1">ROUND((C21+C22+C23)*F28,0)</f>
        <v>5638</v>
      </c>
      <c r="D30" s="328"/>
      <c r="E30" s="329"/>
      <c r="F30" s="334"/>
      <c r="G30" s="139"/>
      <c r="H30" s="982"/>
      <c r="I30" s="982"/>
      <c r="J30" s="982"/>
      <c r="K30" s="983"/>
    </row>
    <row r="31" spans="1:33" s="978" customFormat="1" ht="13.5" customHeight="1" thickBot="1">
      <c r="A31" s="2561" t="s">
        <v>2515</v>
      </c>
      <c r="B31" s="1008" t="s">
        <v>2516</v>
      </c>
      <c r="C31" s="1009">
        <f>ROUND(C4*F31/(1+'数据-取费表'!C42),0)</f>
        <v>20027</v>
      </c>
      <c r="D31" s="1010"/>
      <c r="E31" s="1011"/>
      <c r="F31" s="1012">
        <f>'数据-取费表'!B41</f>
        <v>6.2719999999999998E-2</v>
      </c>
      <c r="G31" s="1013" t="s">
        <v>2517</v>
      </c>
      <c r="H31" s="1014"/>
      <c r="I31" s="1014"/>
      <c r="J31" s="1014"/>
      <c r="K31" s="1015"/>
    </row>
    <row r="32" spans="1:33" s="973" customFormat="1" ht="13.5" customHeight="1" thickBot="1">
      <c r="A32" s="1003" t="s">
        <v>2518</v>
      </c>
      <c r="B32" s="1004"/>
      <c r="C32" s="1005">
        <f ca="1">ROUND((C4-C21-C22-C23-C25-C28-C31)/(1+C24+D25+D28),0)</f>
        <v>204808</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#N/A</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t="e">
        <f ca="1">C6+C10+C12</f>
        <v>#N/A</v>
      </c>
      <c r="D5" s="1825" t="s">
        <v>1403</v>
      </c>
      <c r="E5" s="1295"/>
      <c r="F5" s="1296"/>
      <c r="G5" s="1854"/>
      <c r="H5" s="344">
        <v>1</v>
      </c>
      <c r="I5" s="345" t="s">
        <v>1402</v>
      </c>
      <c r="J5" s="1294" t="e">
        <f ca="1">J6+J10+J12</f>
        <v>#N/A</v>
      </c>
      <c r="K5" s="1825" t="s">
        <v>1403</v>
      </c>
      <c r="L5" s="1295"/>
      <c r="M5" s="1296"/>
    </row>
    <row r="6" spans="1:37" ht="18" customHeight="1">
      <c r="A6" s="1293" t="s">
        <v>1035</v>
      </c>
      <c r="B6" s="3189" t="s">
        <v>1404</v>
      </c>
      <c r="C6" s="1298" t="e">
        <f ca="1">ROUND(F6*F8*F7*(1-F9)/10000,0)</f>
        <v>#N/A</v>
      </c>
      <c r="D6" s="164" t="s">
        <v>3037</v>
      </c>
      <c r="E6" s="347" t="s">
        <v>1406</v>
      </c>
      <c r="F6" s="348" t="e">
        <f ca="1">INDIRECT("'数据-取费表'!u"&amp;$G$1)</f>
        <v>#N/A</v>
      </c>
      <c r="G6" s="1854"/>
      <c r="H6" s="1293" t="s">
        <v>1035</v>
      </c>
      <c r="I6" s="3189" t="s">
        <v>1404</v>
      </c>
      <c r="J6" s="346" t="e">
        <f ca="1">ROUND(M6*M8*M7*(1-M9)/10000,0)</f>
        <v>#N/A</v>
      </c>
      <c r="K6" s="164" t="s">
        <v>3036</v>
      </c>
      <c r="L6" s="347" t="s">
        <v>1406</v>
      </c>
      <c r="M6" s="348" t="e">
        <f ca="1">INDIRECT("'数据-取费表'!z"&amp;$G$1)</f>
        <v>#N/A</v>
      </c>
    </row>
    <row r="7" spans="1:37" ht="18" customHeight="1">
      <c r="A7" s="1297"/>
      <c r="B7" s="3190"/>
      <c r="C7" s="1299"/>
      <c r="D7" s="352"/>
      <c r="E7" s="1300" t="s">
        <v>1407</v>
      </c>
      <c r="F7" s="348" t="e">
        <f ca="1">IF(INDIRECT("'数据-取费表'!ah"&amp;$G$1)="",INDIRECT("'数据-取费表'!k"&amp;$G$1),INDIRECT("'数据-取费表'!ah"&amp;$G$1))</f>
        <v>#N/A</v>
      </c>
      <c r="G7" s="1854"/>
      <c r="H7" s="349"/>
      <c r="I7" s="3190"/>
      <c r="J7" s="351"/>
      <c r="K7" s="352"/>
      <c r="L7" s="347" t="s">
        <v>1407</v>
      </c>
      <c r="M7" s="348" t="e">
        <f ca="1">F7</f>
        <v>#N/A</v>
      </c>
    </row>
    <row r="8" spans="1:37" ht="18" customHeight="1">
      <c r="A8" s="349"/>
      <c r="B8" s="3190"/>
      <c r="C8" s="351"/>
      <c r="D8" s="352"/>
      <c r="E8" s="347" t="s">
        <v>1408</v>
      </c>
      <c r="F8" s="348" t="e">
        <f ca="1">INDIRECT("'数据-取费表'!ai"&amp;$G$1)</f>
        <v>#N/A</v>
      </c>
      <c r="G8" s="1854"/>
      <c r="H8" s="349"/>
      <c r="I8" s="3190"/>
      <c r="J8" s="351"/>
      <c r="K8" s="352"/>
      <c r="L8" s="347" t="s">
        <v>1408</v>
      </c>
      <c r="M8" s="348" t="e">
        <f ca="1">INDIRECT("'数据-取费表'!ai"&amp;$G$1)</f>
        <v>#N/A</v>
      </c>
    </row>
    <row r="9" spans="1:37" ht="18" customHeight="1">
      <c r="A9" s="349"/>
      <c r="B9" s="3191"/>
      <c r="C9" s="351"/>
      <c r="D9" s="352"/>
      <c r="E9" s="347" t="s">
        <v>1409</v>
      </c>
      <c r="F9" s="357" t="e">
        <f ca="1">INDIRECT("'数据-取费表'!w"&amp;$G$1)</f>
        <v>#N/A</v>
      </c>
      <c r="G9" s="1854"/>
      <c r="H9" s="349"/>
      <c r="I9" s="3191"/>
      <c r="J9" s="351"/>
      <c r="K9" s="352"/>
      <c r="L9" s="358" t="s">
        <v>1409</v>
      </c>
      <c r="M9" s="359" t="e">
        <f ca="1">INDIRECT("'数据-取费表'!ab"&amp;$G$1)</f>
        <v>#N/A</v>
      </c>
    </row>
    <row r="10" spans="1:37" ht="18" customHeight="1">
      <c r="A10" s="1293" t="s">
        <v>1039</v>
      </c>
      <c r="B10" s="1826" t="s">
        <v>1410</v>
      </c>
      <c r="C10" s="361">
        <f ca="1">ROUND(IF(F10="押一",F6*F8*F7/12*F11,IF(F10="押二",F6*F8*F7/12*2*F11,IF(F10="押三",F6*F8*F7/12*3*F11,C11*F11)))/10000,0)</f>
        <v>0</v>
      </c>
      <c r="D10" s="1827" t="s">
        <v>3038</v>
      </c>
      <c r="E10" s="358" t="s">
        <v>1412</v>
      </c>
      <c r="F10" s="1368"/>
      <c r="G10" s="1854"/>
      <c r="H10" s="1293" t="s">
        <v>1039</v>
      </c>
      <c r="I10" s="1826" t="s">
        <v>1410</v>
      </c>
      <c r="J10" s="346" t="e">
        <f ca="1">ROUND(IF(M10="押一",M6*M8*M7/12*M11,IF(M10="押二",M6*M8*M7/12*2*M11,IF(M10="押三",M6*M8*M7/12*3*M11,J11*M11)))/10000,0)</f>
        <v>#N/A</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t="e">
        <f ca="1">ROUND(C29*F13,0)</f>
        <v>#N/A</v>
      </c>
      <c r="D13" s="1333" t="s">
        <v>1417</v>
      </c>
      <c r="E13" s="1333" t="s">
        <v>1418</v>
      </c>
      <c r="F13" s="1334" t="e">
        <f ca="1">INDIRECT("'数据-取费表'!y"&amp;$G$1)</f>
        <v>#N/A</v>
      </c>
      <c r="G13" s="1854"/>
      <c r="H13" s="1331">
        <v>2</v>
      </c>
      <c r="I13" s="1332" t="s">
        <v>1416</v>
      </c>
      <c r="J13" s="1292" t="e">
        <f ca="1">ROUND(J14*J15,0)</f>
        <v>#N/A</v>
      </c>
      <c r="K13" s="1339" t="s">
        <v>1417</v>
      </c>
      <c r="L13" s="1855"/>
      <c r="M13" s="1856"/>
    </row>
    <row r="14" spans="1:37" ht="18" customHeight="1">
      <c r="A14" s="1203" t="s">
        <v>1034</v>
      </c>
      <c r="B14" s="347" t="s">
        <v>1419</v>
      </c>
      <c r="C14" s="363" t="e">
        <f ca="1">INDIRECT("'数据-取费表'!m"&amp;$G$1)+INDIRECT("'数据-取费表'!t"&amp;$G$1)</f>
        <v>#N/A</v>
      </c>
      <c r="D14" s="1803" t="s">
        <v>1420</v>
      </c>
      <c r="E14" s="1797"/>
      <c r="F14" s="364"/>
      <c r="G14" s="1854"/>
      <c r="H14" s="1203" t="s">
        <v>1035</v>
      </c>
      <c r="I14" s="347" t="s">
        <v>1421</v>
      </c>
      <c r="J14" s="24" t="e">
        <f ca="1">C29</f>
        <v>#N/A</v>
      </c>
      <c r="K14" s="15"/>
      <c r="L14" s="982"/>
      <c r="M14" s="983"/>
    </row>
    <row r="15" spans="1:37" s="1861" customFormat="1" ht="18" customHeight="1" thickBot="1">
      <c r="A15" s="1203" t="s">
        <v>1036</v>
      </c>
      <c r="B15" s="347" t="s">
        <v>1422</v>
      </c>
      <c r="C15" s="24" t="e">
        <f ca="1">ROUND(C14*F15,0)</f>
        <v>#N/A</v>
      </c>
      <c r="D15" s="365" t="s">
        <v>1423</v>
      </c>
      <c r="E15" s="365" t="s">
        <v>1424</v>
      </c>
      <c r="F15" s="366">
        <f>'数据-取费表'!B33</f>
        <v>0.05</v>
      </c>
      <c r="G15" s="1857"/>
      <c r="H15" s="1341" t="s">
        <v>1039</v>
      </c>
      <c r="I15" s="1342" t="s">
        <v>1418</v>
      </c>
      <c r="J15" s="1351" t="e">
        <f ca="1">INDIRECT("'数据-取费表'!ad"&amp;$G$1)</f>
        <v>#N/A</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t="e">
        <f ca="1">ROUND(INDIRECT("'数据-取费表'!m"&amp;$G$1)*F16,0)</f>
        <v>#N/A</v>
      </c>
      <c r="D16" s="347" t="s">
        <v>1423</v>
      </c>
      <c r="E16" s="347" t="s">
        <v>1424</v>
      </c>
      <c r="F16" s="367" t="e">
        <f ca="1">IF(INDIRECT("'数据-取费表'!c"&amp;$G$1)="住宅",'数据-取费表'!B34,0)</f>
        <v>#N/A</v>
      </c>
      <c r="G16" s="1854"/>
      <c r="H16" s="1331" t="s">
        <v>1030</v>
      </c>
      <c r="I16" s="1332" t="s">
        <v>1426</v>
      </c>
      <c r="J16" s="355" t="e">
        <f ca="1">ROUND(J17+J22+J23+J24,0)</f>
        <v>#N/A</v>
      </c>
      <c r="K16" s="1339" t="s">
        <v>1427</v>
      </c>
      <c r="L16" s="1340"/>
      <c r="M16" s="1296"/>
    </row>
    <row r="17" spans="1:37" s="1861" customFormat="1" ht="18" customHeight="1">
      <c r="A17" s="1203" t="s">
        <v>1391</v>
      </c>
      <c r="B17" s="347" t="s">
        <v>1428</v>
      </c>
      <c r="C17" s="24" t="e">
        <f ca="1">ROUND(F17*(F43+INDIRECT("'数据-取费表'!S"&amp;$G$1))/10000,0)</f>
        <v>#N/A</v>
      </c>
      <c r="D17" s="347" t="s">
        <v>1429</v>
      </c>
      <c r="E17" s="347" t="s">
        <v>1430</v>
      </c>
      <c r="F17" s="26">
        <f>'数据-取费表'!B35</f>
        <v>200</v>
      </c>
      <c r="G17" s="1857"/>
      <c r="H17" s="1203" t="s">
        <v>1035</v>
      </c>
      <c r="I17" s="347" t="s">
        <v>1431</v>
      </c>
      <c r="J17" s="24" t="e">
        <f ca="1">ROUND(IF(项目基本情况!B11="自然人",J5*M17,J18+J19+J20),1)</f>
        <v>#N/A</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t="e">
        <f ca="1">ROUND(C14*F18,0)</f>
        <v>#N/A</v>
      </c>
      <c r="D18" s="347" t="s">
        <v>1423</v>
      </c>
      <c r="E18" s="347" t="s">
        <v>1424</v>
      </c>
      <c r="F18" s="367">
        <f>'数据-取费表'!B36</f>
        <v>1.4999999999999999E-2</v>
      </c>
      <c r="G18" s="1857"/>
      <c r="H18" s="1203" t="s">
        <v>1034</v>
      </c>
      <c r="I18" s="347" t="s">
        <v>1435</v>
      </c>
      <c r="J18" s="24" t="e">
        <f ca="1">ROUND(J5*M18/(1+'数据-取费表'!C42),2)</f>
        <v>#N/A</v>
      </c>
      <c r="K18" s="1801" t="s">
        <v>1436</v>
      </c>
      <c r="L18" s="347" t="s">
        <v>1424</v>
      </c>
      <c r="M18" s="367">
        <f>'数据-取费表'!B41</f>
        <v>6.2719999999999998E-2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t="e">
        <f ca="1">SUM(C14:C18)</f>
        <v>#N/A</v>
      </c>
      <c r="D19" s="139" t="s">
        <v>1438</v>
      </c>
      <c r="E19" s="1821"/>
      <c r="F19" s="26"/>
      <c r="G19" s="1854"/>
      <c r="H19" s="1203" t="s">
        <v>1036</v>
      </c>
      <c r="I19" s="347" t="s">
        <v>1439</v>
      </c>
      <c r="J19" s="24" t="e">
        <f ca="1">IF(K19="按租金收入计税",ROUND(J5*M19,2),ROUND(C29*M19*0.7,2))</f>
        <v>#N/A</v>
      </c>
      <c r="K19" s="1831" t="s">
        <v>1440</v>
      </c>
      <c r="L19" s="347" t="s">
        <v>1424</v>
      </c>
      <c r="M19" s="367">
        <f>IF(K19="按租金收入计税",'数据-取费表'!B51,'数据-取费表'!B50)</f>
        <v>1.2E-2</v>
      </c>
    </row>
    <row r="20" spans="1:37" s="1861" customFormat="1" ht="18" customHeight="1">
      <c r="A20" s="1203" t="s">
        <v>1039</v>
      </c>
      <c r="B20" s="347" t="s">
        <v>1441</v>
      </c>
      <c r="C20" s="24" t="e">
        <f ca="1">ROUND(C19*F20,0)</f>
        <v>#N/A</v>
      </c>
      <c r="D20" s="369" t="s">
        <v>1442</v>
      </c>
      <c r="E20" s="347" t="s">
        <v>1424</v>
      </c>
      <c r="F20" s="367">
        <f>'数据-取费表'!B37</f>
        <v>0.02</v>
      </c>
      <c r="G20" s="1857"/>
      <c r="H20" s="1203" t="s">
        <v>1390</v>
      </c>
      <c r="I20" s="164" t="s">
        <v>1443</v>
      </c>
      <c r="J20" s="25" t="e">
        <f ca="1">ROUND(M20*M21/10000,2)</f>
        <v>#N/A</v>
      </c>
      <c r="K20" s="370" t="s">
        <v>1444</v>
      </c>
      <c r="L20" s="347" t="s">
        <v>1445</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39" t="str">
        <f>IF(F23&lt;=1,"单利计息。","复利计息。")&amp;"建造成本、管理费用、销售费用产生的利息。"</f>
        <v>复利计息。建造成本、管理费用、销售费用产生的利息。</v>
      </c>
      <c r="E22" s="1821"/>
      <c r="F22" s="26"/>
      <c r="G22" s="1854"/>
      <c r="H22" s="1203" t="s">
        <v>1039</v>
      </c>
      <c r="I22" s="347" t="s">
        <v>1451</v>
      </c>
      <c r="J22" s="24" t="e">
        <f ca="1">ROUND(J14*M22,1)</f>
        <v>#N/A</v>
      </c>
      <c r="K22" s="1801" t="s">
        <v>1452</v>
      </c>
      <c r="L22" s="347" t="s">
        <v>1424</v>
      </c>
      <c r="M22" s="374" t="e">
        <f ca="1">INDIRECT("'数据-取费表'!Ak"&amp;$G$1)</f>
        <v>#N/A</v>
      </c>
    </row>
    <row r="23" spans="1:37" s="1861" customFormat="1" ht="18" customHeight="1">
      <c r="A23" s="1203"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t="e">
        <f ca="1">ROUND(J13*M23,1)</f>
        <v>#N/A</v>
      </c>
      <c r="K23" s="1801" t="s">
        <v>1456</v>
      </c>
      <c r="L23" s="347" t="s">
        <v>1457</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t="e">
        <f ca="1">ROUND(J5*M24,1)</f>
        <v>#N/A</v>
      </c>
      <c r="K24" s="1344" t="s">
        <v>1461</v>
      </c>
      <c r="L24" s="1342" t="s">
        <v>1457</v>
      </c>
      <c r="M24" s="1338"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39" t="s">
        <v>1464</v>
      </c>
      <c r="E25" s="1821"/>
      <c r="F25" s="26"/>
      <c r="G25" s="1854"/>
      <c r="H25" s="1331" t="s">
        <v>1031</v>
      </c>
      <c r="I25" s="1346" t="s">
        <v>1465</v>
      </c>
      <c r="J25" s="355" t="e">
        <f ca="1">J5-J16</f>
        <v>#N/A</v>
      </c>
      <c r="K25" s="1347" t="s">
        <v>1466</v>
      </c>
      <c r="L25" s="1348"/>
      <c r="M25" s="1349"/>
    </row>
    <row r="26" spans="1:37">
      <c r="A26" s="1203" t="s">
        <v>1034</v>
      </c>
      <c r="B26" s="347" t="s">
        <v>1467</v>
      </c>
      <c r="C26" s="24" t="e">
        <f ca="1">ROUND((C19+C20)*F26,0)</f>
        <v>#N/A</v>
      </c>
      <c r="D26" s="369" t="s">
        <v>1468</v>
      </c>
      <c r="E26" s="358" t="s">
        <v>1469</v>
      </c>
      <c r="F26" s="357" t="e">
        <f ca="1">INDIRECT("'数据-取费表'!q"&amp;$G$1)</f>
        <v>#N/A</v>
      </c>
      <c r="G26" s="1854"/>
      <c r="H26" s="344" t="s">
        <v>1032</v>
      </c>
      <c r="I26" s="345" t="s">
        <v>1470</v>
      </c>
      <c r="J26" s="346" t="e">
        <f ca="1">IF(J5&lt;&gt;0,ROUND(J25*(1-((1+M28)/(1+M26))^M27)/(M26-M28),0),0)</f>
        <v>#N/A</v>
      </c>
      <c r="K26" s="370" t="s">
        <v>1471</v>
      </c>
      <c r="L26" s="347" t="s">
        <v>1472</v>
      </c>
      <c r="M26" s="357" t="e">
        <f ca="1">INDIRECT("'数据-取费表'!I"&amp;$G$1)</f>
        <v>#N/A</v>
      </c>
    </row>
    <row r="27" spans="1:37" ht="18" customHeight="1">
      <c r="A27" s="1203" t="s">
        <v>1036</v>
      </c>
      <c r="B27" s="347" t="s">
        <v>1473</v>
      </c>
      <c r="C27" s="24" t="e">
        <f ca="1">ROUND(F21*F26,4)</f>
        <v>#N/A</v>
      </c>
      <c r="D27" s="369" t="s">
        <v>1474</v>
      </c>
      <c r="E27" s="365"/>
      <c r="F27" s="366"/>
      <c r="G27" s="1854"/>
      <c r="H27" s="349"/>
      <c r="I27" s="350"/>
      <c r="J27" s="351"/>
      <c r="K27" s="378" t="s">
        <v>1475</v>
      </c>
      <c r="L27" s="347" t="s">
        <v>1476</v>
      </c>
      <c r="M27" s="379" t="e">
        <f ca="1">INDIRECT("'数据-取费表'!ag"&amp;$G$1)</f>
        <v>#N/A</v>
      </c>
    </row>
    <row r="28" spans="1:37" s="1861" customFormat="1" ht="18" customHeight="1">
      <c r="A28" s="1203" t="s">
        <v>1037</v>
      </c>
      <c r="B28" s="347" t="s">
        <v>1477</v>
      </c>
      <c r="C28" s="24">
        <f>ROUND(F28/(1+'数据-取费表'!C42),4)</f>
        <v>5.9400000000000001E-2</v>
      </c>
      <c r="D28" s="369" t="s">
        <v>1478</v>
      </c>
      <c r="E28" s="347" t="s">
        <v>1424</v>
      </c>
      <c r="F28" s="367">
        <f>'数据-取费表'!B41</f>
        <v>6.2719999999999998E-2</v>
      </c>
      <c r="G28" s="1857"/>
      <c r="H28" s="353"/>
      <c r="I28" s="354"/>
      <c r="J28" s="355"/>
      <c r="K28" s="373"/>
      <c r="L28" s="347" t="s">
        <v>1479</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t="e">
        <f ca="1">ROUND((C19+C20+C23+C26)/(1-F21-C24-C27-C28),0)</f>
        <v>#N/A</v>
      </c>
      <c r="D29" s="1344"/>
      <c r="E29" s="1342"/>
      <c r="F29" s="1345"/>
      <c r="G29" s="1857"/>
      <c r="H29" s="380" t="s">
        <v>1033</v>
      </c>
      <c r="I29" s="381" t="s">
        <v>1481</v>
      </c>
      <c r="J29" s="382" t="e">
        <f ca="1">ROUND(J26/(1+F40)^F41,0)</f>
        <v>#N/A</v>
      </c>
      <c r="K29" s="383" t="s">
        <v>1482</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t="e">
        <f ca="1">ROUND(C31+C36+C37+C38,0)</f>
        <v>#N/A</v>
      </c>
      <c r="D30" s="1339" t="s">
        <v>1427</v>
      </c>
      <c r="E30" s="1340"/>
      <c r="F30" s="1296"/>
      <c r="G30" s="1854"/>
      <c r="H30" s="745"/>
      <c r="I30" s="746"/>
      <c r="J30" s="747"/>
      <c r="K30" s="748"/>
      <c r="L30" s="749"/>
      <c r="M30" s="750"/>
    </row>
    <row r="31" spans="1:37" ht="18" customHeight="1">
      <c r="A31" s="1203" t="s">
        <v>1035</v>
      </c>
      <c r="B31" s="347" t="s">
        <v>1431</v>
      </c>
      <c r="C31" s="24" t="e">
        <f ca="1">ROUND(IF(项目基本情况!B11="自然人",C5*F31,C32+C33+C34),1)</f>
        <v>#N/A</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t="e">
        <f ca="1">IF(项目基本情况!B11="自然人","——",ROUND(C5*F32/(1+'数据-取费表'!C42),2))</f>
        <v>#N/A</v>
      </c>
      <c r="D32" s="1801" t="s">
        <v>1436</v>
      </c>
      <c r="E32" s="347" t="s">
        <v>1424</v>
      </c>
      <c r="F32" s="377">
        <f>'数据-取费表'!B41</f>
        <v>6.2719999999999998E-2</v>
      </c>
      <c r="G32" s="1854"/>
      <c r="H32" s="745"/>
      <c r="I32" s="746"/>
      <c r="J32" s="747"/>
      <c r="K32" s="748"/>
      <c r="L32" s="749"/>
      <c r="M32" s="750"/>
    </row>
    <row r="33" spans="1:18" ht="18" customHeight="1">
      <c r="A33" s="1203" t="s">
        <v>1036</v>
      </c>
      <c r="B33" s="347" t="s">
        <v>1439</v>
      </c>
      <c r="C33" s="24" t="e">
        <f ca="1">IF(项目基本情况!B11="自然人","——",IF(D33="按租金收入计税",ROUND(C5*F33,2),IF(D33="按房产原值计税",ROUND(C29*F33*0.7,2),INDIRECT("'数据-取费表'!Aj"&amp;$G$1))))</f>
        <v>#N/A</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t="e">
        <f ca="1">IF(项目基本情况!B11="自然人","——",ROUND(F34*F35/10000,2))</f>
        <v>#N/A</v>
      </c>
      <c r="D34" s="370" t="s">
        <v>1444</v>
      </c>
      <c r="E34" s="347" t="s">
        <v>1445</v>
      </c>
      <c r="F34" s="371">
        <f>'数据-取费表'!B52</f>
        <v>20</v>
      </c>
      <c r="G34" s="1854"/>
      <c r="H34" s="745"/>
      <c r="I34" s="1863"/>
      <c r="J34" s="1864"/>
      <c r="K34" s="1866"/>
      <c r="L34" s="1867"/>
      <c r="M34" s="1867"/>
    </row>
    <row r="35" spans="1:18" ht="18" customHeight="1">
      <c r="A35" s="1355"/>
      <c r="B35" s="1353"/>
      <c r="C35" s="29"/>
      <c r="D35" s="373"/>
      <c r="E35" s="347" t="s">
        <v>1449</v>
      </c>
      <c r="F35" s="348" t="e">
        <f ca="1">INDIRECT("'数据-取费表'!r"&amp;$G$1)</f>
        <v>#N/A</v>
      </c>
      <c r="G35" s="1854"/>
      <c r="H35" s="745"/>
      <c r="I35" s="1863"/>
      <c r="J35" s="1864"/>
      <c r="K35" s="1865"/>
      <c r="L35" s="1862"/>
      <c r="M35" s="1862"/>
    </row>
    <row r="36" spans="1:18" ht="18" customHeight="1">
      <c r="A36" s="1354" t="s">
        <v>1039</v>
      </c>
      <c r="B36" s="347" t="s">
        <v>1451</v>
      </c>
      <c r="C36" s="24" t="e">
        <f ca="1">ROUND(C29*F36,1)</f>
        <v>#N/A</v>
      </c>
      <c r="D36" s="1801" t="s">
        <v>1484</v>
      </c>
      <c r="E36" s="347" t="s">
        <v>1424</v>
      </c>
      <c r="F36" s="374" t="e">
        <f ca="1">INDIRECT("'数据-取费表'!Ak"&amp;$G$1)</f>
        <v>#N/A</v>
      </c>
      <c r="G36" s="1854"/>
      <c r="H36" s="1862"/>
      <c r="I36" s="1863"/>
      <c r="J36" s="1864"/>
      <c r="K36" s="751"/>
      <c r="L36" s="1862"/>
      <c r="M36" s="1862"/>
    </row>
    <row r="37" spans="1:18" ht="18" customHeight="1">
      <c r="A37" s="1203" t="s">
        <v>1075</v>
      </c>
      <c r="B37" s="347" t="s">
        <v>1455</v>
      </c>
      <c r="C37" s="24" t="e">
        <f ca="1">ROUND(C13*F37,1)</f>
        <v>#N/A</v>
      </c>
      <c r="D37" s="1801" t="s">
        <v>1456</v>
      </c>
      <c r="E37" s="347" t="s">
        <v>1457</v>
      </c>
      <c r="F37" s="376" t="e">
        <f ca="1">INDIRECT("'数据-取费表'!Al"&amp;$G$1)</f>
        <v>#N/A</v>
      </c>
      <c r="G37" s="1854"/>
      <c r="H37" s="1862"/>
      <c r="I37" s="1863"/>
      <c r="J37" s="1864"/>
      <c r="K37" s="751"/>
      <c r="L37" s="1862"/>
      <c r="M37" s="1862"/>
    </row>
    <row r="38" spans="1:18" ht="18" customHeight="1" thickBot="1">
      <c r="A38" s="1341" t="s">
        <v>1394</v>
      </c>
      <c r="B38" s="1342" t="s">
        <v>1441</v>
      </c>
      <c r="C38" s="1343" t="e">
        <f ca="1">ROUND(C5*F38,1)</f>
        <v>#N/A</v>
      </c>
      <c r="D38" s="1344" t="s">
        <v>1461</v>
      </c>
      <c r="E38" s="1342" t="s">
        <v>1457</v>
      </c>
      <c r="F38" s="1338" t="e">
        <f ca="1">INDIRECT("'数据-取费表'!Am"&amp;$G$1)</f>
        <v>#N/A</v>
      </c>
      <c r="G38" s="1854"/>
      <c r="H38" s="1862"/>
      <c r="I38" s="1863"/>
      <c r="J38" s="1864"/>
      <c r="K38" s="1868"/>
      <c r="L38" s="1862"/>
      <c r="M38" s="1862"/>
    </row>
    <row r="39" spans="1:18" ht="24.6" customHeight="1" thickTop="1">
      <c r="A39" s="1331" t="s">
        <v>1031</v>
      </c>
      <c r="B39" s="1346" t="s">
        <v>1485</v>
      </c>
      <c r="C39" s="355" t="e">
        <f ca="1">C5-C30</f>
        <v>#N/A</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#N/A</v>
      </c>
      <c r="D40" s="370" t="s">
        <v>1471</v>
      </c>
      <c r="E40" s="347" t="s">
        <v>1472</v>
      </c>
      <c r="F40" s="357" t="e">
        <f ca="1">INDIRECT("'数据-取费表'!I"&amp;$G$1)</f>
        <v>#N/A</v>
      </c>
      <c r="G40" s="1854"/>
      <c r="H40" s="1842"/>
      <c r="I40" s="1863"/>
      <c r="J40" s="1864"/>
      <c r="K40" s="1868"/>
      <c r="L40" s="1842"/>
      <c r="M40" s="1842"/>
    </row>
    <row r="41" spans="1:18" ht="18" customHeight="1">
      <c r="A41" s="349"/>
      <c r="B41" s="350"/>
      <c r="C41" s="351"/>
      <c r="D41" s="378" t="s">
        <v>1488</v>
      </c>
      <c r="E41" s="347" t="s">
        <v>1476</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1479</v>
      </c>
      <c r="F42" s="357" t="e">
        <f ca="1">INDIRECT("'数据-取费表'!v"&amp;$G$1)</f>
        <v>#N/A</v>
      </c>
      <c r="G42" s="1854"/>
      <c r="H42" s="732"/>
      <c r="I42" s="1863"/>
      <c r="J42" s="1864"/>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#N/A</v>
      </c>
      <c r="D46" s="1875" t="str">
        <f>C2</f>
        <v>万元</v>
      </c>
      <c r="E46" s="1869"/>
      <c r="F46" s="1869"/>
      <c r="I46" s="1876" t="s">
        <v>1523</v>
      </c>
      <c r="J46" s="1877"/>
      <c r="K46" s="1878"/>
      <c r="L46" s="1879" t="e">
        <f ca="1">IF(M47="住宅",0,IF(L48&gt;J51,L60,J60))</f>
        <v>#N/A</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t="e">
        <f ca="1">INDIRECT("'数据-取费表'!d"&amp;$G$1)</f>
        <v>#N/A</v>
      </c>
      <c r="M47" s="1841" t="str">
        <f>IF(ISNUMBER(FIND("住宅",C1)),"住宅","非住宅")</f>
        <v>非住宅</v>
      </c>
      <c r="O47" s="1887" t="s">
        <v>1040</v>
      </c>
      <c r="P47" s="1888" t="s">
        <v>1530</v>
      </c>
      <c r="Q47" s="1889" t="e">
        <f ca="1">C40+J29</f>
        <v>#N/A</v>
      </c>
      <c r="R47" s="1889" t="s">
        <v>1531</v>
      </c>
    </row>
    <row r="48" spans="1:18" s="1845" customFormat="1" ht="28.5" thickBot="1">
      <c r="A48" s="1362" t="s">
        <v>1135</v>
      </c>
      <c r="B48" s="345" t="s">
        <v>1402</v>
      </c>
      <c r="C48" s="1820" t="e">
        <f ca="1">C49+C53+C55</f>
        <v>#N/A</v>
      </c>
      <c r="D48" s="1364"/>
      <c r="E48" s="1365"/>
      <c r="F48" s="1183"/>
      <c r="G48" s="792"/>
      <c r="H48" s="793"/>
      <c r="I48" s="1890" t="s">
        <v>1532</v>
      </c>
      <c r="J48" s="1891"/>
      <c r="K48" s="1892" t="s">
        <v>1533</v>
      </c>
      <c r="L48" s="1893" t="e">
        <f ca="1">INDIRECT("'数据-取费表'!f"&amp;$G$1)</f>
        <v>#N/A</v>
      </c>
      <c r="O48" s="1887" t="s">
        <v>1041</v>
      </c>
      <c r="P48" s="1888" t="s">
        <v>1534</v>
      </c>
      <c r="Q48" s="1889" t="e">
        <f ca="1">J60</f>
        <v>#N/A</v>
      </c>
      <c r="R48" s="1889" t="s">
        <v>1535</v>
      </c>
    </row>
    <row r="49" spans="1:18" s="1845" customFormat="1" ht="13.5" thickBot="1">
      <c r="A49" s="1196" t="s">
        <v>1136</v>
      </c>
      <c r="B49" s="1832" t="s">
        <v>1492</v>
      </c>
      <c r="C49" s="1366" t="e">
        <f ca="1">ROUND(F49*F51*F50*(1-F52)/10000,0)</f>
        <v>#N/A</v>
      </c>
      <c r="D49" s="1278" t="s">
        <v>3040</v>
      </c>
      <c r="E49" s="1833" t="s">
        <v>1493</v>
      </c>
      <c r="F49" s="1283"/>
      <c r="G49" s="1894"/>
      <c r="H49" s="793"/>
      <c r="I49" s="1890" t="s">
        <v>1536</v>
      </c>
      <c r="J49" s="1895"/>
      <c r="K49" s="1892" t="s">
        <v>1537</v>
      </c>
      <c r="L49" s="1896"/>
      <c r="O49" s="1897" t="s">
        <v>1042</v>
      </c>
      <c r="P49" s="1888" t="s">
        <v>1538</v>
      </c>
      <c r="Q49" s="1889" t="e">
        <f ca="1">C29</f>
        <v>#N/A</v>
      </c>
      <c r="R49" s="1889" t="s">
        <v>1531</v>
      </c>
    </row>
    <row r="50" spans="1:18" s="1845" customFormat="1" ht="13.5" thickBot="1">
      <c r="A50" s="1197"/>
      <c r="B50" s="1200"/>
      <c r="C50" s="1370"/>
      <c r="D50" s="1174"/>
      <c r="E50" s="1279" t="s">
        <v>1407</v>
      </c>
      <c r="F50" s="1280" t="e">
        <f ca="1">F7</f>
        <v>#N/A</v>
      </c>
      <c r="H50" s="793"/>
      <c r="I50" s="1890" t="s">
        <v>1539</v>
      </c>
      <c r="J50" s="1898">
        <f>SUMPRODUCT((I63:I65=J47)*(J62:L62=J48)*(J63:L65))</f>
        <v>0</v>
      </c>
      <c r="K50" s="1892" t="s">
        <v>1540</v>
      </c>
      <c r="L50" s="1896"/>
      <c r="M50" s="1899"/>
      <c r="O50" s="1897" t="s">
        <v>1043</v>
      </c>
      <c r="P50" s="1888" t="s">
        <v>1541</v>
      </c>
      <c r="Q50" s="1900" t="e">
        <f ca="1">J58</f>
        <v>#N/A</v>
      </c>
      <c r="R50" s="1889"/>
    </row>
    <row r="51" spans="1:18" s="1845" customFormat="1" ht="13.5" thickBot="1">
      <c r="A51" s="1198"/>
      <c r="B51" s="1200"/>
      <c r="C51" s="1201"/>
      <c r="D51" s="1174"/>
      <c r="E51" s="1202" t="s">
        <v>1408</v>
      </c>
      <c r="F51" s="348" t="e">
        <f ca="1">F8</f>
        <v>#N/A</v>
      </c>
      <c r="I51" s="1901" t="s">
        <v>1542</v>
      </c>
      <c r="J51" s="1902">
        <f>IF(J49="",J50,J49+J50-YEAR('数据-取费表'!B2))</f>
        <v>0</v>
      </c>
      <c r="K51" s="1903" t="s">
        <v>1543</v>
      </c>
      <c r="L51" s="1904" t="e">
        <f ca="1">ROUND(-PV(INDIRECT("'数据-取费表'!h"&amp;$G$1),L48,(C39-C13*C76),0),0)</f>
        <v>#N/A</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b">
        <f>IF(M47="住宅",J51,IF(D1="——",MIN(J51,L48),IF(D1="在建（套用方法）",MIN(J51,L48-'数据-取费表'!B24),IF(D1="土地（套用方法）",MIN(J51,L48-'数据-取费表'!B20)))))</f>
        <v>0</v>
      </c>
      <c r="K53" s="3187" t="s">
        <v>1550</v>
      </c>
      <c r="L53" s="3188"/>
      <c r="O53" s="1887" t="s">
        <v>1046</v>
      </c>
      <c r="P53" s="1888" t="s">
        <v>1551</v>
      </c>
      <c r="Q53" s="1889" t="e">
        <f ca="1">Q47+Q48</f>
        <v>#N/A</v>
      </c>
      <c r="R53" s="1889" t="s">
        <v>1047</v>
      </c>
    </row>
    <row r="54" spans="1:18" s="1845" customFormat="1" ht="13.5" thickBot="1">
      <c r="A54" s="1408"/>
      <c r="B54" s="1828" t="s">
        <v>1389</v>
      </c>
      <c r="C54" s="1180"/>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#N/A</v>
      </c>
      <c r="K55" s="1915" t="s">
        <v>1554</v>
      </c>
      <c r="L55" s="1916" t="s">
        <v>1555</v>
      </c>
      <c r="O55" s="1880" t="s">
        <v>1524</v>
      </c>
      <c r="P55" s="1881" t="s">
        <v>1525</v>
      </c>
      <c r="Q55" s="1882" t="s">
        <v>1526</v>
      </c>
      <c r="R55" s="1882" t="s">
        <v>1527</v>
      </c>
    </row>
    <row r="56" spans="1:18" s="1845" customFormat="1" ht="25.5" thickTop="1" thickBot="1">
      <c r="A56" s="1178">
        <v>2</v>
      </c>
      <c r="B56" s="1179" t="s">
        <v>1416</v>
      </c>
      <c r="C56" s="276" t="e">
        <f ca="1">C13</f>
        <v>#N/A</v>
      </c>
      <c r="D56" s="1917"/>
      <c r="E56" s="1918"/>
      <c r="F56" s="1910"/>
      <c r="I56" s="1919" t="s">
        <v>1556</v>
      </c>
      <c r="J56" s="1920"/>
      <c r="K56" s="1890" t="s">
        <v>1557</v>
      </c>
      <c r="L56" s="1893" t="e">
        <f ca="1">IF(L48&lt;J51,"——",L48-J53)</f>
        <v>#N/A</v>
      </c>
      <c r="O56" s="1887" t="s">
        <v>1040</v>
      </c>
      <c r="P56" s="1888" t="s">
        <v>1530</v>
      </c>
      <c r="Q56" s="1889" t="e">
        <f ca="1">C40+J29</f>
        <v>#N/A</v>
      </c>
      <c r="R56" s="1889" t="s">
        <v>1531</v>
      </c>
    </row>
    <row r="57" spans="1:18" s="1845" customFormat="1" ht="24.75" thickBot="1">
      <c r="A57" s="1921"/>
      <c r="B57" s="1171" t="s">
        <v>1480</v>
      </c>
      <c r="C57" s="282" t="e">
        <f ca="1">C29</f>
        <v>#N/A</v>
      </c>
      <c r="D57" s="1922"/>
      <c r="E57" s="1923"/>
      <c r="F57" s="1924"/>
      <c r="I57" s="1925" t="s">
        <v>1558</v>
      </c>
      <c r="J57" s="1926" t="e">
        <f ca="1">IF(OR(M47="住宅",J51&lt;L48,J56="是"),"——",J51-L48)</f>
        <v>#N/A</v>
      </c>
      <c r="K57" s="1890" t="s">
        <v>1559</v>
      </c>
      <c r="L57" s="1893" t="e">
        <f ca="1">IF(L48&lt;J51,"——",IF(L55="比较法",L49,IF(L55="基准地价",L50,L51)))</f>
        <v>#N/A</v>
      </c>
      <c r="O57" s="1887" t="s">
        <v>1041</v>
      </c>
      <c r="P57" s="1888" t="s">
        <v>1560</v>
      </c>
      <c r="Q57" s="1889" t="e">
        <f ca="1">L60</f>
        <v>#N/A</v>
      </c>
      <c r="R57" s="1889" t="s">
        <v>1561</v>
      </c>
    </row>
    <row r="58" spans="1:18" s="1845" customFormat="1" ht="24.75" thickBot="1">
      <c r="A58" s="360" t="s">
        <v>1030</v>
      </c>
      <c r="B58" s="1179" t="s">
        <v>1426</v>
      </c>
      <c r="C58" s="361" t="e">
        <f ca="1">ROUND(C59+C64+C65+C66,0)</f>
        <v>#N/A</v>
      </c>
      <c r="D58" s="1181" t="s">
        <v>1427</v>
      </c>
      <c r="E58" s="1182"/>
      <c r="F58" s="1183"/>
      <c r="I58" s="1925" t="s">
        <v>1562</v>
      </c>
      <c r="J58" s="1927" t="e">
        <f ca="1">IF(J55&lt;0.4,0.4,J55)</f>
        <v>#N/A</v>
      </c>
      <c r="K58" s="1903" t="s">
        <v>1563</v>
      </c>
      <c r="L58" s="1893" t="e">
        <f ca="1">ROUND(POWER(1+L52,L47-L48)*(POWER(1+L52,L48)-1)/(POWER(1+L52,L47)-1),4)</f>
        <v>#N/A</v>
      </c>
      <c r="O58" s="1897" t="s">
        <v>1042</v>
      </c>
      <c r="P58" s="1888" t="s">
        <v>1564</v>
      </c>
      <c r="Q58" s="1889">
        <f>IF(L55="比较法",L49,IF(L55="基准地价",L50,0))</f>
        <v>0</v>
      </c>
      <c r="R58" s="1889" t="s">
        <v>1531</v>
      </c>
    </row>
    <row r="59" spans="1:18" s="1845" customFormat="1" ht="24.75" thickBot="1">
      <c r="A59" s="1203" t="s">
        <v>1035</v>
      </c>
      <c r="B59" s="1171" t="s">
        <v>1431</v>
      </c>
      <c r="C59" s="24" t="e">
        <f ca="1">ROUND(IF(项目基本情况!B11="自然人",C48*F59,C60+C61+C62),1)</f>
        <v>#N/A</v>
      </c>
      <c r="D59" s="1184" t="s">
        <v>1432</v>
      </c>
      <c r="E59" s="1185" t="s">
        <v>1433</v>
      </c>
      <c r="F59" s="368" t="str">
        <f ca="1">IF(项目基本情况!B11="企业","",IF(INDIRECT("'数据-取费表'!c"&amp;$G$1)="住宅",5%,IF(F49*F50*F51/12/(1+'数据-取费表'!C42)&gt;20000,12%,7%)))</f>
        <v/>
      </c>
      <c r="I59" s="1925" t="s">
        <v>1565</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1566</v>
      </c>
      <c r="Q59" s="1900">
        <f>L52</f>
        <v>0</v>
      </c>
      <c r="R59" s="1889"/>
    </row>
    <row r="60" spans="1:18" s="1845" customFormat="1" ht="16.5" thickBot="1">
      <c r="A60" s="1203" t="s">
        <v>1034</v>
      </c>
      <c r="B60" s="1171" t="s">
        <v>1435</v>
      </c>
      <c r="C60" s="24" t="e">
        <f ca="1">IF(项目基本情况!B11="自然人","——",ROUND(C48*F60/(1+'数据-取费表'!C42),2))</f>
        <v>#N/A</v>
      </c>
      <c r="D60" s="1185" t="s">
        <v>1436</v>
      </c>
      <c r="E60" s="1171" t="s">
        <v>1424</v>
      </c>
      <c r="F60" s="377">
        <f t="shared" ref="F60:F66" si="0">F32</f>
        <v>6.2719999999999998E-2</v>
      </c>
      <c r="I60" s="1928" t="s">
        <v>1567</v>
      </c>
      <c r="J60" s="1929" t="e">
        <f ca="1">IF(OR(M47="住宅",J51&lt;L48,J56="是"),"0",ROUND(J59/(1+J52)^J53,0))</f>
        <v>#N/A</v>
      </c>
      <c r="K60" s="1930" t="s">
        <v>1568</v>
      </c>
      <c r="L60" s="1929" t="e">
        <f ca="1">IF(OR(M47="住宅",L48&lt;J51),0,ROUND(L57*(L58/L59-1),0))</f>
        <v>#N/A</v>
      </c>
      <c r="O60" s="1897" t="s">
        <v>1044</v>
      </c>
      <c r="P60" s="1888" t="s">
        <v>1569</v>
      </c>
      <c r="Q60" s="1889" t="e">
        <f ca="1">L58</f>
        <v>#N/A</v>
      </c>
      <c r="R60" s="1889" t="s">
        <v>1570</v>
      </c>
    </row>
    <row r="61" spans="1:18" s="1845" customFormat="1" ht="13.5" thickBot="1">
      <c r="A61" s="1203" t="s">
        <v>1494</v>
      </c>
      <c r="B61" s="1171" t="s">
        <v>1495</v>
      </c>
      <c r="C61" s="24" t="e">
        <f ca="1">IF(项目基本情况!B11="自然人","——",IF(D61="按租金收入计税",ROUND(C48*F61,2),IF(D61="按房产原值计税",ROUND(C57*F61*0.7,2),INDIRECT("'数据-取费表'!Aj"&amp;$G$1))))</f>
        <v>#N/A</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#N/A</v>
      </c>
      <c r="R61" s="1889" t="s">
        <v>1571</v>
      </c>
    </row>
    <row r="62" spans="1:18" s="1845" customFormat="1" ht="13.5" thickBot="1">
      <c r="A62" s="1203" t="s">
        <v>1497</v>
      </c>
      <c r="B62" s="1170" t="s">
        <v>1498</v>
      </c>
      <c r="C62" s="25" t="e">
        <f ca="1">IF(项目基本情况!B11="自然人","——",ROUND(F62*F63/10000,2))</f>
        <v>#N/A</v>
      </c>
      <c r="D62" s="1186" t="s">
        <v>1499</v>
      </c>
      <c r="E62" s="1171" t="s">
        <v>1500</v>
      </c>
      <c r="F62" s="371">
        <f t="shared" si="0"/>
        <v>20</v>
      </c>
      <c r="I62" s="1932" t="s">
        <v>1572</v>
      </c>
      <c r="J62" s="1933" t="s">
        <v>1573</v>
      </c>
      <c r="K62" s="1933" t="s">
        <v>1574</v>
      </c>
      <c r="L62" s="1933" t="s">
        <v>1575</v>
      </c>
      <c r="M62" s="1934" t="s">
        <v>1576</v>
      </c>
      <c r="O62" s="1887" t="s">
        <v>1046</v>
      </c>
      <c r="P62" s="1888" t="s">
        <v>1577</v>
      </c>
      <c r="Q62" s="1889" t="e">
        <f ca="1">Q56+Q57</f>
        <v>#N/A</v>
      </c>
      <c r="R62" s="1889" t="s">
        <v>1047</v>
      </c>
    </row>
    <row r="63" spans="1:18" s="1845" customFormat="1" ht="13.5" thickBot="1">
      <c r="A63" s="372"/>
      <c r="B63" s="1177"/>
      <c r="C63" s="29"/>
      <c r="D63" s="1187"/>
      <c r="E63" s="1171" t="s">
        <v>1501</v>
      </c>
      <c r="F63" s="348" t="e">
        <f t="shared" ca="1" si="0"/>
        <v>#N/A</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t="e">
        <f ca="1">ROUND(C57*F64,1)</f>
        <v>#N/A</v>
      </c>
      <c r="D64" s="1185" t="s">
        <v>1504</v>
      </c>
      <c r="E64" s="1171" t="s">
        <v>1496</v>
      </c>
      <c r="F64" s="374" t="e">
        <f t="shared" ca="1" si="0"/>
        <v>#N/A</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t="e">
        <f ca="1">ROUND(C56*F65,1)</f>
        <v>#N/A</v>
      </c>
      <c r="D65" s="1185" t="s">
        <v>1456</v>
      </c>
      <c r="E65" s="1171" t="s">
        <v>1457</v>
      </c>
      <c r="F65" s="376" t="e">
        <f t="shared" ca="1" si="0"/>
        <v>#N/A</v>
      </c>
      <c r="I65" s="1932" t="s">
        <v>1581</v>
      </c>
      <c r="J65" s="1933">
        <v>40</v>
      </c>
      <c r="K65" s="1933">
        <v>30</v>
      </c>
      <c r="L65" s="1933">
        <v>50</v>
      </c>
      <c r="M65" s="1935">
        <v>0.02</v>
      </c>
      <c r="O65" s="1887" t="s">
        <v>1040</v>
      </c>
      <c r="P65" s="1888" t="s">
        <v>1582</v>
      </c>
      <c r="Q65" s="1889" t="e">
        <f ca="1">C40+J29</f>
        <v>#N/A</v>
      </c>
      <c r="R65" s="1889" t="s">
        <v>1531</v>
      </c>
    </row>
    <row r="66" spans="1:18" s="1845" customFormat="1" ht="16.5" thickBot="1">
      <c r="A66" s="1203" t="s">
        <v>1506</v>
      </c>
      <c r="B66" s="1171" t="s">
        <v>1441</v>
      </c>
      <c r="C66" s="24" t="e">
        <f ca="1">ROUND(C48*F66,1)</f>
        <v>#N/A</v>
      </c>
      <c r="D66" s="1185" t="s">
        <v>1507</v>
      </c>
      <c r="E66" s="1171" t="s">
        <v>1424</v>
      </c>
      <c r="F66" s="357" t="e">
        <f t="shared" ca="1" si="0"/>
        <v>#N/A</v>
      </c>
      <c r="O66" s="1887" t="s">
        <v>1041</v>
      </c>
      <c r="P66" s="1888" t="s">
        <v>1560</v>
      </c>
      <c r="Q66" s="1889" t="e">
        <f ca="1">L60</f>
        <v>#N/A</v>
      </c>
      <c r="R66" s="1889" t="s">
        <v>1583</v>
      </c>
    </row>
    <row r="67" spans="1:18" s="1845" customFormat="1" ht="16.5" thickBot="1">
      <c r="A67" s="1178" t="s">
        <v>1031</v>
      </c>
      <c r="B67" s="1188" t="s">
        <v>1465</v>
      </c>
      <c r="C67" s="361" t="e">
        <f ca="1">C48-C58</f>
        <v>#N/A</v>
      </c>
      <c r="D67" s="1184" t="s">
        <v>1466</v>
      </c>
      <c r="E67" s="1189"/>
      <c r="F67" s="1190"/>
      <c r="O67" s="1897" t="s">
        <v>1042</v>
      </c>
      <c r="P67" s="1888" t="s">
        <v>1564</v>
      </c>
      <c r="Q67" s="1936" t="e">
        <f ca="1">L51</f>
        <v>#N/A</v>
      </c>
      <c r="R67" s="1889" t="s">
        <v>1584</v>
      </c>
    </row>
    <row r="68" spans="1:18" s="1845" customFormat="1" ht="16.5" thickBot="1">
      <c r="A68" s="1168" t="s">
        <v>1032</v>
      </c>
      <c r="B68" s="1169" t="s">
        <v>1487</v>
      </c>
      <c r="C68" s="346" t="e">
        <f ca="1">ROUND(C67*(1-((1+F70)/(1+F68))^F69)/(F68-F70),0)</f>
        <v>#N/A</v>
      </c>
      <c r="D68" s="1186" t="s">
        <v>1471</v>
      </c>
      <c r="E68" s="1171" t="s">
        <v>1472</v>
      </c>
      <c r="F68" s="357" t="e">
        <f ca="1">F40</f>
        <v>#N/A</v>
      </c>
      <c r="O68" s="1897" t="s">
        <v>1043</v>
      </c>
      <c r="P68" s="1937" t="s">
        <v>1585</v>
      </c>
      <c r="Q68" s="1889" t="e">
        <f ca="1">ROUND(Q69-Q70*Q71,0)</f>
        <v>#N/A</v>
      </c>
      <c r="R68" s="1889" t="s">
        <v>1051</v>
      </c>
    </row>
    <row r="69" spans="1:18" s="1845" customFormat="1" ht="13.5" thickBot="1">
      <c r="A69" s="1172"/>
      <c r="B69" s="1173"/>
      <c r="C69" s="351"/>
      <c r="D69" s="1191" t="s">
        <v>1475</v>
      </c>
      <c r="E69" s="1171" t="s">
        <v>1476</v>
      </c>
      <c r="F69" s="379" t="e">
        <f ca="1">F41</f>
        <v>#N/A</v>
      </c>
      <c r="O69" s="1897" t="s">
        <v>1048</v>
      </c>
      <c r="P69" s="1937" t="s">
        <v>1586</v>
      </c>
      <c r="Q69" s="1889" t="e">
        <f ca="1">C39</f>
        <v>#N/A</v>
      </c>
      <c r="R69" s="1889" t="s">
        <v>1531</v>
      </c>
    </row>
    <row r="70" spans="1:18" s="1845" customFormat="1" ht="13.5" thickBot="1">
      <c r="A70" s="1175"/>
      <c r="B70" s="1176"/>
      <c r="C70" s="355"/>
      <c r="D70" s="1187"/>
      <c r="E70" s="1171" t="s">
        <v>1479</v>
      </c>
      <c r="F70" s="1277"/>
      <c r="O70" s="1897" t="s">
        <v>1049</v>
      </c>
      <c r="P70" s="1937" t="s">
        <v>1587</v>
      </c>
      <c r="Q70" s="1889" t="e">
        <f ca="1">C13</f>
        <v>#N/A</v>
      </c>
      <c r="R70" s="1889" t="s">
        <v>1531</v>
      </c>
    </row>
    <row r="71" spans="1:18" s="1845" customFormat="1" ht="13.5" thickBot="1">
      <c r="A71" s="1192" t="s">
        <v>1033</v>
      </c>
      <c r="B71" s="1193" t="s">
        <v>1489</v>
      </c>
      <c r="C71" s="382" t="e">
        <f ca="1">ROUND(C68*10000/F71,0)</f>
        <v>#N/A</v>
      </c>
      <c r="D71" s="1194" t="s">
        <v>1490</v>
      </c>
      <c r="E71" s="1195" t="s">
        <v>1491</v>
      </c>
      <c r="F71" s="385" t="e">
        <f ca="1">F43</f>
        <v>#N/A</v>
      </c>
      <c r="O71" s="1897" t="s">
        <v>1050</v>
      </c>
      <c r="P71" s="1937" t="s">
        <v>1588</v>
      </c>
      <c r="Q71" s="1900" t="e">
        <f ca="1">C76</f>
        <v>#N/A</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#N/A</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#N/A</v>
      </c>
      <c r="R74" s="1889" t="s">
        <v>1571</v>
      </c>
    </row>
    <row r="75" spans="1:18" ht="13.5" thickBot="1">
      <c r="A75" s="1845"/>
      <c r="B75" s="386" t="s">
        <v>1508</v>
      </c>
      <c r="C75" s="387" t="e">
        <f ca="1">ROUND(C13*C76,0)</f>
        <v>#N/A</v>
      </c>
      <c r="D75" s="1845"/>
      <c r="E75" s="1845"/>
      <c r="F75" s="1845"/>
      <c r="K75" s="1871"/>
      <c r="L75" s="1845"/>
      <c r="O75" s="1887" t="s">
        <v>1046</v>
      </c>
      <c r="P75" s="1888" t="s">
        <v>1551</v>
      </c>
      <c r="Q75" s="1889" t="e">
        <f ca="1">Q65+Q66</f>
        <v>#N/A</v>
      </c>
      <c r="R75" s="1889" t="s">
        <v>1047</v>
      </c>
    </row>
    <row r="76" spans="1:18">
      <c r="B76" s="388" t="s">
        <v>1509</v>
      </c>
      <c r="C76" s="389" t="e">
        <f ca="1">INDIRECT("'数据-取费表'!j"&amp;$G$1)</f>
        <v>#N/A</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#N/A</v>
      </c>
      <c r="C2" s="1848" t="s">
        <v>1593</v>
      </c>
      <c r="D2" s="1941" t="e">
        <f ca="1">C40+J29+L46</f>
        <v>#N/A</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t="e">
        <f ca="1">C6+C10+C12</f>
        <v>#N/A</v>
      </c>
      <c r="D5" s="1825" t="s">
        <v>1603</v>
      </c>
      <c r="E5" s="1295"/>
      <c r="F5" s="1296"/>
      <c r="G5" s="1854"/>
      <c r="H5" s="344">
        <v>1</v>
      </c>
      <c r="I5" s="345" t="s">
        <v>1602</v>
      </c>
      <c r="J5" s="1294" t="e">
        <f ca="1">J6+J10+J12</f>
        <v>#N/A</v>
      </c>
      <c r="K5" s="1825" t="s">
        <v>1603</v>
      </c>
      <c r="L5" s="1295"/>
      <c r="M5" s="1296"/>
    </row>
    <row r="6" spans="1:37" ht="18" customHeight="1">
      <c r="A6" s="1293" t="s">
        <v>1035</v>
      </c>
      <c r="B6" s="3189" t="s">
        <v>1404</v>
      </c>
      <c r="C6" s="1298" t="e">
        <f ca="1">ROUND(F6*F8*F7*(1-F9),0)</f>
        <v>#N/A</v>
      </c>
      <c r="D6" s="164" t="s">
        <v>3032</v>
      </c>
      <c r="E6" s="347" t="s">
        <v>1406</v>
      </c>
      <c r="F6" s="348" t="e">
        <f ca="1">INDIRECT("'数据-取费表'!u"&amp;$G$1)</f>
        <v>#N/A</v>
      </c>
      <c r="G6" s="1854"/>
      <c r="H6" s="1293" t="s">
        <v>1035</v>
      </c>
      <c r="I6" s="3189" t="s">
        <v>1404</v>
      </c>
      <c r="J6" s="346" t="e">
        <f ca="1">ROUND(M6*M8*M7*(1-M9),0)</f>
        <v>#N/A</v>
      </c>
      <c r="K6" s="1837" t="s">
        <v>3035</v>
      </c>
      <c r="L6" s="347" t="s">
        <v>1406</v>
      </c>
      <c r="M6" s="348" t="e">
        <f ca="1">INDIRECT("'数据-取费表'!z"&amp;$G$1)</f>
        <v>#N/A</v>
      </c>
    </row>
    <row r="7" spans="1:37" ht="18" customHeight="1">
      <c r="A7" s="1297"/>
      <c r="B7" s="3190"/>
      <c r="C7" s="1299"/>
      <c r="D7" s="352"/>
      <c r="E7" s="1300" t="s">
        <v>1407</v>
      </c>
      <c r="F7" s="348" t="e">
        <f ca="1">IF(INDIRECT("'数据-取费表'!ah"&amp;$G$1)="",INDIRECT("'数据-取费表'!k"&amp;$G$1),INDIRECT("'数据-取费表'!ah"&amp;$G$1))</f>
        <v>#N/A</v>
      </c>
      <c r="G7" s="1854"/>
      <c r="H7" s="349"/>
      <c r="I7" s="3190"/>
      <c r="J7" s="351"/>
      <c r="K7" s="352"/>
      <c r="L7" s="347" t="s">
        <v>1407</v>
      </c>
      <c r="M7" s="348" t="e">
        <f ca="1">F7</f>
        <v>#N/A</v>
      </c>
    </row>
    <row r="8" spans="1:37" ht="18" customHeight="1">
      <c r="A8" s="349"/>
      <c r="B8" s="3190"/>
      <c r="C8" s="351"/>
      <c r="D8" s="352"/>
      <c r="E8" s="347" t="s">
        <v>1408</v>
      </c>
      <c r="F8" s="348" t="e">
        <f ca="1">INDIRECT("'数据-取费表'!ai"&amp;$G$1)</f>
        <v>#N/A</v>
      </c>
      <c r="G8" s="1854"/>
      <c r="H8" s="349"/>
      <c r="I8" s="3190"/>
      <c r="J8" s="351"/>
      <c r="K8" s="352"/>
      <c r="L8" s="347" t="s">
        <v>1408</v>
      </c>
      <c r="M8" s="348" t="e">
        <f ca="1">INDIRECT("'数据-取费表'!ai"&amp;$G$1)</f>
        <v>#N/A</v>
      </c>
    </row>
    <row r="9" spans="1:37" ht="18" customHeight="1">
      <c r="A9" s="349"/>
      <c r="B9" s="3191"/>
      <c r="C9" s="351"/>
      <c r="D9" s="352"/>
      <c r="E9" s="347" t="s">
        <v>1409</v>
      </c>
      <c r="F9" s="357" t="e">
        <f ca="1">INDIRECT("'数据-取费表'!w"&amp;$G$1)</f>
        <v>#N/A</v>
      </c>
      <c r="G9" s="1854"/>
      <c r="H9" s="349"/>
      <c r="I9" s="3191"/>
      <c r="J9" s="351"/>
      <c r="K9" s="352"/>
      <c r="L9" s="358" t="s">
        <v>1409</v>
      </c>
      <c r="M9" s="359" t="e">
        <f ca="1">INDIRECT("'数据-取费表'!ab"&amp;$G$1)</f>
        <v>#N/A</v>
      </c>
    </row>
    <row r="10" spans="1:37" ht="18" customHeight="1">
      <c r="A10" s="1293" t="s">
        <v>1039</v>
      </c>
      <c r="B10" s="1826" t="s">
        <v>1410</v>
      </c>
      <c r="C10" s="361">
        <f ca="1">ROUND(IF(F10="押一",F6*F8*F7/12*F11,IF(F10="押二",F6*F8*F7/12*2*F11,IF(F10="押三",F6*F8*F7/12*3*F11,C11*F11))),0)</f>
        <v>0</v>
      </c>
      <c r="D10" s="1827" t="s">
        <v>3033</v>
      </c>
      <c r="E10" s="358" t="s">
        <v>1412</v>
      </c>
      <c r="F10" s="1368"/>
      <c r="G10" s="1854"/>
      <c r="H10" s="1293" t="s">
        <v>1039</v>
      </c>
      <c r="I10" s="1826" t="s">
        <v>1410</v>
      </c>
      <c r="J10" s="346">
        <f ca="1">ROUND(IF(M10="押一",M6*M8*M7/12*M11,IF(M10="押二",M6*M8*M7/12*2*M11,IF(M10="押三",M6*M8*M7/12*3*M11,J11*M11))),0)</f>
        <v>0</v>
      </c>
      <c r="K10" s="1838" t="s">
        <v>3034</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t="e">
        <f ca="1">ROUND(C29*F13,0)</f>
        <v>#N/A</v>
      </c>
      <c r="D13" s="1333" t="s">
        <v>1417</v>
      </c>
      <c r="E13" s="1333" t="s">
        <v>1418</v>
      </c>
      <c r="F13" s="1334" t="e">
        <f ca="1">INDIRECT("'数据-取费表'!y"&amp;$G$1)</f>
        <v>#N/A</v>
      </c>
      <c r="G13" s="1854"/>
      <c r="H13" s="1331">
        <v>2</v>
      </c>
      <c r="I13" s="1332" t="s">
        <v>1416</v>
      </c>
      <c r="J13" s="1292" t="e">
        <f ca="1">ROUND(J14*J15,0)</f>
        <v>#N/A</v>
      </c>
      <c r="K13" s="1339" t="s">
        <v>1417</v>
      </c>
      <c r="L13" s="1855"/>
      <c r="M13" s="1856"/>
    </row>
    <row r="14" spans="1:37" ht="18" customHeight="1">
      <c r="A14" s="1203" t="s">
        <v>1034</v>
      </c>
      <c r="B14" s="347" t="s">
        <v>1419</v>
      </c>
      <c r="C14" s="363" t="e">
        <f ca="1">ROUND(INDIRECT("'数据-取费表'!l"&amp;$G$1)*F43+'数据-取费表'!L14*INDIRECT("'数据-取费表'!S"&amp;$G$1),0)</f>
        <v>#N/A</v>
      </c>
      <c r="D14" s="1803" t="s">
        <v>1420</v>
      </c>
      <c r="E14" s="1797"/>
      <c r="F14" s="364"/>
      <c r="G14" s="1854"/>
      <c r="H14" s="1203" t="s">
        <v>1035</v>
      </c>
      <c r="I14" s="347" t="s">
        <v>1421</v>
      </c>
      <c r="J14" s="24" t="e">
        <f ca="1">C29</f>
        <v>#N/A</v>
      </c>
      <c r="K14" s="15"/>
      <c r="L14" s="982"/>
      <c r="M14" s="983"/>
    </row>
    <row r="15" spans="1:37" s="1861" customFormat="1" ht="18" customHeight="1" thickBot="1">
      <c r="A15" s="1203" t="s">
        <v>1036</v>
      </c>
      <c r="B15" s="347" t="s">
        <v>1422</v>
      </c>
      <c r="C15" s="24" t="e">
        <f ca="1">ROUND(C14*F15,0)</f>
        <v>#N/A</v>
      </c>
      <c r="D15" s="365" t="s">
        <v>1423</v>
      </c>
      <c r="E15" s="365" t="s">
        <v>1424</v>
      </c>
      <c r="F15" s="366">
        <f>'数据-取费表'!B33</f>
        <v>0.05</v>
      </c>
      <c r="G15" s="1857"/>
      <c r="H15" s="1341" t="s">
        <v>1039</v>
      </c>
      <c r="I15" s="1342" t="s">
        <v>1418</v>
      </c>
      <c r="J15" s="1351" t="e">
        <f ca="1">INDIRECT("'数据-取费表'!ad"&amp;$G$1)</f>
        <v>#N/A</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t="e">
        <f ca="1">ROUND(INDIRECT("'数据-取费表'!l"&amp;$G$1)*F43*F16,0)</f>
        <v>#N/A</v>
      </c>
      <c r="D16" s="347" t="s">
        <v>1423</v>
      </c>
      <c r="E16" s="347" t="s">
        <v>1424</v>
      </c>
      <c r="F16" s="367" t="e">
        <f ca="1">IF(INDIRECT("'数据-取费表'!c"&amp;$G$1)="住宅",'数据-取费表'!B34,0)</f>
        <v>#N/A</v>
      </c>
      <c r="G16" s="1854"/>
      <c r="H16" s="1331" t="s">
        <v>1030</v>
      </c>
      <c r="I16" s="1332" t="s">
        <v>1426</v>
      </c>
      <c r="J16" s="355" t="e">
        <f ca="1">ROUND(J17+J22+J23+J24,0)</f>
        <v>#N/A</v>
      </c>
      <c r="K16" s="1339" t="s">
        <v>1427</v>
      </c>
      <c r="L16" s="1340"/>
      <c r="M16" s="1296"/>
    </row>
    <row r="17" spans="1:37" s="1861" customFormat="1" ht="18" customHeight="1">
      <c r="A17" s="1203" t="s">
        <v>1391</v>
      </c>
      <c r="B17" s="347" t="s">
        <v>1428</v>
      </c>
      <c r="C17" s="24" t="e">
        <f ca="1">ROUND(F17*(F43+INDIRECT("'数据-取费表'!S"&amp;$G$1)),0)</f>
        <v>#N/A</v>
      </c>
      <c r="D17" s="347" t="s">
        <v>1429</v>
      </c>
      <c r="E17" s="347" t="s">
        <v>1430</v>
      </c>
      <c r="F17" s="26">
        <f>'数据-取费表'!B35</f>
        <v>200</v>
      </c>
      <c r="G17" s="1857"/>
      <c r="H17" s="1203" t="s">
        <v>1035</v>
      </c>
      <c r="I17" s="347" t="s">
        <v>1431</v>
      </c>
      <c r="J17" s="24" t="e">
        <f ca="1">ROUND(IF(项目基本情况!B11="自然人",J5*M17,J18+J19+J20),0)</f>
        <v>#N/A</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t="e">
        <f ca="1">ROUND(C14*F18,0)</f>
        <v>#N/A</v>
      </c>
      <c r="D18" s="347" t="s">
        <v>1423</v>
      </c>
      <c r="E18" s="347" t="s">
        <v>1424</v>
      </c>
      <c r="F18" s="367">
        <f>'数据-取费表'!B36</f>
        <v>1.4999999999999999E-2</v>
      </c>
      <c r="G18" s="1857"/>
      <c r="H18" s="1203" t="s">
        <v>1034</v>
      </c>
      <c r="I18" s="347" t="s">
        <v>1435</v>
      </c>
      <c r="J18" s="24" t="e">
        <f ca="1">ROUND(J5*M18/(1+'数据-取费表'!C42),0)</f>
        <v>#N/A</v>
      </c>
      <c r="K18" s="1801" t="s">
        <v>1436</v>
      </c>
      <c r="L18" s="347" t="s">
        <v>1424</v>
      </c>
      <c r="M18" s="367">
        <f>'数据-取费表'!B41</f>
        <v>6.2719999999999998E-2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t="e">
        <f ca="1">SUM(C14:C18)</f>
        <v>#N/A</v>
      </c>
      <c r="D19" s="139" t="s">
        <v>1438</v>
      </c>
      <c r="E19" s="1821"/>
      <c r="F19" s="26"/>
      <c r="G19" s="1854"/>
      <c r="H19" s="1203" t="s">
        <v>1036</v>
      </c>
      <c r="I19" s="347" t="s">
        <v>1439</v>
      </c>
      <c r="J19" s="24" t="e">
        <f ca="1">IF(K19="按租金收入计税",ROUND(J5*M19,0),ROUND(C29*M19*0.7,0))</f>
        <v>#N/A</v>
      </c>
      <c r="K19" s="1831" t="s">
        <v>1440</v>
      </c>
      <c r="L19" s="347" t="s">
        <v>1424</v>
      </c>
      <c r="M19" s="367">
        <f>IF(K19="按租金收入计税",'数据-取费表'!B51,'数据-取费表'!B50)</f>
        <v>1.2E-2</v>
      </c>
    </row>
    <row r="20" spans="1:37" s="1861" customFormat="1" ht="18" customHeight="1">
      <c r="A20" s="1203" t="s">
        <v>1039</v>
      </c>
      <c r="B20" s="347" t="s">
        <v>1441</v>
      </c>
      <c r="C20" s="24" t="e">
        <f ca="1">ROUND(C19*F20,0)</f>
        <v>#N/A</v>
      </c>
      <c r="D20" s="369" t="s">
        <v>1442</v>
      </c>
      <c r="E20" s="347" t="s">
        <v>1424</v>
      </c>
      <c r="F20" s="367">
        <f>'数据-取费表'!B37</f>
        <v>0.02</v>
      </c>
      <c r="G20" s="1857"/>
      <c r="H20" s="1203" t="s">
        <v>1390</v>
      </c>
      <c r="I20" s="164" t="s">
        <v>1443</v>
      </c>
      <c r="J20" s="25" t="e">
        <f ca="1">ROUND(M20*M21,0)</f>
        <v>#N/A</v>
      </c>
      <c r="K20" s="370" t="s">
        <v>1444</v>
      </c>
      <c r="L20" s="347" t="s">
        <v>1445</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0.03</v>
      </c>
      <c r="G21" s="1857"/>
      <c r="H21" s="372"/>
      <c r="I21" s="356"/>
      <c r="J21" s="29"/>
      <c r="K21" s="373"/>
      <c r="L21" s="347" t="s">
        <v>1449</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39" t="str">
        <f>IF(F23&lt;=1,"单利计息。","复利计息。")&amp;"建造成本、管理费用、销售费用产生的利息。"</f>
        <v>复利计息。建造成本、管理费用、销售费用产生的利息。</v>
      </c>
      <c r="E22" s="1821"/>
      <c r="F22" s="26"/>
      <c r="G22" s="1854"/>
      <c r="H22" s="1203" t="s">
        <v>1039</v>
      </c>
      <c r="I22" s="347" t="s">
        <v>1451</v>
      </c>
      <c r="J22" s="24" t="e">
        <f ca="1">ROUND(J14*M22,0)</f>
        <v>#N/A</v>
      </c>
      <c r="K22" s="1801" t="s">
        <v>1452</v>
      </c>
      <c r="L22" s="347" t="s">
        <v>1424</v>
      </c>
      <c r="M22" s="374" t="e">
        <f ca="1">INDIRECT("'数据-取费表'!Ak"&amp;$G$1)</f>
        <v>#N/A</v>
      </c>
    </row>
    <row r="23" spans="1:37" s="1861" customFormat="1" ht="18" customHeight="1">
      <c r="A23" s="1203"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t="e">
        <f ca="1">ROUND(J13*M23,0)</f>
        <v>#N/A</v>
      </c>
      <c r="K23" s="1801" t="s">
        <v>1456</v>
      </c>
      <c r="L23" s="347" t="s">
        <v>1457</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t="e">
        <f ca="1">ROUND(J5*M24,0)</f>
        <v>#N/A</v>
      </c>
      <c r="K24" s="1344" t="s">
        <v>1461</v>
      </c>
      <c r="L24" s="1342" t="s">
        <v>1457</v>
      </c>
      <c r="M24" s="1338"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39" t="s">
        <v>1464</v>
      </c>
      <c r="E25" s="1821"/>
      <c r="F25" s="26"/>
      <c r="G25" s="1854"/>
      <c r="H25" s="1331" t="s">
        <v>1031</v>
      </c>
      <c r="I25" s="1346" t="s">
        <v>1465</v>
      </c>
      <c r="J25" s="355" t="e">
        <f ca="1">J5-J16</f>
        <v>#N/A</v>
      </c>
      <c r="K25" s="1347" t="s">
        <v>1466</v>
      </c>
      <c r="L25" s="1348"/>
      <c r="M25" s="1349"/>
    </row>
    <row r="26" spans="1:37" ht="18" customHeight="1">
      <c r="A26" s="1203" t="s">
        <v>1034</v>
      </c>
      <c r="B26" s="347" t="s">
        <v>1467</v>
      </c>
      <c r="C26" s="24" t="e">
        <f ca="1">ROUND((C19+C20)*F26,0)</f>
        <v>#N/A</v>
      </c>
      <c r="D26" s="369" t="s">
        <v>1468</v>
      </c>
      <c r="E26" s="358" t="s">
        <v>1469</v>
      </c>
      <c r="F26" s="357" t="e">
        <f ca="1">INDIRECT("'数据-取费表'!q"&amp;$G$1)</f>
        <v>#N/A</v>
      </c>
      <c r="G26" s="1854"/>
      <c r="H26" s="344" t="s">
        <v>1032</v>
      </c>
      <c r="I26" s="345" t="s">
        <v>1470</v>
      </c>
      <c r="J26" s="346" t="e">
        <f ca="1">IF(J5&lt;&gt;0,ROUND(J25*(1-((1+M28)/(1+M26))^M27)/(M26-M28),0),0)</f>
        <v>#N/A</v>
      </c>
      <c r="K26" s="370" t="s">
        <v>1471</v>
      </c>
      <c r="L26" s="347" t="s">
        <v>1472</v>
      </c>
      <c r="M26" s="357" t="e">
        <f ca="1">INDIRECT("'数据-取费表'!I"&amp;$G$1)</f>
        <v>#N/A</v>
      </c>
    </row>
    <row r="27" spans="1:37" ht="18" customHeight="1">
      <c r="A27" s="1203" t="s">
        <v>1036</v>
      </c>
      <c r="B27" s="347" t="s">
        <v>1473</v>
      </c>
      <c r="C27" s="24" t="e">
        <f ca="1">ROUND(F21*F26,4)</f>
        <v>#N/A</v>
      </c>
      <c r="D27" s="369" t="s">
        <v>1474</v>
      </c>
      <c r="E27" s="365"/>
      <c r="F27" s="366"/>
      <c r="G27" s="1854"/>
      <c r="H27" s="349"/>
      <c r="I27" s="350"/>
      <c r="J27" s="351"/>
      <c r="K27" s="378" t="s">
        <v>1475</v>
      </c>
      <c r="L27" s="347" t="s">
        <v>1476</v>
      </c>
      <c r="M27" s="379" t="e">
        <f ca="1">INDIRECT("'数据-取费表'!ag"&amp;$G$1)</f>
        <v>#N/A</v>
      </c>
    </row>
    <row r="28" spans="1:37" s="1861" customFormat="1" ht="18" customHeight="1">
      <c r="A28" s="1203" t="s">
        <v>1037</v>
      </c>
      <c r="B28" s="347" t="s">
        <v>1477</v>
      </c>
      <c r="C28" s="24">
        <f>ROUND(F28/(1+'数据-取费表'!C42),4)</f>
        <v>5.9400000000000001E-2</v>
      </c>
      <c r="D28" s="369" t="s">
        <v>1478</v>
      </c>
      <c r="E28" s="347" t="s">
        <v>1424</v>
      </c>
      <c r="F28" s="367">
        <f>'数据-取费表'!B41</f>
        <v>6.2719999999999998E-2</v>
      </c>
      <c r="G28" s="1857"/>
      <c r="H28" s="353"/>
      <c r="I28" s="354"/>
      <c r="J28" s="355"/>
      <c r="K28" s="373"/>
      <c r="L28" s="347" t="s">
        <v>1479</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t="e">
        <f ca="1">ROUND((C19+C20+C23+C26)/(1-F21-C24-C27-C28),0)</f>
        <v>#N/A</v>
      </c>
      <c r="D29" s="1344"/>
      <c r="E29" s="1342"/>
      <c r="F29" s="1345"/>
      <c r="G29" s="1857"/>
      <c r="H29" s="380" t="s">
        <v>1033</v>
      </c>
      <c r="I29" s="381" t="s">
        <v>1481</v>
      </c>
      <c r="J29" s="382" t="e">
        <f ca="1">ROUND(J26/(1+F40)^F41,0)</f>
        <v>#N/A</v>
      </c>
      <c r="K29" s="383" t="s">
        <v>1482</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t="e">
        <f ca="1">ROUND(C31+C36+C37+C38,0)</f>
        <v>#N/A</v>
      </c>
      <c r="D30" s="1339" t="s">
        <v>1427</v>
      </c>
      <c r="E30" s="1340"/>
      <c r="F30" s="1296"/>
      <c r="G30" s="1854"/>
      <c r="H30" s="745"/>
      <c r="I30" s="746"/>
      <c r="J30" s="747"/>
      <c r="K30" s="748"/>
      <c r="L30" s="749"/>
      <c r="M30" s="750"/>
    </row>
    <row r="31" spans="1:37" ht="18" customHeight="1">
      <c r="A31" s="1203" t="s">
        <v>1035</v>
      </c>
      <c r="B31" s="347" t="s">
        <v>1431</v>
      </c>
      <c r="C31" s="24" t="e">
        <f ca="1">ROUND(IF(项目基本情况!B11="自然人",C5*F31,C32+C33+C34),0)</f>
        <v>#N/A</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t="e">
        <f ca="1">IF(项目基本情况!B11="自然人","——",ROUND(C5*F32/(1+'数据-取费表'!C42),0))</f>
        <v>#N/A</v>
      </c>
      <c r="D32" s="1801" t="s">
        <v>1436</v>
      </c>
      <c r="E32" s="347" t="s">
        <v>1424</v>
      </c>
      <c r="F32" s="377">
        <f>'数据-取费表'!B41</f>
        <v>6.2719999999999998E-2</v>
      </c>
      <c r="G32" s="1854"/>
      <c r="H32" s="745"/>
      <c r="I32" s="746"/>
      <c r="J32" s="747"/>
      <c r="K32" s="748"/>
      <c r="L32" s="749"/>
      <c r="M32" s="750"/>
    </row>
    <row r="33" spans="1:18" ht="18" customHeight="1">
      <c r="A33" s="1203" t="s">
        <v>1036</v>
      </c>
      <c r="B33" s="347" t="s">
        <v>1439</v>
      </c>
      <c r="C33" s="24" t="e">
        <f ca="1">IF(项目基本情况!B11="自然人","——",IF(D33="按租金收入计税",ROUND(C5*F33,0),IF(D33="按房产原值计税",ROUND(C29*F33*0.7,0),INDIRECT("'数据-取费表'!Aj"&amp;$G$1))))</f>
        <v>#N/A</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t="e">
        <f ca="1">IF(项目基本情况!B11="自然人","——",ROUND(F34*F35,))</f>
        <v>#N/A</v>
      </c>
      <c r="D34" s="370" t="s">
        <v>1444</v>
      </c>
      <c r="E34" s="347" t="s">
        <v>1445</v>
      </c>
      <c r="F34" s="371">
        <f>'数据-取费表'!B52</f>
        <v>20</v>
      </c>
      <c r="G34" s="1854"/>
      <c r="H34" s="745"/>
      <c r="I34" s="1863"/>
      <c r="J34" s="1864"/>
      <c r="K34" s="1866"/>
      <c r="L34" s="1867"/>
      <c r="M34" s="1867"/>
    </row>
    <row r="35" spans="1:18" ht="18" customHeight="1">
      <c r="A35" s="1355"/>
      <c r="B35" s="1353"/>
      <c r="C35" s="29"/>
      <c r="D35" s="373"/>
      <c r="E35" s="347" t="s">
        <v>1449</v>
      </c>
      <c r="F35" s="348" t="e">
        <f ca="1">INDIRECT("'数据-取费表'!r"&amp;$G$1)</f>
        <v>#N/A</v>
      </c>
      <c r="G35" s="1854"/>
      <c r="H35" s="745"/>
      <c r="I35" s="1863"/>
      <c r="J35" s="1864"/>
      <c r="K35" s="1865"/>
      <c r="L35" s="1862"/>
      <c r="M35" s="1862"/>
    </row>
    <row r="36" spans="1:18" ht="18" customHeight="1">
      <c r="A36" s="1354" t="s">
        <v>1039</v>
      </c>
      <c r="B36" s="347" t="s">
        <v>1451</v>
      </c>
      <c r="C36" s="24" t="e">
        <f ca="1">ROUND(C29*F36,0)</f>
        <v>#N/A</v>
      </c>
      <c r="D36" s="1801" t="s">
        <v>1484</v>
      </c>
      <c r="E36" s="347" t="s">
        <v>1424</v>
      </c>
      <c r="F36" s="374" t="e">
        <f ca="1">INDIRECT("'数据-取费表'!Ak"&amp;$G$1)</f>
        <v>#N/A</v>
      </c>
      <c r="G36" s="1854"/>
      <c r="H36" s="1862"/>
      <c r="I36" s="1863"/>
      <c r="J36" s="1864"/>
      <c r="K36" s="751"/>
      <c r="L36" s="1862"/>
      <c r="M36" s="1862"/>
    </row>
    <row r="37" spans="1:18" ht="18" customHeight="1">
      <c r="A37" s="1203" t="s">
        <v>1075</v>
      </c>
      <c r="B37" s="347" t="s">
        <v>1455</v>
      </c>
      <c r="C37" s="24" t="e">
        <f ca="1">ROUND(C13*F37,0)</f>
        <v>#N/A</v>
      </c>
      <c r="D37" s="1801" t="s">
        <v>1456</v>
      </c>
      <c r="E37" s="347" t="s">
        <v>1457</v>
      </c>
      <c r="F37" s="376" t="e">
        <f ca="1">INDIRECT("'数据-取费表'!Al"&amp;$G$1)</f>
        <v>#N/A</v>
      </c>
      <c r="G37" s="1854"/>
      <c r="H37" s="1862"/>
      <c r="I37" s="1863"/>
      <c r="J37" s="1864"/>
      <c r="K37" s="751"/>
      <c r="L37" s="1862"/>
      <c r="M37" s="1862"/>
    </row>
    <row r="38" spans="1:18" ht="18" customHeight="1" thickBot="1">
      <c r="A38" s="1341" t="s">
        <v>1394</v>
      </c>
      <c r="B38" s="1342" t="s">
        <v>1441</v>
      </c>
      <c r="C38" s="1343" t="e">
        <f ca="1">ROUND(C5*F38,1)</f>
        <v>#N/A</v>
      </c>
      <c r="D38" s="1344" t="s">
        <v>1461</v>
      </c>
      <c r="E38" s="1342" t="s">
        <v>1457</v>
      </c>
      <c r="F38" s="1338" t="e">
        <f ca="1">INDIRECT("'数据-取费表'!Am"&amp;$G$1)</f>
        <v>#N/A</v>
      </c>
      <c r="G38" s="1854"/>
      <c r="H38" s="1862"/>
      <c r="I38" s="1863"/>
      <c r="J38" s="1864"/>
      <c r="K38" s="1868"/>
      <c r="L38" s="1862"/>
      <c r="M38" s="1862"/>
    </row>
    <row r="39" spans="1:18" ht="24.6" customHeight="1" thickTop="1">
      <c r="A39" s="1331" t="s">
        <v>1031</v>
      </c>
      <c r="B39" s="1346" t="s">
        <v>1485</v>
      </c>
      <c r="C39" s="355" t="e">
        <f ca="1">C5-C30</f>
        <v>#N/A</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#N/A</v>
      </c>
      <c r="D40" s="370" t="s">
        <v>1471</v>
      </c>
      <c r="E40" s="347" t="s">
        <v>1472</v>
      </c>
      <c r="F40" s="357" t="e">
        <f ca="1">INDIRECT("'数据-取费表'!I"&amp;$G$1)</f>
        <v>#N/A</v>
      </c>
      <c r="G40" s="1854"/>
      <c r="H40" s="1842"/>
      <c r="I40" s="1863"/>
      <c r="J40" s="1864"/>
      <c r="K40" s="1868"/>
      <c r="L40" s="1842"/>
      <c r="M40" s="1842"/>
    </row>
    <row r="41" spans="1:18" ht="18" customHeight="1">
      <c r="A41" s="349"/>
      <c r="B41" s="350"/>
      <c r="C41" s="351"/>
      <c r="D41" s="378" t="s">
        <v>1488</v>
      </c>
      <c r="E41" s="347" t="s">
        <v>1476</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1479</v>
      </c>
      <c r="F42" s="357" t="e">
        <f ca="1">INDIRECT("'数据-取费表'!v"&amp;$G$1)</f>
        <v>#N/A</v>
      </c>
      <c r="G42" s="1854"/>
      <c r="H42" s="732"/>
      <c r="I42" s="1863"/>
      <c r="J42" s="1864"/>
      <c r="K42" s="751"/>
      <c r="L42" s="732"/>
      <c r="M42" s="732"/>
    </row>
    <row r="43" spans="1:18" ht="18" customHeight="1" thickBot="1">
      <c r="A43" s="380" t="s">
        <v>1033</v>
      </c>
      <c r="B43" s="381" t="s">
        <v>1489</v>
      </c>
      <c r="C43" s="382" t="e">
        <f ca="1">ROUND(C40/F43,0)</f>
        <v>#N/A</v>
      </c>
      <c r="D43" s="383" t="s">
        <v>1490</v>
      </c>
      <c r="E43" s="384" t="s">
        <v>1491</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#N/A</v>
      </c>
      <c r="D45" s="1943" t="s">
        <v>1606</v>
      </c>
      <c r="E45" s="1869"/>
      <c r="F45" s="1869"/>
      <c r="O45" s="1872" t="s">
        <v>1521</v>
      </c>
      <c r="P45" s="1842"/>
      <c r="Q45" s="1842"/>
      <c r="R45" s="1842"/>
    </row>
    <row r="46" spans="1:18" s="1845" customFormat="1" ht="13.5" thickBot="1">
      <c r="A46" s="1873" t="s">
        <v>1522</v>
      </c>
      <c r="C46" s="1874" t="e">
        <f ca="1">ROUND(C45/10000,0)</f>
        <v>#N/A</v>
      </c>
      <c r="D46" s="1875" t="str">
        <f>C2</f>
        <v>万元</v>
      </c>
      <c r="I46" s="1876" t="s">
        <v>1523</v>
      </c>
      <c r="J46" s="1877"/>
      <c r="K46" s="1878"/>
      <c r="L46" s="1879" t="e">
        <f ca="1">IF(M47="住宅",0,IF(L48&gt;J51,L60,J60))</f>
        <v>#N/A</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t="e">
        <f ca="1">INDIRECT("'数据-取费表'!d"&amp;$G$1)</f>
        <v>#N/A</v>
      </c>
      <c r="M47" s="1841" t="str">
        <f>IF(ISNUMBER(FIND("住宅",C1)),"住宅","非住宅")</f>
        <v>非住宅</v>
      </c>
      <c r="O47" s="1887" t="s">
        <v>1040</v>
      </c>
      <c r="P47" s="1888" t="s">
        <v>1530</v>
      </c>
      <c r="Q47" s="1889" t="e">
        <f ca="1">C40+J29</f>
        <v>#N/A</v>
      </c>
      <c r="R47" s="1889" t="s">
        <v>1531</v>
      </c>
    </row>
    <row r="48" spans="1:18" s="1845" customFormat="1" ht="28.5" thickBot="1">
      <c r="A48" s="1362" t="s">
        <v>1135</v>
      </c>
      <c r="B48" s="345" t="s">
        <v>1402</v>
      </c>
      <c r="C48" s="1820" t="e">
        <f ca="1">C49+C53+C55</f>
        <v>#N/A</v>
      </c>
      <c r="D48" s="1364"/>
      <c r="E48" s="1365"/>
      <c r="F48" s="1183"/>
      <c r="G48" s="792"/>
      <c r="H48" s="793"/>
      <c r="I48" s="1890" t="s">
        <v>1532</v>
      </c>
      <c r="J48" s="1891"/>
      <c r="K48" s="1892" t="s">
        <v>1533</v>
      </c>
      <c r="L48" s="1893" t="e">
        <f ca="1">INDIRECT("'数据-取费表'!f"&amp;$G$1)</f>
        <v>#N/A</v>
      </c>
      <c r="O48" s="1887" t="s">
        <v>1041</v>
      </c>
      <c r="P48" s="1888" t="s">
        <v>1534</v>
      </c>
      <c r="Q48" s="1889" t="e">
        <f ca="1">J60</f>
        <v>#N/A</v>
      </c>
      <c r="R48" s="1889" t="s">
        <v>1535</v>
      </c>
    </row>
    <row r="49" spans="1:18" s="1845" customFormat="1" ht="13.5" thickBot="1">
      <c r="A49" s="1196" t="s">
        <v>1136</v>
      </c>
      <c r="B49" s="1832" t="s">
        <v>1492</v>
      </c>
      <c r="C49" s="1366" t="e">
        <f ca="1">ROUND(F49*F51*F50*(1-F52),0)</f>
        <v>#N/A</v>
      </c>
      <c r="D49" s="1278" t="s">
        <v>1405</v>
      </c>
      <c r="E49" s="1833" t="s">
        <v>1493</v>
      </c>
      <c r="F49" s="1283"/>
      <c r="G49" s="1894"/>
      <c r="H49" s="793"/>
      <c r="I49" s="1890" t="s">
        <v>1536</v>
      </c>
      <c r="J49" s="1895"/>
      <c r="K49" s="1892" t="s">
        <v>1537</v>
      </c>
      <c r="L49" s="1896"/>
      <c r="O49" s="1897" t="s">
        <v>1042</v>
      </c>
      <c r="P49" s="1888" t="s">
        <v>1538</v>
      </c>
      <c r="Q49" s="1889" t="e">
        <f ca="1">C29</f>
        <v>#N/A</v>
      </c>
      <c r="R49" s="1889" t="s">
        <v>1531</v>
      </c>
    </row>
    <row r="50" spans="1:18" s="1845" customFormat="1" ht="13.5" thickBot="1">
      <c r="A50" s="1197"/>
      <c r="B50" s="1200"/>
      <c r="C50" s="1201"/>
      <c r="D50" s="1174"/>
      <c r="E50" s="1279" t="s">
        <v>1407</v>
      </c>
      <c r="F50" s="1280" t="e">
        <f ca="1">F7</f>
        <v>#N/A</v>
      </c>
      <c r="H50" s="793"/>
      <c r="I50" s="1890" t="s">
        <v>1539</v>
      </c>
      <c r="J50" s="1898">
        <f>SUMPRODUCT((I63:I65=J47)*(J62:L62=J48)*(J63:L65))</f>
        <v>0</v>
      </c>
      <c r="K50" s="1892" t="s">
        <v>1540</v>
      </c>
      <c r="L50" s="1896"/>
      <c r="M50" s="1899"/>
      <c r="O50" s="1897" t="s">
        <v>1043</v>
      </c>
      <c r="P50" s="1888" t="s">
        <v>1541</v>
      </c>
      <c r="Q50" s="1900" t="e">
        <f ca="1">J58</f>
        <v>#N/A</v>
      </c>
      <c r="R50" s="1889"/>
    </row>
    <row r="51" spans="1:18" s="1845" customFormat="1" ht="13.5" thickBot="1">
      <c r="A51" s="1198"/>
      <c r="B51" s="1200"/>
      <c r="C51" s="1201"/>
      <c r="D51" s="1174"/>
      <c r="E51" s="1202" t="s">
        <v>1408</v>
      </c>
      <c r="F51" s="348" t="e">
        <f ca="1">F8</f>
        <v>#N/A</v>
      </c>
      <c r="I51" s="1901" t="s">
        <v>1542</v>
      </c>
      <c r="J51" s="1902">
        <f>IF(J49="",J50,J49+J50-YEAR('数据-取费表'!B2))</f>
        <v>0</v>
      </c>
      <c r="K51" s="1903" t="s">
        <v>1543</v>
      </c>
      <c r="L51" s="1904" t="e">
        <f ca="1">ROUND(-PV(INDIRECT("'数据-取费表'!h"&amp;$G$1),L48,(C39-C13*C76),0),0)</f>
        <v>#N/A</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187" t="s">
        <v>1550</v>
      </c>
      <c r="L53" s="3188"/>
      <c r="O53" s="1887" t="s">
        <v>1046</v>
      </c>
      <c r="P53" s="1888" t="s">
        <v>1551</v>
      </c>
      <c r="Q53" s="1889" t="e">
        <f ca="1">Q47+Q48</f>
        <v>#N/A</v>
      </c>
      <c r="R53" s="1889" t="s">
        <v>1047</v>
      </c>
    </row>
    <row r="54" spans="1:18" s="1845" customFormat="1" ht="13.5" thickBot="1">
      <c r="A54" s="1196"/>
      <c r="B54" s="1944" t="s">
        <v>1605</v>
      </c>
      <c r="C54" s="1180"/>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#N/A</v>
      </c>
      <c r="K55" s="1915" t="s">
        <v>1554</v>
      </c>
      <c r="L55" s="1916"/>
      <c r="O55" s="1880" t="s">
        <v>1524</v>
      </c>
      <c r="P55" s="1881" t="s">
        <v>1525</v>
      </c>
      <c r="Q55" s="1882" t="s">
        <v>1526</v>
      </c>
      <c r="R55" s="1882" t="s">
        <v>1527</v>
      </c>
    </row>
    <row r="56" spans="1:18" s="1845" customFormat="1" ht="36" customHeight="1" thickTop="1" thickBot="1">
      <c r="A56" s="1178">
        <v>2</v>
      </c>
      <c r="B56" s="1179" t="s">
        <v>1416</v>
      </c>
      <c r="C56" s="276" t="e">
        <f ca="1">C13</f>
        <v>#N/A</v>
      </c>
      <c r="D56" s="1917"/>
      <c r="E56" s="1918"/>
      <c r="F56" s="1910"/>
      <c r="I56" s="1919" t="s">
        <v>1556</v>
      </c>
      <c r="J56" s="1920"/>
      <c r="K56" s="1890" t="s">
        <v>1557</v>
      </c>
      <c r="L56" s="1893" t="e">
        <f ca="1">IF(L48&lt;J51,"——",L48-J51)</f>
        <v>#N/A</v>
      </c>
      <c r="O56" s="1887" t="s">
        <v>1040</v>
      </c>
      <c r="P56" s="1888" t="s">
        <v>1530</v>
      </c>
      <c r="Q56" s="1889" t="e">
        <f ca="1">C40+J29</f>
        <v>#N/A</v>
      </c>
      <c r="R56" s="1889" t="s">
        <v>1531</v>
      </c>
    </row>
    <row r="57" spans="1:18" s="1845" customFormat="1" ht="24.75" thickBot="1">
      <c r="A57" s="1921"/>
      <c r="B57" s="1171" t="s">
        <v>1480</v>
      </c>
      <c r="C57" s="282" t="e">
        <f ca="1">C29</f>
        <v>#N/A</v>
      </c>
      <c r="D57" s="1922"/>
      <c r="E57" s="1923"/>
      <c r="F57" s="1924"/>
      <c r="I57" s="1925" t="s">
        <v>1558</v>
      </c>
      <c r="J57" s="1926" t="e">
        <f ca="1">IF(OR(M47="住宅",J51&lt;L48,J56="是"),"——",J51-L48)</f>
        <v>#N/A</v>
      </c>
      <c r="K57" s="1890" t="s">
        <v>1607</v>
      </c>
      <c r="L57" s="1893" t="e">
        <f ca="1">IF(L48&lt;J51,"——",IF(L55="比较法",L49,IF(L55="基准地价",L50,L51)))</f>
        <v>#N/A</v>
      </c>
      <c r="O57" s="1887" t="s">
        <v>1041</v>
      </c>
      <c r="P57" s="1888" t="s">
        <v>1608</v>
      </c>
      <c r="Q57" s="1889" t="e">
        <f ca="1">L60</f>
        <v>#N/A</v>
      </c>
      <c r="R57" s="1889" t="s">
        <v>1609</v>
      </c>
    </row>
    <row r="58" spans="1:18" s="1845" customFormat="1" ht="24.75" thickBot="1">
      <c r="A58" s="360" t="s">
        <v>1030</v>
      </c>
      <c r="B58" s="1179" t="s">
        <v>1426</v>
      </c>
      <c r="C58" s="361" t="e">
        <f ca="1">ROUND(C59+C64+C65+C66,0)</f>
        <v>#N/A</v>
      </c>
      <c r="D58" s="1181" t="s">
        <v>1427</v>
      </c>
      <c r="E58" s="1182"/>
      <c r="F58" s="1183"/>
      <c r="I58" s="1925" t="s">
        <v>1562</v>
      </c>
      <c r="J58" s="1927" t="e">
        <f ca="1">IF(J55&lt;0.4,0.4,J55)</f>
        <v>#N/A</v>
      </c>
      <c r="K58" s="1903" t="s">
        <v>1610</v>
      </c>
      <c r="L58" s="1893" t="e">
        <f ca="1">ROUND(POWER(1+L52,L47-L48)*(POWER(1+L52,L48)-1)/(POWER(1+L52,L47)-1),4)</f>
        <v>#N/A</v>
      </c>
      <c r="O58" s="1897" t="s">
        <v>1042</v>
      </c>
      <c r="P58" s="1888" t="s">
        <v>1564</v>
      </c>
      <c r="Q58" s="1889">
        <f>IF(L55="比较法",L49,IF(L55="基准地价",L50,0))</f>
        <v>0</v>
      </c>
      <c r="R58" s="1889" t="s">
        <v>1531</v>
      </c>
    </row>
    <row r="59" spans="1:18" s="1845" customFormat="1" ht="24.75" thickBot="1">
      <c r="A59" s="1203" t="s">
        <v>1035</v>
      </c>
      <c r="B59" s="1171" t="s">
        <v>1431</v>
      </c>
      <c r="C59" s="24" t="e">
        <f ca="1">ROUND(IF(项目基本情况!B11="自然人",C48*F59,C60+C61+C62),0)</f>
        <v>#N/A</v>
      </c>
      <c r="D59" s="1184" t="s">
        <v>1432</v>
      </c>
      <c r="E59" s="1185" t="s">
        <v>1433</v>
      </c>
      <c r="F59" s="368" t="str">
        <f ca="1">IF(项目基本情况!B11="企业","",IF(INDIRECT("'数据-取费表'!c"&amp;$G$1)="住宅",5%,IF(F49*F50*F51/12/(1+'数据-取费表'!C42)&gt;20000,12%,7%)))</f>
        <v/>
      </c>
      <c r="I59" s="1925" t="s">
        <v>1565</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7" t="s">
        <v>1043</v>
      </c>
      <c r="P59" s="1888" t="s">
        <v>1566</v>
      </c>
      <c r="Q59" s="1900">
        <f>L52</f>
        <v>0</v>
      </c>
      <c r="R59" s="1889"/>
    </row>
    <row r="60" spans="1:18" s="1845" customFormat="1" ht="16.5" thickBot="1">
      <c r="A60" s="1203" t="s">
        <v>1034</v>
      </c>
      <c r="B60" s="1171" t="s">
        <v>1435</v>
      </c>
      <c r="C60" s="24" t="e">
        <f ca="1">IF(项目基本情况!B11="自然人","——",ROUND(C48*F60/(1+'数据-取费表'!C42),0))</f>
        <v>#N/A</v>
      </c>
      <c r="D60" s="1185" t="s">
        <v>1436</v>
      </c>
      <c r="E60" s="1171" t="s">
        <v>1424</v>
      </c>
      <c r="F60" s="377">
        <f t="shared" ref="F60:F66" si="0">F32</f>
        <v>6.2719999999999998E-2</v>
      </c>
      <c r="I60" s="1928" t="s">
        <v>1567</v>
      </c>
      <c r="J60" s="1929" t="e">
        <f ca="1">IF(OR(M47="住宅",J51&lt;L48,J56="是"),"0",ROUND(J59/(1+J52)^J53,0))</f>
        <v>#N/A</v>
      </c>
      <c r="K60" s="1930" t="s">
        <v>1568</v>
      </c>
      <c r="L60" s="1929" t="e">
        <f ca="1">IF(OR(M47="住宅",L48&lt;J51),0,ROUND(L57*(L58/L59-1),0))</f>
        <v>#N/A</v>
      </c>
      <c r="O60" s="1897" t="s">
        <v>1044</v>
      </c>
      <c r="P60" s="1888" t="s">
        <v>1569</v>
      </c>
      <c r="Q60" s="1889" t="e">
        <f ca="1">L58</f>
        <v>#N/A</v>
      </c>
      <c r="R60" s="1889" t="s">
        <v>1570</v>
      </c>
    </row>
    <row r="61" spans="1:18" s="1845" customFormat="1" ht="13.5" thickBot="1">
      <c r="A61" s="1203" t="s">
        <v>1494</v>
      </c>
      <c r="B61" s="1171" t="s">
        <v>1495</v>
      </c>
      <c r="C61" s="24" t="e">
        <f ca="1">IF(项目基本情况!B11="自然人","——",IF(D61="按租金收入计税",ROUND(C48*F61,0),IF(D61="按房产原值计税",ROUND(C57*F61*0.7,0),INDIRECT("'数据-取费表'!Aj"&amp;$G$1))))</f>
        <v>#N/A</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#N/A</v>
      </c>
      <c r="R61" s="1889" t="s">
        <v>1571</v>
      </c>
    </row>
    <row r="62" spans="1:18" s="1845" customFormat="1" ht="13.5" thickBot="1">
      <c r="A62" s="1203" t="s">
        <v>1497</v>
      </c>
      <c r="B62" s="1170" t="s">
        <v>1498</v>
      </c>
      <c r="C62" s="25" t="e">
        <f ca="1">IF(项目基本情况!B11="自然人","——",ROUND(F62*F63,0))</f>
        <v>#N/A</v>
      </c>
      <c r="D62" s="1186" t="s">
        <v>1499</v>
      </c>
      <c r="E62" s="1171" t="s">
        <v>1500</v>
      </c>
      <c r="F62" s="371">
        <f t="shared" si="0"/>
        <v>20</v>
      </c>
      <c r="I62" s="1932" t="s">
        <v>1572</v>
      </c>
      <c r="J62" s="1933" t="s">
        <v>1573</v>
      </c>
      <c r="K62" s="1933" t="s">
        <v>1574</v>
      </c>
      <c r="L62" s="1933" t="s">
        <v>1575</v>
      </c>
      <c r="M62" s="1934" t="s">
        <v>1576</v>
      </c>
      <c r="O62" s="1887" t="s">
        <v>1046</v>
      </c>
      <c r="P62" s="1888" t="s">
        <v>1577</v>
      </c>
      <c r="Q62" s="1889" t="e">
        <f ca="1">Q56+Q57</f>
        <v>#N/A</v>
      </c>
      <c r="R62" s="1889" t="s">
        <v>1047</v>
      </c>
    </row>
    <row r="63" spans="1:18" s="1845" customFormat="1" ht="13.5" thickBot="1">
      <c r="A63" s="372"/>
      <c r="B63" s="1177"/>
      <c r="C63" s="29"/>
      <c r="D63" s="1187"/>
      <c r="E63" s="1171" t="s">
        <v>1501</v>
      </c>
      <c r="F63" s="348" t="e">
        <f t="shared" ca="1" si="0"/>
        <v>#N/A</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t="e">
        <f ca="1">ROUND(C57*F64,0)</f>
        <v>#N/A</v>
      </c>
      <c r="D64" s="1185" t="s">
        <v>1504</v>
      </c>
      <c r="E64" s="1171" t="s">
        <v>1496</v>
      </c>
      <c r="F64" s="374" t="e">
        <f t="shared" ca="1" si="0"/>
        <v>#N/A</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t="e">
        <f ca="1">ROUND(C56*F65,0)</f>
        <v>#N/A</v>
      </c>
      <c r="D65" s="1185" t="s">
        <v>1456</v>
      </c>
      <c r="E65" s="1171" t="s">
        <v>1457</v>
      </c>
      <c r="F65" s="376" t="e">
        <f t="shared" ca="1" si="0"/>
        <v>#N/A</v>
      </c>
      <c r="I65" s="1932" t="s">
        <v>1581</v>
      </c>
      <c r="J65" s="1933">
        <v>40</v>
      </c>
      <c r="K65" s="1933">
        <v>30</v>
      </c>
      <c r="L65" s="1933">
        <v>50</v>
      </c>
      <c r="M65" s="1935">
        <v>0.02</v>
      </c>
      <c r="O65" s="1887" t="s">
        <v>1040</v>
      </c>
      <c r="P65" s="1888" t="s">
        <v>1582</v>
      </c>
      <c r="Q65" s="1889" t="e">
        <f ca="1">C40+J29</f>
        <v>#N/A</v>
      </c>
      <c r="R65" s="1889" t="s">
        <v>1531</v>
      </c>
    </row>
    <row r="66" spans="1:18" s="1845" customFormat="1" ht="16.5" thickBot="1">
      <c r="A66" s="1203" t="s">
        <v>1506</v>
      </c>
      <c r="B66" s="1171" t="s">
        <v>1441</v>
      </c>
      <c r="C66" s="24" t="e">
        <f ca="1">ROUND(C48*F66,0)</f>
        <v>#N/A</v>
      </c>
      <c r="D66" s="1185" t="s">
        <v>1507</v>
      </c>
      <c r="E66" s="1171" t="s">
        <v>1424</v>
      </c>
      <c r="F66" s="357" t="e">
        <f t="shared" ca="1" si="0"/>
        <v>#N/A</v>
      </c>
      <c r="O66" s="1887" t="s">
        <v>1041</v>
      </c>
      <c r="P66" s="1888" t="s">
        <v>1560</v>
      </c>
      <c r="Q66" s="1889" t="e">
        <f ca="1">L60</f>
        <v>#N/A</v>
      </c>
      <c r="R66" s="1889" t="s">
        <v>1583</v>
      </c>
    </row>
    <row r="67" spans="1:18" s="1845" customFormat="1" ht="16.5" thickBot="1">
      <c r="A67" s="1178" t="s">
        <v>1031</v>
      </c>
      <c r="B67" s="1188" t="s">
        <v>1465</v>
      </c>
      <c r="C67" s="361" t="e">
        <f ca="1">C48-C58</f>
        <v>#N/A</v>
      </c>
      <c r="D67" s="1184" t="s">
        <v>1466</v>
      </c>
      <c r="E67" s="1189"/>
      <c r="F67" s="1190"/>
      <c r="O67" s="1897" t="s">
        <v>1042</v>
      </c>
      <c r="P67" s="1888" t="s">
        <v>1564</v>
      </c>
      <c r="Q67" s="1936" t="e">
        <f ca="1">L51</f>
        <v>#N/A</v>
      </c>
      <c r="R67" s="1889" t="s">
        <v>1584</v>
      </c>
    </row>
    <row r="68" spans="1:18" s="1845" customFormat="1" ht="16.5" thickBot="1">
      <c r="A68" s="1168" t="s">
        <v>1032</v>
      </c>
      <c r="B68" s="1169" t="s">
        <v>1487</v>
      </c>
      <c r="C68" s="346" t="e">
        <f ca="1">ROUND(C67*(1-((1+F70)/(1+F68))^F69)/(F68-F70),0)</f>
        <v>#N/A</v>
      </c>
      <c r="D68" s="1186" t="s">
        <v>1471</v>
      </c>
      <c r="E68" s="1171" t="s">
        <v>1472</v>
      </c>
      <c r="F68" s="357" t="e">
        <f ca="1">F40</f>
        <v>#N/A</v>
      </c>
      <c r="O68" s="1897" t="s">
        <v>1043</v>
      </c>
      <c r="P68" s="1937" t="s">
        <v>1585</v>
      </c>
      <c r="Q68" s="1889" t="e">
        <f ca="1">ROUND(Q69-Q70*Q71,0)</f>
        <v>#N/A</v>
      </c>
      <c r="R68" s="1889" t="s">
        <v>1051</v>
      </c>
    </row>
    <row r="69" spans="1:18" s="1845" customFormat="1" ht="13.5" thickBot="1">
      <c r="A69" s="1172"/>
      <c r="B69" s="1173"/>
      <c r="C69" s="351"/>
      <c r="D69" s="1191" t="s">
        <v>1475</v>
      </c>
      <c r="E69" s="1171" t="s">
        <v>1476</v>
      </c>
      <c r="F69" s="379" t="e">
        <f ca="1">F41</f>
        <v>#N/A</v>
      </c>
      <c r="O69" s="1897" t="s">
        <v>1048</v>
      </c>
      <c r="P69" s="1937" t="s">
        <v>1586</v>
      </c>
      <c r="Q69" s="1889" t="e">
        <f ca="1">C39</f>
        <v>#N/A</v>
      </c>
      <c r="R69" s="1889" t="s">
        <v>1531</v>
      </c>
    </row>
    <row r="70" spans="1:18" s="1845" customFormat="1" ht="13.5" thickBot="1">
      <c r="A70" s="1175"/>
      <c r="B70" s="1176"/>
      <c r="C70" s="355"/>
      <c r="D70" s="1187"/>
      <c r="E70" s="1171" t="s">
        <v>1479</v>
      </c>
      <c r="F70" s="1277" t="e">
        <f ca="1">F42</f>
        <v>#N/A</v>
      </c>
      <c r="O70" s="1897" t="s">
        <v>1049</v>
      </c>
      <c r="P70" s="1937" t="s">
        <v>1587</v>
      </c>
      <c r="Q70" s="1889" t="e">
        <f ca="1">C13</f>
        <v>#N/A</v>
      </c>
      <c r="R70" s="1889" t="s">
        <v>1531</v>
      </c>
    </row>
    <row r="71" spans="1:18" s="1845" customFormat="1" ht="13.5" thickBot="1">
      <c r="A71" s="1192" t="s">
        <v>1033</v>
      </c>
      <c r="B71" s="1193" t="s">
        <v>1489</v>
      </c>
      <c r="C71" s="382" t="e">
        <f ca="1">ROUND(C68/F71,0)</f>
        <v>#N/A</v>
      </c>
      <c r="D71" s="1194" t="s">
        <v>1490</v>
      </c>
      <c r="E71" s="1195" t="s">
        <v>1491</v>
      </c>
      <c r="F71" s="385" t="e">
        <f ca="1">F43</f>
        <v>#N/A</v>
      </c>
      <c r="O71" s="1897" t="s">
        <v>1050</v>
      </c>
      <c r="P71" s="1937" t="s">
        <v>1588</v>
      </c>
      <c r="Q71" s="1900" t="e">
        <f ca="1">C76</f>
        <v>#N/A</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#N/A</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#N/A</v>
      </c>
      <c r="R74" s="1889" t="s">
        <v>1571</v>
      </c>
    </row>
    <row r="75" spans="1:18" ht="13.5" thickBot="1">
      <c r="A75" s="1845"/>
      <c r="B75" s="386" t="s">
        <v>1508</v>
      </c>
      <c r="C75" s="387" t="e">
        <f ca="1">ROUND(C13*C76,0)</f>
        <v>#N/A</v>
      </c>
      <c r="D75" s="1845"/>
      <c r="E75" s="1845"/>
      <c r="F75" s="1845"/>
      <c r="K75" s="1871"/>
      <c r="L75" s="1845"/>
      <c r="O75" s="1887" t="s">
        <v>1046</v>
      </c>
      <c r="P75" s="1888" t="s">
        <v>1551</v>
      </c>
      <c r="Q75" s="1889" t="e">
        <f ca="1">Q65+Q66</f>
        <v>#N/A</v>
      </c>
      <c r="R75" s="1889" t="s">
        <v>1047</v>
      </c>
    </row>
    <row r="76" spans="1:18">
      <c r="B76" s="388" t="s">
        <v>1509</v>
      </c>
      <c r="C76" s="389" t="e">
        <f ca="1">INDIRECT("'数据-取费表'!j"&amp;$G$1)</f>
        <v>#N/A</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2527</v>
      </c>
      <c r="B1" s="2563"/>
      <c r="C1" s="2563"/>
      <c r="D1" s="2563"/>
      <c r="E1" s="2564"/>
    </row>
    <row r="2" spans="1:6" ht="15.75">
      <c r="A2" s="2565" t="s">
        <v>2331</v>
      </c>
      <c r="B2" s="2566">
        <f ca="1">SUMIF(B6:B13,"&lt;&gt;#ref!",B6:B13)</f>
        <v>0</v>
      </c>
      <c r="C2" s="2567" t="s">
        <v>2520</v>
      </c>
      <c r="D2" s="2568" t="s">
        <v>2521</v>
      </c>
      <c r="E2" s="2569">
        <f>SUM(E6:E13)</f>
        <v>0</v>
      </c>
    </row>
    <row r="3" spans="1:6" ht="15.75">
      <c r="A3" s="2565" t="s">
        <v>1396</v>
      </c>
      <c r="B3" s="2566" t="e">
        <f ca="1">ROUND(B2*10000/E2,0)</f>
        <v>#DIV/0!</v>
      </c>
      <c r="C3" s="2567" t="s">
        <v>2528</v>
      </c>
      <c r="D3" s="2570"/>
      <c r="E3" s="2571"/>
    </row>
    <row r="4" spans="1:6" ht="15.75">
      <c r="A4" s="2572"/>
      <c r="B4" s="2570"/>
      <c r="C4" s="2570"/>
      <c r="D4" s="2570"/>
      <c r="E4" s="2571"/>
    </row>
    <row r="5" spans="1:6" ht="15">
      <c r="A5" s="2573" t="s">
        <v>2522</v>
      </c>
      <c r="B5" s="3192" t="s">
        <v>2523</v>
      </c>
      <c r="C5" s="3192"/>
      <c r="D5" s="2574"/>
      <c r="E5" s="2575" t="s">
        <v>2524</v>
      </c>
      <c r="F5" s="2576" t="s">
        <v>2525</v>
      </c>
    </row>
    <row r="6" spans="1:6">
      <c r="A6" s="2577">
        <f>'数据-取费表'!AN6</f>
        <v>0</v>
      </c>
      <c r="B6" s="2576" t="e">
        <f ca="1">IF(F6="是",'数据-取费表'!AO6,0)</f>
        <v>#REF!</v>
      </c>
      <c r="C6" s="2567" t="s">
        <v>2520</v>
      </c>
      <c r="D6" s="2570"/>
      <c r="E6" s="2578">
        <f>IF(OR(A6=0,F6="否"),0,'数据-取费表'!K6+'数据-取费表'!S6)</f>
        <v>0</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1076</v>
      </c>
      <c r="B1" s="3210"/>
      <c r="C1" s="3211"/>
      <c r="D1" s="3212">
        <f>SUM(I10,I15,I20,I21,I23)</f>
        <v>0</v>
      </c>
      <c r="E1" s="3212"/>
      <c r="F1" s="3212"/>
      <c r="G1" s="3212"/>
      <c r="H1" s="3212"/>
      <c r="I1" s="3213"/>
    </row>
    <row r="2" spans="1:9">
      <c r="A2" s="3199" t="s">
        <v>1077</v>
      </c>
      <c r="B2" s="3200" t="s">
        <v>1078</v>
      </c>
      <c r="C2" s="3200"/>
      <c r="D2" s="1303" t="s">
        <v>1079</v>
      </c>
      <c r="E2" s="1303" t="s">
        <v>1080</v>
      </c>
      <c r="F2" s="1303" t="s">
        <v>1081</v>
      </c>
      <c r="G2" s="1303" t="s">
        <v>1082</v>
      </c>
      <c r="H2" s="1303" t="s">
        <v>1083</v>
      </c>
      <c r="I2" s="1304" t="s">
        <v>1084</v>
      </c>
    </row>
    <row r="3" spans="1:9">
      <c r="A3" s="3199"/>
      <c r="B3" s="3200" t="s">
        <v>1085</v>
      </c>
      <c r="C3" s="3200"/>
      <c r="D3" s="1305"/>
      <c r="E3" s="1303"/>
      <c r="F3" s="1306"/>
      <c r="G3" s="1306"/>
      <c r="H3" s="1307"/>
      <c r="I3" s="1308">
        <f>ROUND(D3*E3*F3*G3*H3/10000,0)</f>
        <v>0</v>
      </c>
    </row>
    <row r="4" spans="1:9">
      <c r="A4" s="3199"/>
      <c r="B4" s="3200" t="s">
        <v>1086</v>
      </c>
      <c r="C4" s="3200"/>
      <c r="D4" s="1305"/>
      <c r="E4" s="1303"/>
      <c r="F4" s="1306"/>
      <c r="G4" s="1306"/>
      <c r="H4" s="1307"/>
      <c r="I4" s="1308">
        <f t="shared" ref="I4:I9" si="0">ROUND(D4*E4*F4*G4*H4/10000,0)</f>
        <v>0</v>
      </c>
    </row>
    <row r="5" spans="1:9">
      <c r="A5" s="3199"/>
      <c r="B5" s="3200" t="s">
        <v>1087</v>
      </c>
      <c r="C5" s="3200"/>
      <c r="D5" s="1305"/>
      <c r="E5" s="1303"/>
      <c r="F5" s="1306"/>
      <c r="G5" s="1306"/>
      <c r="H5" s="1307"/>
      <c r="I5" s="1308">
        <f t="shared" si="0"/>
        <v>0</v>
      </c>
    </row>
    <row r="6" spans="1:9">
      <c r="A6" s="3199"/>
      <c r="B6" s="3200" t="s">
        <v>1088</v>
      </c>
      <c r="C6" s="3200"/>
      <c r="D6" s="1305"/>
      <c r="E6" s="1303"/>
      <c r="F6" s="1306"/>
      <c r="G6" s="1306"/>
      <c r="H6" s="1307"/>
      <c r="I6" s="1308">
        <f t="shared" si="0"/>
        <v>0</v>
      </c>
    </row>
    <row r="7" spans="1:9">
      <c r="A7" s="3199"/>
      <c r="B7" s="3200" t="s">
        <v>1089</v>
      </c>
      <c r="C7" s="3200"/>
      <c r="D7" s="1305"/>
      <c r="E7" s="1303"/>
      <c r="F7" s="1306"/>
      <c r="G7" s="1306"/>
      <c r="H7" s="1307"/>
      <c r="I7" s="1308">
        <f t="shared" si="0"/>
        <v>0</v>
      </c>
    </row>
    <row r="8" spans="1:9">
      <c r="A8" s="3199"/>
      <c r="B8" s="3200" t="s">
        <v>1090</v>
      </c>
      <c r="C8" s="3200"/>
      <c r="D8" s="1305"/>
      <c r="E8" s="1303"/>
      <c r="F8" s="1306"/>
      <c r="G8" s="1306"/>
      <c r="H8" s="1307"/>
      <c r="I8" s="1308">
        <f t="shared" si="0"/>
        <v>0</v>
      </c>
    </row>
    <row r="9" spans="1:9">
      <c r="A9" s="3199"/>
      <c r="B9" s="3200" t="s">
        <v>1091</v>
      </c>
      <c r="C9" s="3200"/>
      <c r="D9" s="1305"/>
      <c r="E9" s="1303"/>
      <c r="F9" s="1306"/>
      <c r="G9" s="1306"/>
      <c r="H9" s="1307"/>
      <c r="I9" s="1308">
        <f t="shared" si="0"/>
        <v>0</v>
      </c>
    </row>
    <row r="10" spans="1:9">
      <c r="A10" s="3199"/>
      <c r="B10" s="3201" t="s">
        <v>1092</v>
      </c>
      <c r="C10" s="3201"/>
      <c r="D10" s="1309"/>
      <c r="E10" s="1309" t="e">
        <f>ROUND(D1*10000/D10/H9,0)</f>
        <v>#DIV/0!</v>
      </c>
      <c r="F10" s="1310"/>
      <c r="G10" s="1310"/>
      <c r="H10" s="1311"/>
      <c r="I10" s="1312">
        <f>SUM(I3:I9)</f>
        <v>0</v>
      </c>
    </row>
    <row r="11" spans="1:9" ht="14.25">
      <c r="A11" s="3199" t="s">
        <v>1093</v>
      </c>
      <c r="B11" s="3200" t="s">
        <v>1094</v>
      </c>
      <c r="C11" s="3200"/>
      <c r="D11" s="1305" t="s">
        <v>1095</v>
      </c>
      <c r="E11" s="1305" t="s">
        <v>1096</v>
      </c>
      <c r="F11" s="1306" t="s">
        <v>1097</v>
      </c>
      <c r="G11" s="1306" t="s">
        <v>1083</v>
      </c>
      <c r="H11" s="1313" t="s">
        <v>1098</v>
      </c>
      <c r="I11" s="1304" t="s">
        <v>1084</v>
      </c>
    </row>
    <row r="12" spans="1:9">
      <c r="A12" s="3199"/>
      <c r="B12" s="3200" t="s">
        <v>1099</v>
      </c>
      <c r="C12" s="3200"/>
      <c r="D12" s="1305"/>
      <c r="E12" s="1305"/>
      <c r="F12" s="1306"/>
      <c r="G12" s="1307"/>
      <c r="H12" s="1314"/>
      <c r="I12" s="1304">
        <f>ROUND(D12*E12*F12*G12/10000,0)</f>
        <v>0</v>
      </c>
    </row>
    <row r="13" spans="1:9">
      <c r="A13" s="3199"/>
      <c r="B13" s="3200" t="s">
        <v>1100</v>
      </c>
      <c r="C13" s="3200"/>
      <c r="D13" s="1305"/>
      <c r="E13" s="1305"/>
      <c r="F13" s="1306"/>
      <c r="G13" s="1307"/>
      <c r="H13" s="1314"/>
      <c r="I13" s="1304">
        <f>ROUND(D13*E13*F13*G13/10000,0)</f>
        <v>0</v>
      </c>
    </row>
    <row r="14" spans="1:9">
      <c r="A14" s="3199"/>
      <c r="B14" s="3200" t="s">
        <v>1101</v>
      </c>
      <c r="C14" s="3200"/>
      <c r="D14" s="1305"/>
      <c r="E14" s="1305"/>
      <c r="F14" s="1306"/>
      <c r="G14" s="1307"/>
      <c r="H14" s="1314"/>
      <c r="I14" s="1304">
        <f>ROUND(D14*E14*F14*G14/10000,0)</f>
        <v>0</v>
      </c>
    </row>
    <row r="15" spans="1:9">
      <c r="A15" s="3199"/>
      <c r="B15" s="3201" t="s">
        <v>1092</v>
      </c>
      <c r="C15" s="3201"/>
      <c r="D15" s="1309"/>
      <c r="E15" s="1309">
        <f>SUM(E12:E14)</f>
        <v>0</v>
      </c>
      <c r="F15" s="1310"/>
      <c r="G15" s="1307"/>
      <c r="H15" s="1314"/>
      <c r="I15" s="1315">
        <f>SUM(I12:I14)</f>
        <v>0</v>
      </c>
    </row>
    <row r="16" spans="1:9" ht="24">
      <c r="A16" s="3199" t="s">
        <v>1102</v>
      </c>
      <c r="B16" s="3200" t="s">
        <v>1103</v>
      </c>
      <c r="C16" s="3200"/>
      <c r="D16" s="1305" t="s">
        <v>1079</v>
      </c>
      <c r="E16" s="1316" t="s">
        <v>1104</v>
      </c>
      <c r="F16" s="1306" t="s">
        <v>1105</v>
      </c>
      <c r="G16" s="1307" t="s">
        <v>1083</v>
      </c>
      <c r="H16" s="1313" t="s">
        <v>1098</v>
      </c>
      <c r="I16" s="1304" t="s">
        <v>1084</v>
      </c>
    </row>
    <row r="17" spans="1:9" ht="14.25">
      <c r="A17" s="3199"/>
      <c r="B17" s="3200" t="s">
        <v>1106</v>
      </c>
      <c r="C17" s="3200"/>
      <c r="D17" s="1305"/>
      <c r="E17" s="1305"/>
      <c r="F17" s="1306"/>
      <c r="G17" s="1307"/>
      <c r="H17" s="1317"/>
      <c r="I17" s="1318">
        <f>ROUND(D17*E17*F17*G17/10000,0)</f>
        <v>0</v>
      </c>
    </row>
    <row r="18" spans="1:9" ht="14.25">
      <c r="A18" s="3199"/>
      <c r="B18" s="3200" t="s">
        <v>1107</v>
      </c>
      <c r="C18" s="3200"/>
      <c r="D18" s="1305"/>
      <c r="E18" s="1305"/>
      <c r="F18" s="1306"/>
      <c r="G18" s="1307"/>
      <c r="H18" s="1317"/>
      <c r="I18" s="1318">
        <f>ROUND(D18*E18*F18*G18/10000,0)</f>
        <v>0</v>
      </c>
    </row>
    <row r="19" spans="1:9" ht="14.25">
      <c r="A19" s="3199"/>
      <c r="B19" s="3200" t="s">
        <v>1108</v>
      </c>
      <c r="C19" s="3200"/>
      <c r="D19" s="1305"/>
      <c r="E19" s="1305"/>
      <c r="F19" s="1306"/>
      <c r="G19" s="1307"/>
      <c r="H19" s="1317"/>
      <c r="I19" s="1318">
        <f>ROUND(D19*E19*F19*G19/10000,0)</f>
        <v>0</v>
      </c>
    </row>
    <row r="20" spans="1:9">
      <c r="A20" s="3199"/>
      <c r="B20" s="3201" t="s">
        <v>1092</v>
      </c>
      <c r="C20" s="3201"/>
      <c r="D20" s="1309">
        <f>SUM(D17:D19)</f>
        <v>0</v>
      </c>
      <c r="E20" s="1309"/>
      <c r="F20" s="1310"/>
      <c r="G20" s="1307"/>
      <c r="H20" s="1314"/>
      <c r="I20" s="1315">
        <f>SUM(I17:I19)</f>
        <v>0</v>
      </c>
    </row>
    <row r="21" spans="1:9">
      <c r="A21" s="3199" t="s">
        <v>1109</v>
      </c>
      <c r="B21" s="3202"/>
      <c r="C21" s="3202"/>
      <c r="D21" s="3202"/>
      <c r="E21" s="3202"/>
      <c r="F21" s="3202"/>
      <c r="G21" s="3202"/>
      <c r="H21" s="1768">
        <v>0.1</v>
      </c>
      <c r="I21" s="1312">
        <f>ROUND(I10*H21,0)</f>
        <v>0</v>
      </c>
    </row>
    <row r="22" spans="1:9" ht="14.25">
      <c r="A22" s="3203" t="s">
        <v>1110</v>
      </c>
      <c r="B22" s="3204"/>
      <c r="C22" s="3205"/>
      <c r="D22" s="1319" t="s">
        <v>1111</v>
      </c>
      <c r="E22" s="1319" t="s">
        <v>1112</v>
      </c>
      <c r="F22" s="1320" t="s">
        <v>1113</v>
      </c>
      <c r="G22" s="1320" t="s">
        <v>1114</v>
      </c>
      <c r="H22" s="1313" t="s">
        <v>1115</v>
      </c>
      <c r="I22" s="1304" t="s">
        <v>1116</v>
      </c>
    </row>
    <row r="23" spans="1:9" ht="14.25" thickBot="1">
      <c r="A23" s="3206"/>
      <c r="B23" s="3207"/>
      <c r="C23" s="3208"/>
      <c r="D23" s="1321"/>
      <c r="E23" s="1321"/>
      <c r="F23" s="1321"/>
      <c r="G23" s="1322"/>
      <c r="H23" s="1323"/>
      <c r="I23" s="1324">
        <f>ROUND(E23*D23*F23*(1-G23)/10000,0)</f>
        <v>0</v>
      </c>
    </row>
    <row r="26" spans="1:9">
      <c r="A26" s="1325" t="s">
        <v>1117</v>
      </c>
      <c r="B26" s="1325"/>
      <c r="C26" s="1325"/>
      <c r="D26" s="1325"/>
      <c r="E26" s="3196">
        <f>C27-C30-C31-C32</f>
        <v>0</v>
      </c>
      <c r="F26" s="3196"/>
      <c r="G26" s="3196"/>
      <c r="H26" s="1740" t="s">
        <v>1341</v>
      </c>
    </row>
    <row r="27" spans="1:9">
      <c r="A27" s="1326">
        <v>1</v>
      </c>
      <c r="B27" s="1327" t="s">
        <v>1118</v>
      </c>
      <c r="C27" s="1327">
        <f>C28+C29</f>
        <v>0</v>
      </c>
      <c r="D27" s="1327"/>
      <c r="E27" s="3197"/>
      <c r="F27" s="3197"/>
      <c r="G27" s="3197"/>
    </row>
    <row r="28" spans="1:9">
      <c r="A28" s="1328" t="s">
        <v>1119</v>
      </c>
      <c r="B28" s="1327" t="s">
        <v>1120</v>
      </c>
      <c r="C28" s="1327"/>
      <c r="D28" s="1327"/>
      <c r="E28" s="3197"/>
      <c r="F28" s="3197"/>
      <c r="G28" s="319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8"/>
      <c r="F32" s="3198"/>
      <c r="G32" s="3198"/>
    </row>
    <row r="33" spans="1:7" hidden="1">
      <c r="A33" s="3193" t="s">
        <v>1129</v>
      </c>
      <c r="B33" s="3194"/>
      <c r="C33" s="3194"/>
      <c r="D33" s="3195"/>
      <c r="E33" s="3196"/>
      <c r="F33" s="3196"/>
      <c r="G33" s="3196"/>
    </row>
    <row r="34" spans="1:7" hidden="1">
      <c r="A34" s="1330">
        <v>1</v>
      </c>
      <c r="B34" s="1327" t="s">
        <v>1130</v>
      </c>
      <c r="C34" s="1327"/>
      <c r="D34" s="1327"/>
      <c r="E34" s="3197"/>
      <c r="F34" s="3197"/>
      <c r="G34" s="3197"/>
    </row>
    <row r="35" spans="1:7" hidden="1">
      <c r="A35" s="1330">
        <v>2</v>
      </c>
      <c r="B35" s="1327" t="s">
        <v>1131</v>
      </c>
      <c r="C35" s="1327"/>
      <c r="D35" s="1327"/>
      <c r="E35" s="3197"/>
      <c r="F35" s="3197"/>
      <c r="G35" s="3197"/>
    </row>
    <row r="36" spans="1:7" hidden="1">
      <c r="A36" s="1330">
        <v>3</v>
      </c>
      <c r="B36" s="1327" t="s">
        <v>1132</v>
      </c>
      <c r="C36" s="1327"/>
      <c r="D36" s="1327"/>
      <c r="E36" s="3197"/>
      <c r="F36" s="3197"/>
      <c r="G36" s="3197"/>
    </row>
    <row r="37" spans="1:7" hidden="1">
      <c r="A37" s="1330">
        <v>4</v>
      </c>
      <c r="B37" s="1327" t="s">
        <v>1133</v>
      </c>
      <c r="C37" s="1327"/>
      <c r="D37" s="1327"/>
      <c r="E37" s="3197"/>
      <c r="F37" s="3197"/>
      <c r="G37" s="3197"/>
    </row>
    <row r="38" spans="1:7" hidden="1">
      <c r="A38" s="3193" t="s">
        <v>1134</v>
      </c>
      <c r="B38" s="3194"/>
      <c r="C38" s="3194"/>
      <c r="D38" s="3195"/>
      <c r="E38" s="3196"/>
      <c r="F38" s="3196"/>
      <c r="G38" s="31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topLeftCell="A18" zoomScale="90" zoomScaleNormal="90" workbookViewId="0">
      <selection activeCell="M41" sqref="M4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3" t="s">
        <v>2530</v>
      </c>
      <c r="C1" s="1637" t="s">
        <v>2531</v>
      </c>
      <c r="D1" s="1624" t="s">
        <v>3093</v>
      </c>
      <c r="E1" s="2584"/>
      <c r="F1" s="2585" t="s">
        <v>2532</v>
      </c>
      <c r="G1" s="1634" t="s">
        <v>2533</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f>IF(C2="——",ROUND(C49*D3/10000,0),ROUND(C49*D3/10000,0)-D2)</f>
        <v>56830</v>
      </c>
      <c r="C2" s="2587" t="s">
        <v>70</v>
      </c>
      <c r="D2" s="1367" t="e">
        <f ca="1">SUMIF(INDIRECT("'"&amp;F2&amp;"'"&amp;"!A:A"),"承租人权益价值",INDIRECT("'"&amp;F2&amp;"'"&amp;"!c:c"))</f>
        <v>#REF!</v>
      </c>
      <c r="E2" s="2588" t="s">
        <v>2534</v>
      </c>
      <c r="F2" s="2589" t="s">
        <v>3152</v>
      </c>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22892</v>
      </c>
      <c r="C3" s="400" t="s">
        <v>2535</v>
      </c>
      <c r="D3" s="399">
        <f>IF(D1="",'数据-汇总表'!E3,SUMIF('数据-汇总表'!$C19:$C33,D1,'数据-汇总表'!$E19:$E33))</f>
        <v>24825.22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2536</v>
      </c>
      <c r="B4" s="402"/>
      <c r="C4" s="3148" t="s">
        <v>2537</v>
      </c>
      <c r="D4" s="3161"/>
      <c r="E4" s="3162" t="s">
        <v>2538</v>
      </c>
      <c r="F4" s="3163"/>
      <c r="G4" s="3148" t="s">
        <v>2539</v>
      </c>
      <c r="H4" s="3161"/>
      <c r="I4" s="3148" t="s">
        <v>2540</v>
      </c>
      <c r="J4" s="3161"/>
      <c r="K4" s="2597" t="s">
        <v>2541</v>
      </c>
      <c r="L4" s="1132"/>
      <c r="M4" s="1133"/>
      <c r="N4" s="1133"/>
      <c r="O4" s="1133"/>
      <c r="P4" s="3164" t="s">
        <v>2542</v>
      </c>
      <c r="Q4" s="3165"/>
      <c r="R4" s="3170" t="s">
        <v>2538</v>
      </c>
      <c r="S4" s="3171"/>
      <c r="T4" s="3170" t="s">
        <v>2539</v>
      </c>
      <c r="U4" s="3171"/>
      <c r="V4" s="3157" t="s">
        <v>2540</v>
      </c>
      <c r="W4" s="3157"/>
      <c r="X4" s="1816"/>
      <c r="Y4" s="3170" t="s">
        <v>2542</v>
      </c>
      <c r="Z4" s="3171"/>
      <c r="AA4" s="3158" t="s">
        <v>2538</v>
      </c>
      <c r="AB4" s="3158" t="s">
        <v>2539</v>
      </c>
      <c r="AC4" s="3158" t="s">
        <v>2540</v>
      </c>
    </row>
    <row r="5" spans="1:29" ht="15">
      <c r="A5" s="404"/>
      <c r="B5" s="405"/>
      <c r="C5" s="3222" t="str">
        <f>'土地比较法-住宅、综合'!C5:D5</f>
        <v>陕西省西安市新城区华清西路以南、金花北路以西</v>
      </c>
      <c r="D5" s="3179"/>
      <c r="E5" s="3185" t="s">
        <v>3153</v>
      </c>
      <c r="F5" s="3186"/>
      <c r="G5" s="3178" t="s">
        <v>3206</v>
      </c>
      <c r="H5" s="3179"/>
      <c r="I5" s="3178" t="s">
        <v>3208</v>
      </c>
      <c r="J5" s="3179"/>
      <c r="K5" s="2598"/>
      <c r="L5" s="1132"/>
      <c r="M5" s="1133"/>
      <c r="N5" s="1133"/>
      <c r="O5" s="1133"/>
      <c r="P5" s="3166"/>
      <c r="Q5" s="3167"/>
      <c r="R5" s="3172"/>
      <c r="S5" s="3173"/>
      <c r="T5" s="3172"/>
      <c r="U5" s="3173"/>
      <c r="V5" s="3157"/>
      <c r="W5" s="3157"/>
      <c r="X5" s="1816"/>
      <c r="Y5" s="3172"/>
      <c r="Z5" s="3173"/>
      <c r="AA5" s="3159"/>
      <c r="AB5" s="3159"/>
      <c r="AC5" s="3159"/>
    </row>
    <row r="6" spans="1:29" ht="15.75" thickBot="1">
      <c r="A6" s="406"/>
      <c r="B6" s="407"/>
      <c r="C6" s="3223" t="str">
        <f>'土地比较法-住宅、综合'!C6:D6</f>
        <v>陕西省西安市新城区华清西路以南、金花北路以西</v>
      </c>
      <c r="D6" s="3177"/>
      <c r="E6" s="3183" t="s">
        <v>3154</v>
      </c>
      <c r="F6" s="3184"/>
      <c r="G6" s="3176" t="s">
        <v>3207</v>
      </c>
      <c r="H6" s="3177"/>
      <c r="I6" s="3176" t="s">
        <v>3209</v>
      </c>
      <c r="J6" s="3177"/>
      <c r="K6" s="2598" t="s">
        <v>2548</v>
      </c>
      <c r="L6" s="1132"/>
      <c r="M6" s="1133"/>
      <c r="N6" s="1133"/>
      <c r="O6" s="1133"/>
      <c r="P6" s="3168"/>
      <c r="Q6" s="3169"/>
      <c r="R6" s="3172"/>
      <c r="S6" s="3173"/>
      <c r="T6" s="3174"/>
      <c r="U6" s="3175"/>
      <c r="V6" s="3157"/>
      <c r="W6" s="3157"/>
      <c r="X6" s="1816"/>
      <c r="Y6" s="3174"/>
      <c r="Z6" s="3175"/>
      <c r="AA6" s="3160"/>
      <c r="AB6" s="3160"/>
      <c r="AC6" s="3160"/>
    </row>
    <row r="7" spans="1:29" s="116" customFormat="1" ht="15.75" thickBot="1">
      <c r="A7" s="408" t="s">
        <v>2549</v>
      </c>
      <c r="B7" s="409"/>
      <c r="C7" s="410">
        <f>'数据-取费表'!B2</f>
        <v>43025</v>
      </c>
      <c r="D7" s="411">
        <v>100</v>
      </c>
      <c r="E7" s="412">
        <f>C7</f>
        <v>43025</v>
      </c>
      <c r="F7" s="413">
        <f>SUMIF(58:58,YEAR(E7)&amp;"-"&amp;MONTH(E7),59:59)</f>
        <v>100</v>
      </c>
      <c r="G7" s="412">
        <f>C7</f>
        <v>43025</v>
      </c>
      <c r="H7" s="411">
        <f>SUMIF(58:58,YEAR(G7)&amp;"-"&amp;MONTH(G7),59:59)</f>
        <v>100</v>
      </c>
      <c r="I7" s="412">
        <f>C7</f>
        <v>43025</v>
      </c>
      <c r="J7" s="411">
        <f>SUMIF(58:58,YEAR(I7)&amp;"-"&amp;MONTH(I7),59:59)</f>
        <v>100</v>
      </c>
      <c r="K7" s="2599"/>
      <c r="L7" s="1134"/>
      <c r="M7" s="1135"/>
      <c r="N7" s="1135"/>
      <c r="O7" s="1135"/>
      <c r="P7" s="3180" t="s">
        <v>2550</v>
      </c>
      <c r="Q7" s="3182"/>
      <c r="R7" s="770" t="s">
        <v>23</v>
      </c>
      <c r="S7" s="771">
        <f t="shared" ref="S7:S15" si="0">F7</f>
        <v>100</v>
      </c>
      <c r="T7" s="770" t="s">
        <v>23</v>
      </c>
      <c r="U7" s="771">
        <f t="shared" ref="U7:U15" si="1">H7</f>
        <v>100</v>
      </c>
      <c r="V7" s="770" t="s">
        <v>23</v>
      </c>
      <c r="W7" s="771">
        <f t="shared" ref="W7:W15" si="2">J7</f>
        <v>100</v>
      </c>
      <c r="X7" s="772"/>
      <c r="Y7" s="3180" t="s">
        <v>2550</v>
      </c>
      <c r="Z7" s="3181"/>
      <c r="AA7" s="773">
        <f>D7/F7</f>
        <v>1</v>
      </c>
      <c r="AB7" s="773">
        <f>D7/H7</f>
        <v>1</v>
      </c>
      <c r="AC7" s="773">
        <f>D7/J7</f>
        <v>1</v>
      </c>
    </row>
    <row r="8" spans="1:29" s="116" customFormat="1" ht="15.75" thickBot="1">
      <c r="A8" s="408" t="s">
        <v>2551</v>
      </c>
      <c r="B8" s="409"/>
      <c r="C8" s="414" t="s">
        <v>2552</v>
      </c>
      <c r="D8" s="411">
        <v>100</v>
      </c>
      <c r="E8" s="2600" t="s">
        <v>3105</v>
      </c>
      <c r="F8" s="413">
        <f>SUMIF(61:61,E8,62:62)-SUMIF(61:61,C8,62:62)+100</f>
        <v>100</v>
      </c>
      <c r="G8" s="414" t="s">
        <v>3105</v>
      </c>
      <c r="H8" s="411">
        <f>SUMIF(61:61,G8,62:62)-SUMIF(61:61,C8,62:62)+100</f>
        <v>100</v>
      </c>
      <c r="I8" s="2600" t="s">
        <v>3105</v>
      </c>
      <c r="J8" s="411">
        <f>SUMIF(61:61,I8,62:62)-SUMIF(61:61,C8,62:62)+100</f>
        <v>100</v>
      </c>
      <c r="K8" s="2599"/>
      <c r="L8" s="1134"/>
      <c r="M8" s="1135"/>
      <c r="N8" s="1135"/>
      <c r="O8" s="1135"/>
      <c r="P8" s="3180" t="s">
        <v>2553</v>
      </c>
      <c r="Q8" s="3181"/>
      <c r="R8" s="770" t="s">
        <v>23</v>
      </c>
      <c r="S8" s="771">
        <f t="shared" si="0"/>
        <v>100</v>
      </c>
      <c r="T8" s="770" t="s">
        <v>23</v>
      </c>
      <c r="U8" s="771">
        <f t="shared" si="1"/>
        <v>100</v>
      </c>
      <c r="V8" s="770" t="s">
        <v>23</v>
      </c>
      <c r="W8" s="771">
        <f t="shared" si="2"/>
        <v>100</v>
      </c>
      <c r="X8" s="772"/>
      <c r="Y8" s="3180" t="s">
        <v>2553</v>
      </c>
      <c r="Z8" s="3181"/>
      <c r="AA8" s="773">
        <f t="shared" ref="AA8:AA19" si="3">D8/F8</f>
        <v>1</v>
      </c>
      <c r="AB8" s="773">
        <f t="shared" ref="AB8:AB19" si="4">D8/H8</f>
        <v>1</v>
      </c>
      <c r="AC8" s="773">
        <f t="shared" ref="AC8:AC19" si="5">D8/J8</f>
        <v>1</v>
      </c>
    </row>
    <row r="9" spans="1:29" s="116" customFormat="1">
      <c r="A9" s="415" t="s">
        <v>2554</v>
      </c>
      <c r="B9" s="70" t="s">
        <v>2555</v>
      </c>
      <c r="C9" s="2953" t="s">
        <v>3155</v>
      </c>
      <c r="D9" s="134">
        <v>100</v>
      </c>
      <c r="E9" s="417" t="s">
        <v>3076</v>
      </c>
      <c r="F9" s="418">
        <f>SUMIF(63:63,E9,64:64)-SUMIF(63:63,C9,64:64)+100</f>
        <v>100</v>
      </c>
      <c r="G9" s="419" t="s">
        <v>3076</v>
      </c>
      <c r="H9" s="134">
        <f>SUMIF(63:63,G9,64:64)-SUMIF(63:63,C9,64:64)+100</f>
        <v>100</v>
      </c>
      <c r="I9" s="419" t="s">
        <v>3076</v>
      </c>
      <c r="J9" s="134">
        <f>SUMIF(63:63,I9,64:64)-SUMIF(63:63,C9,64:64)+100</f>
        <v>100</v>
      </c>
      <c r="K9" s="2599"/>
      <c r="L9" s="1134"/>
      <c r="M9" s="1135"/>
      <c r="N9" s="1135"/>
      <c r="O9" s="1135"/>
      <c r="P9" s="3150" t="s">
        <v>2556</v>
      </c>
      <c r="Q9" s="1798" t="str">
        <f t="shared" ref="Q9:Q15" si="6">B9</f>
        <v>用途</v>
      </c>
      <c r="R9" s="770" t="s">
        <v>17</v>
      </c>
      <c r="S9" s="771">
        <f t="shared" si="0"/>
        <v>100</v>
      </c>
      <c r="T9" s="770" t="s">
        <v>17</v>
      </c>
      <c r="U9" s="771">
        <f t="shared" si="1"/>
        <v>100</v>
      </c>
      <c r="V9" s="770" t="s">
        <v>17</v>
      </c>
      <c r="W9" s="771">
        <f t="shared" si="2"/>
        <v>100</v>
      </c>
      <c r="X9" s="772"/>
      <c r="Y9" s="2999" t="s">
        <v>2557</v>
      </c>
      <c r="Z9" s="55" t="str">
        <f t="shared" ref="Z9:Z15" si="7">Q9</f>
        <v>用途</v>
      </c>
      <c r="AA9" s="773">
        <f t="shared" si="3"/>
        <v>1</v>
      </c>
      <c r="AB9" s="773">
        <f t="shared" si="4"/>
        <v>1</v>
      </c>
      <c r="AC9" s="773">
        <f t="shared" si="5"/>
        <v>1</v>
      </c>
    </row>
    <row r="10" spans="1:29" s="427" customFormat="1" ht="27">
      <c r="A10" s="421"/>
      <c r="B10" s="422" t="s">
        <v>2558</v>
      </c>
      <c r="C10" s="423" t="s">
        <v>3156</v>
      </c>
      <c r="D10" s="135">
        <v>100</v>
      </c>
      <c r="E10" s="424" t="s">
        <v>3156</v>
      </c>
      <c r="F10" s="425">
        <f>SUMIF(65:65,E10,66:66)-SUMIF(65:65,C10,66:66)+100</f>
        <v>100</v>
      </c>
      <c r="G10" s="423" t="s">
        <v>3156</v>
      </c>
      <c r="H10" s="135">
        <f>SUMIF(65:65,G10,66:66)-SUMIF(65:65,C10,66:66)+100</f>
        <v>100</v>
      </c>
      <c r="I10" s="423" t="s">
        <v>3156</v>
      </c>
      <c r="J10" s="135">
        <f>SUMIF(65:65,I10,66:66)-SUMIF(65:65,C10,66:66)+100</f>
        <v>100</v>
      </c>
      <c r="K10" s="426"/>
      <c r="L10" s="1137"/>
      <c r="M10" s="1138"/>
      <c r="N10" s="1138"/>
      <c r="O10" s="1138"/>
      <c r="P10" s="3150"/>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75" thickBot="1">
      <c r="A11" s="428"/>
      <c r="B11" s="422" t="s">
        <v>2559</v>
      </c>
      <c r="C11" s="429">
        <f>'土地比较法-住宅、综合'!C11</f>
        <v>3.45</v>
      </c>
      <c r="D11" s="135">
        <v>100</v>
      </c>
      <c r="E11" s="430">
        <v>3.53</v>
      </c>
      <c r="F11" s="425">
        <f>LOOKUP(E11,68:68,69:69)-LOOKUP(C11,68:68,69:69)+100</f>
        <v>100</v>
      </c>
      <c r="G11" s="429">
        <v>2.7</v>
      </c>
      <c r="H11" s="135">
        <f>LOOKUP(G11,68:68,69:69)-LOOKUP(C11,68:68,69:69)+100</f>
        <v>100</v>
      </c>
      <c r="I11" s="429">
        <v>2</v>
      </c>
      <c r="J11" s="135">
        <f>LOOKUP(I11,68:68,69:69)-LOOKUP(C11,68:68,69:69)+100</f>
        <v>100</v>
      </c>
      <c r="K11" s="426"/>
      <c r="L11" s="1140"/>
      <c r="M11" s="1133"/>
      <c r="N11" s="1133"/>
      <c r="O11" s="1133"/>
      <c r="P11" s="3150"/>
      <c r="Q11" s="1798" t="str">
        <f t="shared" si="6"/>
        <v>容积率</v>
      </c>
      <c r="R11" s="770" t="s">
        <v>21</v>
      </c>
      <c r="S11" s="771">
        <f t="shared" si="0"/>
        <v>100</v>
      </c>
      <c r="T11" s="770" t="s">
        <v>21</v>
      </c>
      <c r="U11" s="771">
        <f t="shared" si="1"/>
        <v>100</v>
      </c>
      <c r="V11" s="770" t="s">
        <v>21</v>
      </c>
      <c r="W11" s="771">
        <f t="shared" si="2"/>
        <v>100</v>
      </c>
      <c r="X11" s="772"/>
      <c r="Y11" s="2999"/>
      <c r="Z11" s="55" t="str">
        <f t="shared" si="7"/>
        <v>容积率</v>
      </c>
      <c r="AA11" s="773">
        <f t="shared" si="3"/>
        <v>1</v>
      </c>
      <c r="AB11" s="773">
        <f t="shared" si="4"/>
        <v>1</v>
      </c>
      <c r="AC11" s="773">
        <f t="shared" si="5"/>
        <v>1</v>
      </c>
    </row>
    <row r="12" spans="1:29" s="116" customFormat="1" ht="15" hidden="1">
      <c r="A12" s="431"/>
      <c r="B12" s="2601">
        <v>111</v>
      </c>
      <c r="C12" s="432"/>
      <c r="D12" s="433">
        <v>100</v>
      </c>
      <c r="E12" s="432"/>
      <c r="F12" s="425">
        <f>SUMIF(70:70,E12,71:71)-SUMIF(70:70,C12,71:71)+100</f>
        <v>100</v>
      </c>
      <c r="G12" s="432"/>
      <c r="H12" s="135">
        <f>SUMIF(70:70,G12,71:71)-SUMIF(70:70,C12,71:71)+100</f>
        <v>100</v>
      </c>
      <c r="I12" s="432"/>
      <c r="J12" s="135">
        <f>SUMIF(70:70,I12,71:71)-SUMIF(70:70,C12,71:71)+100</f>
        <v>100</v>
      </c>
      <c r="K12" s="2602"/>
      <c r="L12" s="1134"/>
      <c r="M12" s="1135"/>
      <c r="N12" s="1135"/>
      <c r="O12" s="1135"/>
      <c r="P12" s="3150"/>
      <c r="Q12" s="1798">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50"/>
      <c r="Q13" s="1798">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hidden="1"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50"/>
      <c r="Q14" s="1798">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9.75">
      <c r="A15" s="440" t="s">
        <v>2560</v>
      </c>
      <c r="B15" s="68" t="s">
        <v>2087</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0" t="s">
        <v>2561</v>
      </c>
      <c r="Q15" s="1813" t="str">
        <f t="shared" si="6"/>
        <v>居住社区成熟度</v>
      </c>
      <c r="R15" s="774" t="s">
        <v>21</v>
      </c>
      <c r="S15" s="775">
        <f t="shared" si="0"/>
        <v>100</v>
      </c>
      <c r="T15" s="774" t="s">
        <v>21</v>
      </c>
      <c r="U15" s="775">
        <f t="shared" si="1"/>
        <v>100</v>
      </c>
      <c r="V15" s="774" t="s">
        <v>21</v>
      </c>
      <c r="W15" s="775">
        <f t="shared" si="2"/>
        <v>100</v>
      </c>
      <c r="X15" s="1816"/>
      <c r="Y15" s="3153" t="s">
        <v>2561</v>
      </c>
      <c r="Z15" s="1817" t="str">
        <f t="shared" si="7"/>
        <v>居住社区成熟度</v>
      </c>
      <c r="AA15" s="1814">
        <f t="shared" si="3"/>
        <v>1</v>
      </c>
      <c r="AB15" s="1814">
        <f t="shared" si="4"/>
        <v>1</v>
      </c>
      <c r="AC15" s="1814">
        <f t="shared" si="5"/>
        <v>1</v>
      </c>
    </row>
    <row r="16" spans="1:29" ht="15">
      <c r="A16" s="428"/>
      <c r="B16" s="446"/>
      <c r="C16" s="447" t="s">
        <v>3108</v>
      </c>
      <c r="D16" s="448"/>
      <c r="E16" s="2605" t="s">
        <v>3108</v>
      </c>
      <c r="F16" s="448"/>
      <c r="G16" s="2606" t="s">
        <v>3108</v>
      </c>
      <c r="H16" s="450"/>
      <c r="I16" s="2606" t="s">
        <v>3108</v>
      </c>
      <c r="J16" s="448"/>
      <c r="K16" s="2607"/>
      <c r="L16" s="1142"/>
      <c r="M16" s="1133"/>
      <c r="N16" s="1133"/>
      <c r="O16" s="1133"/>
      <c r="P16" s="3221"/>
      <c r="Q16" s="1813"/>
      <c r="R16" s="774"/>
      <c r="S16" s="775"/>
      <c r="T16" s="774"/>
      <c r="U16" s="775"/>
      <c r="V16" s="774"/>
      <c r="W16" s="775"/>
      <c r="X16" s="1816"/>
      <c r="Y16" s="3154"/>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1"/>
      <c r="Q17" s="1813" t="str">
        <f>B17</f>
        <v>交通便捷度</v>
      </c>
      <c r="R17" s="774" t="s">
        <v>21</v>
      </c>
      <c r="S17" s="775">
        <f>F17</f>
        <v>100</v>
      </c>
      <c r="T17" s="774" t="s">
        <v>21</v>
      </c>
      <c r="U17" s="775">
        <f>H17</f>
        <v>100</v>
      </c>
      <c r="V17" s="774" t="s">
        <v>21</v>
      </c>
      <c r="W17" s="775">
        <f>J17</f>
        <v>100</v>
      </c>
      <c r="X17" s="1816"/>
      <c r="Y17" s="3154"/>
      <c r="Z17" s="1817" t="str">
        <f>Q17</f>
        <v>交通便捷度</v>
      </c>
      <c r="AA17" s="1814">
        <f t="shared" si="3"/>
        <v>1</v>
      </c>
      <c r="AB17" s="1814">
        <f t="shared" si="4"/>
        <v>1</v>
      </c>
      <c r="AC17" s="1814">
        <f t="shared" si="5"/>
        <v>1</v>
      </c>
    </row>
    <row r="18" spans="1:29" ht="15">
      <c r="A18" s="428"/>
      <c r="B18" s="456"/>
      <c r="C18" s="2609" t="s">
        <v>3109</v>
      </c>
      <c r="D18" s="450"/>
      <c r="E18" s="2610" t="s">
        <v>3109</v>
      </c>
      <c r="F18" s="450"/>
      <c r="G18" s="2611" t="s">
        <v>3109</v>
      </c>
      <c r="H18" s="448"/>
      <c r="I18" s="2611" t="s">
        <v>3109</v>
      </c>
      <c r="J18" s="448"/>
      <c r="K18" s="2607"/>
      <c r="L18" s="1142"/>
      <c r="M18" s="1133"/>
      <c r="N18" s="1133"/>
      <c r="O18" s="1133"/>
      <c r="P18" s="3221"/>
      <c r="Q18" s="1813"/>
      <c r="R18" s="774"/>
      <c r="S18" s="775"/>
      <c r="T18" s="774"/>
      <c r="U18" s="775"/>
      <c r="V18" s="774"/>
      <c r="W18" s="775"/>
      <c r="X18" s="1816"/>
      <c r="Y18" s="3154"/>
      <c r="Z18" s="1817"/>
      <c r="AA18" s="1814">
        <v>1</v>
      </c>
      <c r="AB18" s="1814">
        <v>1</v>
      </c>
      <c r="AC18" s="1814">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1"/>
      <c r="Q19" s="1813" t="str">
        <f>B19</f>
        <v>公共配套设施</v>
      </c>
      <c r="R19" s="774" t="s">
        <v>21</v>
      </c>
      <c r="S19" s="775">
        <f>F19</f>
        <v>100</v>
      </c>
      <c r="T19" s="774" t="s">
        <v>21</v>
      </c>
      <c r="U19" s="775">
        <f>H19</f>
        <v>100</v>
      </c>
      <c r="V19" s="774" t="s">
        <v>21</v>
      </c>
      <c r="W19" s="775">
        <f>J19</f>
        <v>100</v>
      </c>
      <c r="X19" s="1816"/>
      <c r="Y19" s="3154"/>
      <c r="Z19" s="1817" t="str">
        <f>Q19</f>
        <v>公共配套设施</v>
      </c>
      <c r="AA19" s="1814">
        <f t="shared" si="3"/>
        <v>1</v>
      </c>
      <c r="AB19" s="1814">
        <f t="shared" si="4"/>
        <v>1</v>
      </c>
      <c r="AC19" s="1814">
        <f t="shared" si="5"/>
        <v>1</v>
      </c>
    </row>
    <row r="20" spans="1:29" ht="15">
      <c r="A20" s="428"/>
      <c r="B20" s="456"/>
      <c r="C20" s="447" t="s">
        <v>3108</v>
      </c>
      <c r="D20" s="448"/>
      <c r="E20" s="2605" t="s">
        <v>3108</v>
      </c>
      <c r="F20" s="448"/>
      <c r="G20" s="2606" t="s">
        <v>3108</v>
      </c>
      <c r="H20" s="448"/>
      <c r="I20" s="2606" t="s">
        <v>3108</v>
      </c>
      <c r="J20" s="448"/>
      <c r="K20" s="2607"/>
      <c r="L20" s="1142"/>
      <c r="M20" s="1133"/>
      <c r="N20" s="1133"/>
      <c r="O20" s="1133"/>
      <c r="P20" s="3221"/>
      <c r="Q20" s="1813"/>
      <c r="R20" s="774"/>
      <c r="S20" s="775"/>
      <c r="T20" s="774"/>
      <c r="U20" s="775"/>
      <c r="V20" s="774"/>
      <c r="W20" s="775"/>
      <c r="X20" s="1816"/>
      <c r="Y20" s="3154"/>
      <c r="Z20" s="1817"/>
      <c r="AA20" s="1814">
        <v>1</v>
      </c>
      <c r="AB20" s="1814">
        <v>1</v>
      </c>
      <c r="AC20" s="1814">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1"/>
      <c r="Q21" s="1813" t="str">
        <f>B21</f>
        <v>基础设施水平</v>
      </c>
      <c r="R21" s="774" t="s">
        <v>17</v>
      </c>
      <c r="S21" s="775">
        <f>F21</f>
        <v>100</v>
      </c>
      <c r="T21" s="774" t="s">
        <v>17</v>
      </c>
      <c r="U21" s="775">
        <f>H21</f>
        <v>100</v>
      </c>
      <c r="V21" s="774" t="s">
        <v>17</v>
      </c>
      <c r="W21" s="775">
        <f>J21</f>
        <v>100</v>
      </c>
      <c r="X21" s="1816"/>
      <c r="Y21" s="3154"/>
      <c r="Z21" s="1817" t="str">
        <f>Q21</f>
        <v>基础设施水平</v>
      </c>
      <c r="AA21" s="1814">
        <f t="shared" ref="AA21" si="8">D21/F21</f>
        <v>1</v>
      </c>
      <c r="AB21" s="1814">
        <f t="shared" ref="AB21" si="9">D21/H21</f>
        <v>1</v>
      </c>
      <c r="AC21" s="1814">
        <f t="shared" ref="AC21" si="10">D21/J21</f>
        <v>1</v>
      </c>
    </row>
    <row r="22" spans="1:29" ht="15">
      <c r="A22" s="428"/>
      <c r="B22" s="1386"/>
      <c r="C22" s="2609" t="s">
        <v>3110</v>
      </c>
      <c r="D22" s="448"/>
      <c r="E22" s="447" t="s">
        <v>3110</v>
      </c>
      <c r="F22" s="448"/>
      <c r="G22" s="2612" t="s">
        <v>3110</v>
      </c>
      <c r="H22" s="448"/>
      <c r="I22" s="447" t="s">
        <v>3110</v>
      </c>
      <c r="J22" s="448"/>
      <c r="K22" s="2613"/>
      <c r="L22" s="1142"/>
      <c r="M22" s="1133"/>
      <c r="N22" s="1133"/>
      <c r="O22" s="1133"/>
      <c r="P22" s="3221"/>
      <c r="Q22" s="1813"/>
      <c r="R22" s="774"/>
      <c r="S22" s="775"/>
      <c r="T22" s="774"/>
      <c r="U22" s="775"/>
      <c r="V22" s="774"/>
      <c r="W22" s="775"/>
      <c r="X22" s="1816"/>
      <c r="Y22" s="3154"/>
      <c r="Z22" s="1817"/>
      <c r="AA22" s="1814">
        <v>1</v>
      </c>
      <c r="AB22" s="1814">
        <v>1</v>
      </c>
      <c r="AC22" s="1814">
        <v>1</v>
      </c>
    </row>
    <row r="23" spans="1:29" ht="57">
      <c r="A23" s="428"/>
      <c r="B23" s="451" t="s">
        <v>2104</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97</v>
      </c>
      <c r="K23" s="445">
        <v>3</v>
      </c>
      <c r="L23" s="1142"/>
      <c r="M23" s="1133"/>
      <c r="N23" s="1133"/>
      <c r="O23" s="1133"/>
      <c r="P23" s="3221"/>
      <c r="Q23" s="1813" t="str">
        <f>B23</f>
        <v>自然及人文环境</v>
      </c>
      <c r="R23" s="774" t="s">
        <v>21</v>
      </c>
      <c r="S23" s="775">
        <f>F23</f>
        <v>100</v>
      </c>
      <c r="T23" s="774" t="s">
        <v>21</v>
      </c>
      <c r="U23" s="775">
        <f>H23</f>
        <v>100</v>
      </c>
      <c r="V23" s="774" t="s">
        <v>21</v>
      </c>
      <c r="W23" s="775">
        <f>J23</f>
        <v>97</v>
      </c>
      <c r="X23" s="1816"/>
      <c r="Y23" s="3154"/>
      <c r="Z23" s="1817" t="str">
        <f>Q23</f>
        <v>自然及人文环境</v>
      </c>
      <c r="AA23" s="1814">
        <f>D23/F23</f>
        <v>1</v>
      </c>
      <c r="AB23" s="1814">
        <f>D23/H23</f>
        <v>1</v>
      </c>
      <c r="AC23" s="1814">
        <f>D23/J23</f>
        <v>1.0309278350515463</v>
      </c>
    </row>
    <row r="24" spans="1:29" ht="15.75" thickBot="1">
      <c r="A24" s="428"/>
      <c r="B24" s="456"/>
      <c r="C24" s="447" t="s">
        <v>3109</v>
      </c>
      <c r="D24" s="448"/>
      <c r="E24" s="2605" t="s">
        <v>3109</v>
      </c>
      <c r="F24" s="448"/>
      <c r="G24" s="2606" t="s">
        <v>3109</v>
      </c>
      <c r="H24" s="448"/>
      <c r="I24" s="2606" t="s">
        <v>3108</v>
      </c>
      <c r="J24" s="448"/>
      <c r="K24" s="2607"/>
      <c r="L24" s="1142"/>
      <c r="M24" s="1133"/>
      <c r="N24" s="1133"/>
      <c r="O24" s="1133"/>
      <c r="P24" s="3221"/>
      <c r="Q24" s="1813"/>
      <c r="R24" s="774"/>
      <c r="S24" s="775"/>
      <c r="T24" s="774"/>
      <c r="U24" s="775"/>
      <c r="V24" s="774"/>
      <c r="W24" s="775"/>
      <c r="X24" s="1816"/>
      <c r="Y24" s="3154"/>
      <c r="Z24" s="1817"/>
      <c r="AA24" s="1814">
        <v>1</v>
      </c>
      <c r="AB24" s="1814">
        <v>1</v>
      </c>
      <c r="AC24" s="1814">
        <v>1</v>
      </c>
    </row>
    <row r="25" spans="1:29" ht="15" hidden="1">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2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4"/>
      <c r="Z25" s="1817" t="str">
        <f>Q25</f>
        <v>楼层-1</v>
      </c>
      <c r="AA25" s="1814">
        <f t="shared" ref="AA25:AA46" si="15">D25/F25</f>
        <v>1</v>
      </c>
      <c r="AB25" s="1814">
        <f t="shared" ref="AB25:AB46" si="16">D25/H25</f>
        <v>1</v>
      </c>
      <c r="AC25" s="1814">
        <f t="shared" ref="AC25:AC46" si="17">D25/J25</f>
        <v>1</v>
      </c>
    </row>
    <row r="26" spans="1:29" ht="15" hidden="1">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21"/>
      <c r="Q26" s="1813" t="str">
        <f t="shared" si="11"/>
        <v>朝向</v>
      </c>
      <c r="R26" s="774" t="s">
        <v>21</v>
      </c>
      <c r="S26" s="775">
        <f t="shared" si="12"/>
        <v>100</v>
      </c>
      <c r="T26" s="774" t="s">
        <v>21</v>
      </c>
      <c r="U26" s="775">
        <f t="shared" si="13"/>
        <v>100</v>
      </c>
      <c r="V26" s="774" t="s">
        <v>21</v>
      </c>
      <c r="W26" s="775">
        <f t="shared" si="14"/>
        <v>100</v>
      </c>
      <c r="X26" s="1816"/>
      <c r="Y26" s="3154"/>
      <c r="Z26" s="1817" t="str">
        <f>Q26</f>
        <v>朝向</v>
      </c>
      <c r="AA26" s="1814">
        <f t="shared" si="15"/>
        <v>1</v>
      </c>
      <c r="AB26" s="1814">
        <f t="shared" si="16"/>
        <v>1</v>
      </c>
      <c r="AC26" s="1814">
        <f t="shared" si="17"/>
        <v>1</v>
      </c>
    </row>
    <row r="27" spans="1:29" s="116" customFormat="1" ht="15" hidden="1">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21"/>
      <c r="Q27" s="1798">
        <f t="shared" si="11"/>
        <v>111</v>
      </c>
      <c r="R27" s="770" t="s">
        <v>21</v>
      </c>
      <c r="S27" s="771">
        <f t="shared" si="12"/>
        <v>100</v>
      </c>
      <c r="T27" s="770" t="s">
        <v>21</v>
      </c>
      <c r="U27" s="771">
        <f t="shared" si="13"/>
        <v>100</v>
      </c>
      <c r="V27" s="770" t="s">
        <v>21</v>
      </c>
      <c r="W27" s="771">
        <f t="shared" si="14"/>
        <v>100</v>
      </c>
      <c r="X27" s="772"/>
      <c r="Y27" s="3154"/>
      <c r="Z27" s="55">
        <f>Q27</f>
        <v>111</v>
      </c>
      <c r="AA27" s="1814">
        <f t="shared" si="15"/>
        <v>1</v>
      </c>
      <c r="AB27" s="1814">
        <f t="shared" si="16"/>
        <v>1</v>
      </c>
      <c r="AC27" s="1814">
        <f t="shared" si="17"/>
        <v>1</v>
      </c>
    </row>
    <row r="28" spans="1:29" ht="15" hidden="1">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21"/>
      <c r="Q28" s="1813">
        <f t="shared" si="11"/>
        <v>111</v>
      </c>
      <c r="R28" s="774" t="s">
        <v>21</v>
      </c>
      <c r="S28" s="775">
        <f t="shared" si="12"/>
        <v>100</v>
      </c>
      <c r="T28" s="774" t="s">
        <v>21</v>
      </c>
      <c r="U28" s="775">
        <f t="shared" si="13"/>
        <v>100</v>
      </c>
      <c r="V28" s="774" t="s">
        <v>21</v>
      </c>
      <c r="W28" s="775">
        <f t="shared" si="14"/>
        <v>100</v>
      </c>
      <c r="X28" s="1816"/>
      <c r="Y28" s="3154"/>
      <c r="Z28" s="1817">
        <f t="shared" ref="Z28:Z46" si="18">Q28</f>
        <v>111</v>
      </c>
      <c r="AA28" s="1814">
        <f t="shared" si="15"/>
        <v>1</v>
      </c>
      <c r="AB28" s="1814">
        <f t="shared" si="16"/>
        <v>1</v>
      </c>
      <c r="AC28" s="1814">
        <f t="shared" si="17"/>
        <v>1</v>
      </c>
    </row>
    <row r="29" spans="1:29" ht="15" hidden="1">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21"/>
      <c r="Q29" s="1813">
        <f t="shared" si="11"/>
        <v>111</v>
      </c>
      <c r="R29" s="774" t="s">
        <v>21</v>
      </c>
      <c r="S29" s="775">
        <f t="shared" si="12"/>
        <v>100</v>
      </c>
      <c r="T29" s="774" t="s">
        <v>21</v>
      </c>
      <c r="U29" s="775">
        <f t="shared" si="13"/>
        <v>100</v>
      </c>
      <c r="V29" s="774" t="s">
        <v>21</v>
      </c>
      <c r="W29" s="775">
        <f t="shared" si="14"/>
        <v>100</v>
      </c>
      <c r="X29" s="1816"/>
      <c r="Y29" s="3154"/>
      <c r="Z29" s="1817">
        <f t="shared" si="18"/>
        <v>111</v>
      </c>
      <c r="AA29" s="1814">
        <f t="shared" si="15"/>
        <v>1</v>
      </c>
      <c r="AB29" s="1814">
        <f t="shared" si="16"/>
        <v>1</v>
      </c>
      <c r="AC29" s="1814">
        <f t="shared" si="17"/>
        <v>1</v>
      </c>
    </row>
    <row r="30" spans="1:29" ht="15" hidden="1">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21"/>
      <c r="Q30" s="1813">
        <f t="shared" si="11"/>
        <v>111</v>
      </c>
      <c r="R30" s="774" t="s">
        <v>21</v>
      </c>
      <c r="S30" s="775">
        <f t="shared" si="12"/>
        <v>100</v>
      </c>
      <c r="T30" s="774" t="s">
        <v>21</v>
      </c>
      <c r="U30" s="775">
        <f t="shared" si="13"/>
        <v>100</v>
      </c>
      <c r="V30" s="774" t="s">
        <v>21</v>
      </c>
      <c r="W30" s="775">
        <f t="shared" si="14"/>
        <v>100</v>
      </c>
      <c r="X30" s="1816"/>
      <c r="Y30" s="3154"/>
      <c r="Z30" s="1817">
        <f t="shared" si="18"/>
        <v>111</v>
      </c>
      <c r="AA30" s="1814">
        <f t="shared" si="15"/>
        <v>1</v>
      </c>
      <c r="AB30" s="1814">
        <f t="shared" si="16"/>
        <v>1</v>
      </c>
      <c r="AC30" s="1814">
        <f t="shared" si="17"/>
        <v>1</v>
      </c>
    </row>
    <row r="31" spans="1:29" ht="15.75" hidden="1"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21"/>
      <c r="Q31" s="1813">
        <f t="shared" si="11"/>
        <v>111</v>
      </c>
      <c r="R31" s="774" t="s">
        <v>21</v>
      </c>
      <c r="S31" s="775">
        <f t="shared" si="12"/>
        <v>100</v>
      </c>
      <c r="T31" s="774" t="s">
        <v>21</v>
      </c>
      <c r="U31" s="775">
        <f t="shared" si="13"/>
        <v>100</v>
      </c>
      <c r="V31" s="774" t="s">
        <v>21</v>
      </c>
      <c r="W31" s="775">
        <f t="shared" si="14"/>
        <v>100</v>
      </c>
      <c r="X31" s="1816"/>
      <c r="Y31" s="3154"/>
      <c r="Z31" s="1817">
        <f t="shared" si="18"/>
        <v>111</v>
      </c>
      <c r="AA31" s="1814">
        <f t="shared" si="15"/>
        <v>1</v>
      </c>
      <c r="AB31" s="1814">
        <f t="shared" si="16"/>
        <v>1</v>
      </c>
      <c r="AC31" s="1814">
        <f t="shared" si="17"/>
        <v>1</v>
      </c>
    </row>
    <row r="32" spans="1:29" ht="15">
      <c r="A32" s="440" t="s">
        <v>2564</v>
      </c>
      <c r="B32" s="70" t="s">
        <v>2565</v>
      </c>
      <c r="C32" s="2618" t="s">
        <v>3160</v>
      </c>
      <c r="D32" s="467">
        <v>100</v>
      </c>
      <c r="E32" s="2619" t="s">
        <v>3160</v>
      </c>
      <c r="F32" s="461">
        <f>SUMIF(100:100,E32,101:101)-SUMIF(100:100,C32,101:101)+100</f>
        <v>100</v>
      </c>
      <c r="G32" s="2618" t="s">
        <v>3160</v>
      </c>
      <c r="H32" s="467">
        <f>SUMIF(100:100,G32,101:101)-SUMIF(100:100,C32,101:101)+100</f>
        <v>100</v>
      </c>
      <c r="I32" s="2619" t="s">
        <v>3160</v>
      </c>
      <c r="J32" s="435">
        <f>SUMIF(100:100,I32,101:101)-SUMIF(100:100,C32,101:101)+100</f>
        <v>100</v>
      </c>
      <c r="K32" s="426"/>
      <c r="L32" s="1142"/>
      <c r="M32" s="1133"/>
      <c r="N32" s="1133"/>
      <c r="O32" s="1133"/>
      <c r="P32" s="3216" t="s">
        <v>2566</v>
      </c>
      <c r="Q32" s="1813" t="str">
        <f t="shared" si="11"/>
        <v>建筑类型</v>
      </c>
      <c r="R32" s="774" t="s">
        <v>21</v>
      </c>
      <c r="S32" s="775">
        <f t="shared" si="12"/>
        <v>100</v>
      </c>
      <c r="T32" s="774" t="s">
        <v>21</v>
      </c>
      <c r="U32" s="775">
        <f t="shared" si="13"/>
        <v>100</v>
      </c>
      <c r="V32" s="774" t="s">
        <v>21</v>
      </c>
      <c r="W32" s="775">
        <f t="shared" si="14"/>
        <v>100</v>
      </c>
      <c r="X32" s="1816"/>
      <c r="Y32" s="3156" t="s">
        <v>2566</v>
      </c>
      <c r="Z32" s="1817" t="str">
        <f t="shared" si="18"/>
        <v>建筑类型</v>
      </c>
      <c r="AA32" s="1814">
        <f t="shared" si="15"/>
        <v>1</v>
      </c>
      <c r="AB32" s="1814">
        <f t="shared" si="16"/>
        <v>1</v>
      </c>
      <c r="AC32" s="1814">
        <f t="shared" si="17"/>
        <v>1</v>
      </c>
    </row>
    <row r="33" spans="1:29" s="471" customFormat="1" ht="15">
      <c r="A33" s="468"/>
      <c r="B33" s="422" t="s">
        <v>2567</v>
      </c>
      <c r="C33" s="469">
        <f>'数据-汇总表'!E3</f>
        <v>210072.84</v>
      </c>
      <c r="D33" s="135">
        <v>100</v>
      </c>
      <c r="E33" s="430">
        <v>530000</v>
      </c>
      <c r="F33" s="425">
        <f>LOOKUP(E33,103:103,104:104)-LOOKUP(C33,103:103,104:104)+100</f>
        <v>103</v>
      </c>
      <c r="G33" s="429">
        <v>650000</v>
      </c>
      <c r="H33" s="135">
        <f>LOOKUP(G33,103:103,104:104)-LOOKUP(C33,103:103,104:104)+100</f>
        <v>103</v>
      </c>
      <c r="I33" s="430">
        <v>240000</v>
      </c>
      <c r="J33" s="135">
        <f>LOOKUP(I33,103:103,104:104)-LOOKUP(C33,103:103,104:104)+100</f>
        <v>100</v>
      </c>
      <c r="K33" s="2602"/>
      <c r="L33" s="1140"/>
      <c r="M33" s="1143"/>
      <c r="N33" s="1143"/>
      <c r="O33" s="1143"/>
      <c r="P33" s="3217"/>
      <c r="Q33" s="776" t="str">
        <f t="shared" si="11"/>
        <v>项目建筑规模</v>
      </c>
      <c r="R33" s="777" t="s">
        <v>21</v>
      </c>
      <c r="S33" s="778">
        <f t="shared" si="12"/>
        <v>103</v>
      </c>
      <c r="T33" s="777" t="s">
        <v>21</v>
      </c>
      <c r="U33" s="778">
        <f t="shared" si="13"/>
        <v>103</v>
      </c>
      <c r="V33" s="777" t="s">
        <v>21</v>
      </c>
      <c r="W33" s="778">
        <f t="shared" si="14"/>
        <v>100</v>
      </c>
      <c r="X33" s="779"/>
      <c r="Y33" s="3156"/>
      <c r="Z33" s="780" t="str">
        <f t="shared" si="18"/>
        <v>项目建筑规模</v>
      </c>
      <c r="AA33" s="1814">
        <f t="shared" si="15"/>
        <v>0.970873786407767</v>
      </c>
      <c r="AB33" s="1814">
        <f t="shared" si="16"/>
        <v>0.970873786407767</v>
      </c>
      <c r="AC33" s="1814">
        <f t="shared" si="17"/>
        <v>1</v>
      </c>
    </row>
    <row r="34" spans="1:29" ht="15">
      <c r="A34" s="472"/>
      <c r="B34" s="422" t="s">
        <v>2568</v>
      </c>
      <c r="C34" s="2620" t="s">
        <v>3162</v>
      </c>
      <c r="D34" s="435">
        <v>100</v>
      </c>
      <c r="E34" s="2621" t="s">
        <v>3162</v>
      </c>
      <c r="F34" s="461">
        <f>SUMIF(105:105,E34,106:106)-SUMIF(105:105,C34,106:106)+100</f>
        <v>100</v>
      </c>
      <c r="G34" s="2620" t="s">
        <v>3162</v>
      </c>
      <c r="H34" s="435">
        <f>SUMIF(105:105,G34,106:106)-SUMIF(105:105,C34,106:106)+100</f>
        <v>100</v>
      </c>
      <c r="I34" s="2621" t="s">
        <v>3162</v>
      </c>
      <c r="J34" s="435">
        <f>SUMIF(105:105,I34,106:106)-SUMIF(105:105,C34,106:106)+100</f>
        <v>100</v>
      </c>
      <c r="K34" s="426"/>
      <c r="L34" s="1142"/>
      <c r="M34" s="1133"/>
      <c r="N34" s="1133"/>
      <c r="O34" s="1133"/>
      <c r="P34" s="3217"/>
      <c r="Q34" s="1813" t="str">
        <f t="shared" si="11"/>
        <v>建筑结构</v>
      </c>
      <c r="R34" s="774" t="s">
        <v>21</v>
      </c>
      <c r="S34" s="775">
        <f t="shared" si="12"/>
        <v>100</v>
      </c>
      <c r="T34" s="774" t="s">
        <v>21</v>
      </c>
      <c r="U34" s="775">
        <f t="shared" si="13"/>
        <v>100</v>
      </c>
      <c r="V34" s="774" t="s">
        <v>21</v>
      </c>
      <c r="W34" s="775">
        <f t="shared" si="14"/>
        <v>100</v>
      </c>
      <c r="X34" s="1816"/>
      <c r="Y34" s="3156"/>
      <c r="Z34" s="1817" t="str">
        <f t="shared" si="18"/>
        <v>建筑结构</v>
      </c>
      <c r="AA34" s="1814">
        <f t="shared" si="15"/>
        <v>1</v>
      </c>
      <c r="AB34" s="1814">
        <f t="shared" si="16"/>
        <v>1</v>
      </c>
      <c r="AC34" s="1814">
        <f t="shared" si="17"/>
        <v>1</v>
      </c>
    </row>
    <row r="35" spans="1:29" ht="15">
      <c r="A35" s="472"/>
      <c r="B35" s="422" t="s">
        <v>2569</v>
      </c>
      <c r="C35" s="2614" t="s">
        <v>3166</v>
      </c>
      <c r="D35" s="435">
        <v>100</v>
      </c>
      <c r="E35" s="2615" t="s">
        <v>3166</v>
      </c>
      <c r="F35" s="461">
        <f>SUMIF(107:107,E35,108:108)-SUMIF(107:107,C35,108:108)+100</f>
        <v>100</v>
      </c>
      <c r="G35" s="2614" t="s">
        <v>3168</v>
      </c>
      <c r="H35" s="435">
        <f>SUMIF(107:107,G35,108:108)-SUMIF(107:107,C35,108:108)+100</f>
        <v>95</v>
      </c>
      <c r="I35" s="2615" t="s">
        <v>3168</v>
      </c>
      <c r="J35" s="435">
        <f>SUMIF(107:107,I35,108:108)-SUMIF(107:107,C35,108:108)+100</f>
        <v>95</v>
      </c>
      <c r="K35" s="426">
        <v>5</v>
      </c>
      <c r="L35" s="1142"/>
      <c r="M35" s="1133"/>
      <c r="N35" s="1133"/>
      <c r="O35" s="1133"/>
      <c r="P35" s="3217"/>
      <c r="Q35" s="1813" t="str">
        <f t="shared" si="11"/>
        <v>建筑品质</v>
      </c>
      <c r="R35" s="774" t="s">
        <v>21</v>
      </c>
      <c r="S35" s="775">
        <f t="shared" si="12"/>
        <v>100</v>
      </c>
      <c r="T35" s="774" t="s">
        <v>21</v>
      </c>
      <c r="U35" s="775">
        <f t="shared" si="13"/>
        <v>95</v>
      </c>
      <c r="V35" s="774" t="s">
        <v>21</v>
      </c>
      <c r="W35" s="775">
        <f t="shared" si="14"/>
        <v>95</v>
      </c>
      <c r="X35" s="1816"/>
      <c r="Y35" s="3156"/>
      <c r="Z35" s="1817" t="str">
        <f t="shared" si="18"/>
        <v>建筑品质</v>
      </c>
      <c r="AA35" s="1814">
        <f t="shared" si="15"/>
        <v>1</v>
      </c>
      <c r="AB35" s="1814">
        <f t="shared" si="16"/>
        <v>1.0526315789473684</v>
      </c>
      <c r="AC35" s="1814">
        <f t="shared" si="17"/>
        <v>1.0526315789473684</v>
      </c>
    </row>
    <row r="36" spans="1:29" ht="15">
      <c r="A36" s="472"/>
      <c r="B36" s="422" t="s">
        <v>2570</v>
      </c>
      <c r="C36" s="2614" t="s">
        <v>3171</v>
      </c>
      <c r="D36" s="435">
        <v>100</v>
      </c>
      <c r="E36" s="2615" t="s">
        <v>3173</v>
      </c>
      <c r="F36" s="461">
        <f>SUMIF(109:109,E36,110:110)-SUMIF(109:109,C36,110:110)+100</f>
        <v>90</v>
      </c>
      <c r="G36" s="2614" t="s">
        <v>3173</v>
      </c>
      <c r="H36" s="435">
        <f>SUMIF(109:109,G36,110:110)-SUMIF(109:109,C36,110:110)+100</f>
        <v>90</v>
      </c>
      <c r="I36" s="2615" t="s">
        <v>3173</v>
      </c>
      <c r="J36" s="435">
        <f>SUMIF(109:109,I36,110:110)-SUMIF(109:109,C36,110:110)+100</f>
        <v>90</v>
      </c>
      <c r="K36" s="426">
        <v>10</v>
      </c>
      <c r="L36" s="1142"/>
      <c r="M36" s="1133"/>
      <c r="N36" s="1133"/>
      <c r="O36" s="1133"/>
      <c r="P36" s="3217"/>
      <c r="Q36" s="1813" t="str">
        <f t="shared" si="11"/>
        <v>公共部分装修</v>
      </c>
      <c r="R36" s="774" t="s">
        <v>21</v>
      </c>
      <c r="S36" s="775">
        <f t="shared" si="12"/>
        <v>90</v>
      </c>
      <c r="T36" s="774" t="s">
        <v>21</v>
      </c>
      <c r="U36" s="775">
        <f t="shared" si="13"/>
        <v>90</v>
      </c>
      <c r="V36" s="774" t="s">
        <v>21</v>
      </c>
      <c r="W36" s="775">
        <f t="shared" si="14"/>
        <v>90</v>
      </c>
      <c r="X36" s="1816"/>
      <c r="Y36" s="3156"/>
      <c r="Z36" s="1817" t="str">
        <f t="shared" si="18"/>
        <v>公共部分装修</v>
      </c>
      <c r="AA36" s="1814">
        <f t="shared" si="15"/>
        <v>1.1111111111111112</v>
      </c>
      <c r="AB36" s="1814">
        <f t="shared" si="16"/>
        <v>1.1111111111111112</v>
      </c>
      <c r="AC36" s="1814">
        <f t="shared" si="17"/>
        <v>1.1111111111111112</v>
      </c>
    </row>
    <row r="37" spans="1:29" s="116" customFormat="1" ht="15" hidden="1">
      <c r="A37" s="473"/>
      <c r="B37" s="422" t="s">
        <v>2571</v>
      </c>
      <c r="C37" s="474">
        <v>1</v>
      </c>
      <c r="D37" s="135">
        <v>100</v>
      </c>
      <c r="E37" s="474">
        <v>1</v>
      </c>
      <c r="F37" s="425">
        <f>LOOKUP(E37,112:112,113:113)-LOOKUP(C37,112:112,113:113)+100</f>
        <v>100</v>
      </c>
      <c r="G37" s="476">
        <v>1</v>
      </c>
      <c r="H37" s="135">
        <f>LOOKUP(G37,112:112,113:113)-LOOKUP(C37,112:112,113:113)+100</f>
        <v>100</v>
      </c>
      <c r="I37" s="475">
        <v>1</v>
      </c>
      <c r="J37" s="135">
        <f>LOOKUP(I37,112:112,113:113)-LOOKUP(C37,112:112,113:113)+100</f>
        <v>100</v>
      </c>
      <c r="K37" s="426"/>
      <c r="L37" s="1134"/>
      <c r="M37" s="1135"/>
      <c r="N37" s="1135"/>
      <c r="O37" s="1135"/>
      <c r="P37" s="3217"/>
      <c r="Q37" s="1798" t="str">
        <f t="shared" si="11"/>
        <v>成新度</v>
      </c>
      <c r="R37" s="770" t="s">
        <v>21</v>
      </c>
      <c r="S37" s="771">
        <f t="shared" si="12"/>
        <v>100</v>
      </c>
      <c r="T37" s="770" t="s">
        <v>21</v>
      </c>
      <c r="U37" s="771">
        <f t="shared" si="13"/>
        <v>100</v>
      </c>
      <c r="V37" s="770" t="s">
        <v>21</v>
      </c>
      <c r="W37" s="771">
        <f t="shared" si="14"/>
        <v>100</v>
      </c>
      <c r="X37" s="772"/>
      <c r="Y37" s="3156"/>
      <c r="Z37" s="55" t="str">
        <f t="shared" si="18"/>
        <v>成新度</v>
      </c>
      <c r="AA37" s="773">
        <f t="shared" si="15"/>
        <v>1</v>
      </c>
      <c r="AB37" s="773">
        <f t="shared" si="16"/>
        <v>1</v>
      </c>
      <c r="AC37" s="773">
        <f t="shared" si="17"/>
        <v>1</v>
      </c>
    </row>
    <row r="38" spans="1:29" ht="15">
      <c r="A38" s="472"/>
      <c r="B38" s="422" t="s">
        <v>2572</v>
      </c>
      <c r="C38" s="2614" t="s">
        <v>3178</v>
      </c>
      <c r="D38" s="435">
        <v>100</v>
      </c>
      <c r="E38" s="2615" t="s">
        <v>3178</v>
      </c>
      <c r="F38" s="461">
        <f>SUMIF(114:114,E38,115:115)-SUMIF(114:114,C38,115:115)+100</f>
        <v>100</v>
      </c>
      <c r="G38" s="2614" t="s">
        <v>3178</v>
      </c>
      <c r="H38" s="435">
        <f>SUMIF(114:114,G38,115:115)-SUMIF(114:114,C38,115:115)+100</f>
        <v>100</v>
      </c>
      <c r="I38" s="2615" t="s">
        <v>3178</v>
      </c>
      <c r="J38" s="435">
        <f>SUMIF(114:114,I38,115:115)-SUMIF(114:114,C38,115:115)+100</f>
        <v>100</v>
      </c>
      <c r="K38" s="426"/>
      <c r="L38" s="1142"/>
      <c r="M38" s="1133"/>
      <c r="N38" s="1133"/>
      <c r="O38" s="1133"/>
      <c r="P38" s="3217" t="s">
        <v>2566</v>
      </c>
      <c r="Q38" s="1813" t="str">
        <f t="shared" si="11"/>
        <v>物业管理</v>
      </c>
      <c r="R38" s="774" t="s">
        <v>21</v>
      </c>
      <c r="S38" s="775">
        <f t="shared" si="12"/>
        <v>100</v>
      </c>
      <c r="T38" s="774" t="s">
        <v>21</v>
      </c>
      <c r="U38" s="775">
        <f t="shared" si="13"/>
        <v>100</v>
      </c>
      <c r="V38" s="774" t="s">
        <v>21</v>
      </c>
      <c r="W38" s="775">
        <f t="shared" si="14"/>
        <v>100</v>
      </c>
      <c r="X38" s="1816"/>
      <c r="Y38" s="3156" t="s">
        <v>2566</v>
      </c>
      <c r="Z38" s="1817" t="str">
        <f t="shared" si="18"/>
        <v>物业管理</v>
      </c>
      <c r="AA38" s="1814">
        <f t="shared" si="15"/>
        <v>1</v>
      </c>
      <c r="AB38" s="1814">
        <f t="shared" si="16"/>
        <v>1</v>
      </c>
      <c r="AC38" s="1814">
        <f t="shared" si="17"/>
        <v>1</v>
      </c>
    </row>
    <row r="39" spans="1:29" ht="15">
      <c r="A39" s="472"/>
      <c r="B39" s="422" t="s">
        <v>2573</v>
      </c>
      <c r="C39" s="2614" t="s">
        <v>3110</v>
      </c>
      <c r="D39" s="435">
        <v>100</v>
      </c>
      <c r="E39" s="2615" t="s">
        <v>3110</v>
      </c>
      <c r="F39" s="461">
        <f>SUMIF(116:116,E39,117:117)-SUMIF(116:116,C39,117:117)+100</f>
        <v>100</v>
      </c>
      <c r="G39" s="2614" t="s">
        <v>3110</v>
      </c>
      <c r="H39" s="435">
        <f>SUMIF(116:116,G39,117:117)-SUMIF(116:116,C39,117:117)+100</f>
        <v>100</v>
      </c>
      <c r="I39" s="2615" t="s">
        <v>3110</v>
      </c>
      <c r="J39" s="435">
        <f>SUMIF(116:116,I39,117:117)-SUMIF(116:116,C39,117:117)+100</f>
        <v>100</v>
      </c>
      <c r="K39" s="426"/>
      <c r="L39" s="1142"/>
      <c r="M39" s="1133"/>
      <c r="N39" s="1133"/>
      <c r="O39" s="1133"/>
      <c r="P39" s="3217"/>
      <c r="Q39" s="1813" t="str">
        <f t="shared" si="11"/>
        <v>市政基础设施</v>
      </c>
      <c r="R39" s="774" t="s">
        <v>21</v>
      </c>
      <c r="S39" s="775">
        <f t="shared" si="12"/>
        <v>100</v>
      </c>
      <c r="T39" s="774" t="s">
        <v>21</v>
      </c>
      <c r="U39" s="775">
        <f t="shared" si="13"/>
        <v>100</v>
      </c>
      <c r="V39" s="774" t="s">
        <v>21</v>
      </c>
      <c r="W39" s="775">
        <f t="shared" si="14"/>
        <v>100</v>
      </c>
      <c r="X39" s="1816"/>
      <c r="Y39" s="3156"/>
      <c r="Z39" s="1817" t="str">
        <f t="shared" si="18"/>
        <v>市政基础设施</v>
      </c>
      <c r="AA39" s="1814">
        <f t="shared" si="15"/>
        <v>1</v>
      </c>
      <c r="AB39" s="1814">
        <f t="shared" si="16"/>
        <v>1</v>
      </c>
      <c r="AC39" s="1814">
        <f t="shared" si="17"/>
        <v>1</v>
      </c>
    </row>
    <row r="40" spans="1:29" ht="15" hidden="1">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217"/>
      <c r="Q40" s="1813" t="str">
        <f t="shared" si="11"/>
        <v>房型</v>
      </c>
      <c r="R40" s="774" t="s">
        <v>21</v>
      </c>
      <c r="S40" s="775">
        <f t="shared" si="12"/>
        <v>100</v>
      </c>
      <c r="T40" s="774" t="s">
        <v>21</v>
      </c>
      <c r="U40" s="775">
        <f t="shared" si="13"/>
        <v>100</v>
      </c>
      <c r="V40" s="774" t="s">
        <v>21</v>
      </c>
      <c r="W40" s="775">
        <f t="shared" si="14"/>
        <v>100</v>
      </c>
      <c r="X40" s="1816"/>
      <c r="Y40" s="3156"/>
      <c r="Z40" s="1817" t="str">
        <f t="shared" si="18"/>
        <v>房型</v>
      </c>
      <c r="AA40" s="1814">
        <f t="shared" si="15"/>
        <v>1</v>
      </c>
      <c r="AB40" s="1814">
        <f t="shared" si="16"/>
        <v>1</v>
      </c>
      <c r="AC40" s="1814">
        <f t="shared" si="17"/>
        <v>1</v>
      </c>
    </row>
    <row r="41" spans="1:29" s="471" customFormat="1" ht="28.5">
      <c r="A41" s="468"/>
      <c r="B41" s="422" t="s">
        <v>2575</v>
      </c>
      <c r="C41" s="469" t="s">
        <v>3188</v>
      </c>
      <c r="D41" s="135">
        <v>100</v>
      </c>
      <c r="E41" s="430" t="s">
        <v>3188</v>
      </c>
      <c r="F41" s="425">
        <f>SUMIF(120:120,E41,121:121)-SUMIF(120:120,C41,121:121)+100</f>
        <v>100</v>
      </c>
      <c r="G41" s="429" t="s">
        <v>3188</v>
      </c>
      <c r="H41" s="135">
        <f>SUMIF(120:120,G41,121:121)-SUMIF(120:120,C41,121:121)+100</f>
        <v>100</v>
      </c>
      <c r="I41" s="477" t="s">
        <v>3188</v>
      </c>
      <c r="J41" s="435">
        <f>SUMIF(120:120,I41,121:121)-SUMIF(120:120,C41,121:121)+100</f>
        <v>100</v>
      </c>
      <c r="K41" s="2602"/>
      <c r="L41" s="1140"/>
      <c r="M41" s="1143"/>
      <c r="N41" s="1143"/>
      <c r="O41" s="1143"/>
      <c r="P41" s="3217"/>
      <c r="Q41" s="776" t="str">
        <f t="shared" si="11"/>
        <v>单套/主力户型建筑面积</v>
      </c>
      <c r="R41" s="777" t="s">
        <v>21</v>
      </c>
      <c r="S41" s="778">
        <f t="shared" si="12"/>
        <v>100</v>
      </c>
      <c r="T41" s="777" t="s">
        <v>21</v>
      </c>
      <c r="U41" s="778">
        <f t="shared" si="13"/>
        <v>100</v>
      </c>
      <c r="V41" s="777" t="s">
        <v>21</v>
      </c>
      <c r="W41" s="778">
        <f t="shared" si="14"/>
        <v>100</v>
      </c>
      <c r="X41" s="779"/>
      <c r="Y41" s="3156"/>
      <c r="Z41" s="780" t="str">
        <f t="shared" si="18"/>
        <v>单套/主力户型建筑面积</v>
      </c>
      <c r="AA41" s="1814">
        <f t="shared" si="15"/>
        <v>1</v>
      </c>
      <c r="AB41" s="1814">
        <f t="shared" si="16"/>
        <v>1</v>
      </c>
      <c r="AC41" s="1814">
        <f t="shared" si="17"/>
        <v>1</v>
      </c>
    </row>
    <row r="42" spans="1:29" ht="15.75" thickBot="1">
      <c r="A42" s="472"/>
      <c r="B42" s="422" t="s">
        <v>2576</v>
      </c>
      <c r="C42" s="2614" t="s">
        <v>3171</v>
      </c>
      <c r="D42" s="435">
        <v>100</v>
      </c>
      <c r="E42" s="2615" t="s">
        <v>3173</v>
      </c>
      <c r="F42" s="461">
        <f>SUMIF(122:122,E42,123:123)-SUMIF(122:122,C42,123:123)+100</f>
        <v>90</v>
      </c>
      <c r="G42" s="2614" t="s">
        <v>3173</v>
      </c>
      <c r="H42" s="435">
        <f>SUMIF(122:122,G42,123:123)-SUMIF(122:122,C42,123:123)+100</f>
        <v>90</v>
      </c>
      <c r="I42" s="2615" t="s">
        <v>3171</v>
      </c>
      <c r="J42" s="435">
        <f>SUMIF(122:122,I42,123:123)-SUMIF(122:122,C42,123:123)+100</f>
        <v>100</v>
      </c>
      <c r="K42" s="426">
        <v>10</v>
      </c>
      <c r="L42" s="1142"/>
      <c r="M42" s="1133"/>
      <c r="N42" s="1133"/>
      <c r="O42" s="1133"/>
      <c r="P42" s="3217"/>
      <c r="Q42" s="1813" t="str">
        <f t="shared" si="11"/>
        <v>内部装修</v>
      </c>
      <c r="R42" s="774" t="s">
        <v>21</v>
      </c>
      <c r="S42" s="775">
        <f t="shared" si="12"/>
        <v>90</v>
      </c>
      <c r="T42" s="774" t="s">
        <v>21</v>
      </c>
      <c r="U42" s="775">
        <f t="shared" si="13"/>
        <v>90</v>
      </c>
      <c r="V42" s="774" t="s">
        <v>21</v>
      </c>
      <c r="W42" s="775">
        <f t="shared" si="14"/>
        <v>100</v>
      </c>
      <c r="X42" s="1816"/>
      <c r="Y42" s="3156"/>
      <c r="Z42" s="1817" t="str">
        <f t="shared" si="18"/>
        <v>内部装修</v>
      </c>
      <c r="AA42" s="1814">
        <f t="shared" si="15"/>
        <v>1.1111111111111112</v>
      </c>
      <c r="AB42" s="1814">
        <f t="shared" si="16"/>
        <v>1.1111111111111112</v>
      </c>
      <c r="AC42" s="1814">
        <f t="shared" si="17"/>
        <v>1</v>
      </c>
    </row>
    <row r="43" spans="1:29" ht="15" hidden="1">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217"/>
      <c r="Q43" s="1813" t="str">
        <f t="shared" si="11"/>
        <v>内部装修维护情况</v>
      </c>
      <c r="R43" s="774" t="s">
        <v>21</v>
      </c>
      <c r="S43" s="775">
        <f t="shared" si="12"/>
        <v>100</v>
      </c>
      <c r="T43" s="774" t="s">
        <v>21</v>
      </c>
      <c r="U43" s="775">
        <f t="shared" si="13"/>
        <v>100</v>
      </c>
      <c r="V43" s="774" t="s">
        <v>21</v>
      </c>
      <c r="W43" s="775">
        <f t="shared" si="14"/>
        <v>100</v>
      </c>
      <c r="X43" s="1816"/>
      <c r="Y43" s="3156"/>
      <c r="Z43" s="1817" t="str">
        <f t="shared" si="18"/>
        <v>内部装修维护情况</v>
      </c>
      <c r="AA43" s="1814">
        <f t="shared" si="15"/>
        <v>1</v>
      </c>
      <c r="AB43" s="1814">
        <f t="shared" si="16"/>
        <v>1</v>
      </c>
      <c r="AC43" s="1814">
        <f t="shared" si="17"/>
        <v>1</v>
      </c>
    </row>
    <row r="44" spans="1:29" s="116" customFormat="1" ht="15" hidden="1">
      <c r="A44" s="473"/>
      <c r="B44" s="1388">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2"/>
      <c r="L44" s="1134"/>
      <c r="M44" s="1135"/>
      <c r="N44" s="1135"/>
      <c r="O44" s="1135"/>
      <c r="P44" s="3217"/>
      <c r="Q44" s="1798">
        <f t="shared" si="11"/>
        <v>111</v>
      </c>
      <c r="R44" s="770" t="s">
        <v>21</v>
      </c>
      <c r="S44" s="771">
        <f t="shared" si="12"/>
        <v>100</v>
      </c>
      <c r="T44" s="770" t="s">
        <v>21</v>
      </c>
      <c r="U44" s="771">
        <f t="shared" si="13"/>
        <v>100</v>
      </c>
      <c r="V44" s="770" t="s">
        <v>21</v>
      </c>
      <c r="W44" s="771">
        <f t="shared" si="14"/>
        <v>100</v>
      </c>
      <c r="X44" s="772"/>
      <c r="Y44" s="3156"/>
      <c r="Z44" s="55">
        <f t="shared" si="18"/>
        <v>111</v>
      </c>
      <c r="AA44" s="773">
        <f t="shared" si="15"/>
        <v>1</v>
      </c>
      <c r="AB44" s="773">
        <f t="shared" si="16"/>
        <v>1</v>
      </c>
      <c r="AC44" s="773">
        <f t="shared" si="17"/>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217"/>
      <c r="Q45" s="1813">
        <f t="shared" si="11"/>
        <v>111</v>
      </c>
      <c r="R45" s="774" t="s">
        <v>21</v>
      </c>
      <c r="S45" s="775">
        <f t="shared" si="12"/>
        <v>100</v>
      </c>
      <c r="T45" s="774" t="s">
        <v>21</v>
      </c>
      <c r="U45" s="775">
        <f t="shared" si="13"/>
        <v>100</v>
      </c>
      <c r="V45" s="774" t="s">
        <v>21</v>
      </c>
      <c r="W45" s="775">
        <f t="shared" si="14"/>
        <v>100</v>
      </c>
      <c r="X45" s="1816"/>
      <c r="Y45" s="3156"/>
      <c r="Z45" s="1817">
        <f t="shared" si="18"/>
        <v>111</v>
      </c>
      <c r="AA45" s="1814">
        <f t="shared" si="15"/>
        <v>1</v>
      </c>
      <c r="AB45" s="1814">
        <f t="shared" si="16"/>
        <v>1</v>
      </c>
      <c r="AC45" s="1814">
        <f t="shared" si="17"/>
        <v>1</v>
      </c>
    </row>
    <row r="46" spans="1:29" ht="15.75" hidden="1"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218"/>
      <c r="Q46" s="1813">
        <f t="shared" si="11"/>
        <v>111</v>
      </c>
      <c r="R46" s="774" t="s">
        <v>20</v>
      </c>
      <c r="S46" s="775">
        <f t="shared" si="12"/>
        <v>100</v>
      </c>
      <c r="T46" s="774" t="s">
        <v>20</v>
      </c>
      <c r="U46" s="775">
        <f t="shared" si="13"/>
        <v>100</v>
      </c>
      <c r="V46" s="774" t="s">
        <v>20</v>
      </c>
      <c r="W46" s="775">
        <f t="shared" si="14"/>
        <v>100</v>
      </c>
      <c r="X46" s="1816"/>
      <c r="Y46" s="3219"/>
      <c r="Z46" s="1817">
        <f t="shared" si="18"/>
        <v>111</v>
      </c>
      <c r="AA46" s="1814">
        <f t="shared" si="15"/>
        <v>1</v>
      </c>
      <c r="AB46" s="1814">
        <f t="shared" si="16"/>
        <v>1</v>
      </c>
      <c r="AC46" s="1814">
        <f t="shared" si="17"/>
        <v>1</v>
      </c>
    </row>
    <row r="47" spans="1:29" ht="15">
      <c r="A47" s="479" t="s">
        <v>2578</v>
      </c>
      <c r="B47" s="480"/>
      <c r="C47" s="1409" t="s">
        <v>19</v>
      </c>
      <c r="D47" s="1410"/>
      <c r="E47" s="1411">
        <f>ROUND(19000*0.99,0)</f>
        <v>18810</v>
      </c>
      <c r="F47" s="1412"/>
      <c r="G47" s="1413">
        <f>ROUND(18000*0.98,0)</f>
        <v>17640</v>
      </c>
      <c r="H47" s="1414"/>
      <c r="I47" s="1411">
        <f>ROUND(20000*0.99,0)</f>
        <v>19800</v>
      </c>
      <c r="J47" s="1414"/>
      <c r="K47" s="2622"/>
      <c r="L47" s="1145"/>
      <c r="M47" s="1146"/>
      <c r="N47" s="1133"/>
      <c r="O47" s="1146"/>
      <c r="P47" s="3151" t="str">
        <f>A47</f>
        <v>成交单价（元/平方米）</v>
      </c>
      <c r="Q47" s="3151"/>
      <c r="R47" s="3215">
        <f>E47</f>
        <v>18810</v>
      </c>
      <c r="S47" s="3215"/>
      <c r="T47" s="3215">
        <f>G47</f>
        <v>17640</v>
      </c>
      <c r="U47" s="3215"/>
      <c r="V47" s="3215">
        <f>I47</f>
        <v>19800</v>
      </c>
      <c r="W47" s="3215"/>
      <c r="X47" s="759"/>
      <c r="Y47" s="781"/>
      <c r="Z47" s="759"/>
      <c r="AA47" s="759"/>
      <c r="AB47" s="759"/>
      <c r="AC47" s="759"/>
    </row>
    <row r="48" spans="1:29" ht="15.75" thickBot="1">
      <c r="A48" s="486" t="s">
        <v>2579</v>
      </c>
      <c r="B48" s="487"/>
      <c r="C48" s="1415">
        <f>R49</f>
        <v>22892</v>
      </c>
      <c r="D48" s="1416"/>
      <c r="E48" s="1417">
        <f>R48</f>
        <v>22546</v>
      </c>
      <c r="F48" s="1417"/>
      <c r="G48" s="1415">
        <f>T48</f>
        <v>22256</v>
      </c>
      <c r="H48" s="1416"/>
      <c r="I48" s="1417">
        <f>V48</f>
        <v>23874</v>
      </c>
      <c r="J48" s="1416"/>
      <c r="K48" s="2623"/>
      <c r="L48" s="1145"/>
      <c r="M48" s="1146"/>
      <c r="N48" s="1146"/>
      <c r="O48" s="1146"/>
      <c r="P48" s="3151" t="str">
        <f>A48</f>
        <v>比较价值（元/平方米）</v>
      </c>
      <c r="Q48" s="3151"/>
      <c r="R48" s="3215">
        <f>IF(F1="售价",ROUND(PRODUCT(R47,AA7:AA46),0),ROUND(PRODUCT(R47,AA7:AA46),1))</f>
        <v>22546</v>
      </c>
      <c r="S48" s="3215"/>
      <c r="T48" s="3215">
        <f>IF(F1="售价",ROUND(PRODUCT(T47,AB7:AB46),0),ROUND(PRODUCT(T47,AB7:AB46),1))</f>
        <v>22256</v>
      </c>
      <c r="U48" s="3215"/>
      <c r="V48" s="3215">
        <f>IF(F1="售价",ROUND(PRODUCT(V47,AC7:AC46),0),ROUND(PRODUCT(V47,AC7:AC46),1))</f>
        <v>23874</v>
      </c>
      <c r="W48" s="3215"/>
      <c r="X48" s="759"/>
      <c r="Y48" s="759"/>
      <c r="Z48" s="759"/>
      <c r="AA48" s="759"/>
      <c r="AB48" s="759"/>
      <c r="AC48" s="759"/>
    </row>
    <row r="49" spans="1:29" ht="15.75" thickBot="1">
      <c r="A49" s="492" t="s">
        <v>2580</v>
      </c>
      <c r="B49" s="493"/>
      <c r="C49" s="1418">
        <f>R49</f>
        <v>22892</v>
      </c>
      <c r="D49" s="1419"/>
      <c r="E49" s="1419"/>
      <c r="F49" s="1419"/>
      <c r="G49" s="1419"/>
      <c r="H49" s="1419"/>
      <c r="I49" s="1419"/>
      <c r="J49" s="1419"/>
      <c r="K49" s="2624"/>
      <c r="L49" s="1145"/>
      <c r="M49" s="1146"/>
      <c r="N49" s="1146"/>
      <c r="O49" s="1146"/>
      <c r="P49" s="3145" t="str">
        <f>A49</f>
        <v>估价对象XX用房的比较价值（楼面单价，元/平方米）</v>
      </c>
      <c r="Q49" s="3146"/>
      <c r="R49" s="3214">
        <f>IF(F1="售价",ROUND(AVERAGE(R48:V48),0),ROUND(AVERAGE(R48:V48),1))</f>
        <v>22892</v>
      </c>
      <c r="S49" s="3214"/>
      <c r="T49" s="3214"/>
      <c r="U49" s="3214"/>
      <c r="V49" s="3214"/>
      <c r="W49" s="3214"/>
      <c r="X49" s="759"/>
      <c r="Y49" s="759"/>
      <c r="Z49" s="759"/>
      <c r="AA49" s="759"/>
      <c r="AB49" s="759"/>
      <c r="AC49" s="759"/>
    </row>
    <row r="50" spans="1:29">
      <c r="A50" s="1146"/>
      <c r="B50" s="1146"/>
      <c r="C50" s="1146"/>
      <c r="D50" s="1146"/>
      <c r="E50" s="1146"/>
      <c r="F50" s="1146"/>
      <c r="G50" s="1149"/>
      <c r="H50" s="1146"/>
      <c r="I50" s="1146"/>
      <c r="J50" s="1146"/>
      <c r="K50" s="1108"/>
      <c r="L50" s="1109"/>
      <c r="M50" s="1146"/>
      <c r="N50" s="1146"/>
      <c r="O50" s="1146"/>
    </row>
    <row r="51" spans="1:29">
      <c r="A51" s="1146"/>
      <c r="B51" s="1146"/>
      <c r="C51" s="1146"/>
      <c r="D51" s="1146"/>
      <c r="E51" s="1146"/>
      <c r="F51" s="1146"/>
      <c r="G51" s="1146"/>
      <c r="H51" s="1146"/>
      <c r="I51" s="1146"/>
      <c r="J51" s="1146"/>
      <c r="K51" s="1108"/>
      <c r="L51" s="1109"/>
      <c r="M51" s="1146"/>
      <c r="N51" s="1146"/>
      <c r="O51" s="1146"/>
    </row>
    <row r="52" spans="1:29" ht="13.5" customHeight="1">
      <c r="A52" s="1146"/>
      <c r="B52" s="1146"/>
      <c r="C52" s="497" t="s">
        <v>2581</v>
      </c>
      <c r="D52" s="498"/>
      <c r="E52" s="499">
        <f>IF(E47&lt;E48,E48/E47-1,E47/E48-1)</f>
        <v>0.19861775651249336</v>
      </c>
      <c r="F52" s="500" t="str">
        <f>IF(OR(E52&gt;=0.3,E52&lt;=-0.3),"超过30%","")</f>
        <v/>
      </c>
      <c r="G52" s="499">
        <f>IF(G47&lt;G48,G48/G47-1,G47/G48-1)</f>
        <v>0.26167800453514745</v>
      </c>
      <c r="H52" s="500" t="str">
        <f>IF(OR(G52&gt;=0.3,G52&lt;=-0.3),"超过30%","")</f>
        <v/>
      </c>
      <c r="I52" s="499">
        <f>IF(I47&lt;I48,I48/I47-1,I47/I48-1)</f>
        <v>0.20575757575757581</v>
      </c>
      <c r="J52" s="500" t="str">
        <f>IF(OR(I52&gt;=0.3,I52&lt;=-0.3),"超过30%","")</f>
        <v/>
      </c>
      <c r="K52" s="1108"/>
      <c r="L52" s="1109"/>
      <c r="M52" s="1146"/>
      <c r="N52" s="1146"/>
      <c r="O52" s="1146"/>
    </row>
    <row r="53" spans="1:29" ht="13.5" customHeight="1">
      <c r="A53" s="1146"/>
      <c r="B53" s="1146"/>
      <c r="C53" s="497" t="s">
        <v>2582</v>
      </c>
      <c r="D53" s="501"/>
      <c r="E53" s="499">
        <f>IF(E48&lt;G48,G48/E48-1,E48/G48-1)</f>
        <v>1.3030194104960424E-2</v>
      </c>
      <c r="F53" s="500" t="str">
        <f>IF(OR(E53&gt;=0.2,E53&lt;=-0.2),"超过20%","")</f>
        <v/>
      </c>
      <c r="G53" s="499">
        <f>IF(G48&lt;I48,I48/G48-1,G48/I48-1)</f>
        <v>7.2699496764917271E-2</v>
      </c>
      <c r="H53" s="500" t="str">
        <f>IF(OR(G53&gt;=0.2,G53&lt;=-0.2),"超过20%","")</f>
        <v/>
      </c>
      <c r="I53" s="499">
        <f>IF(I48&lt;E48,E48/I48-1,I48/E48-1)</f>
        <v>5.890180076288476E-2</v>
      </c>
      <c r="J53" s="500" t="str">
        <f>IF(OR(I53&gt;=0.2,I53&lt;=-0.2),"超过20%","")</f>
        <v/>
      </c>
      <c r="K53" s="1108"/>
      <c r="L53" s="1109"/>
      <c r="M53" s="1146"/>
      <c r="N53" s="1146"/>
      <c r="O53" s="1146"/>
    </row>
    <row r="54" spans="1:29" s="502" customFormat="1" ht="13.5" customHeight="1">
      <c r="A54" s="1147"/>
      <c r="B54" s="1147"/>
      <c r="C54" s="497" t="s">
        <v>2583</v>
      </c>
      <c r="D54" s="501"/>
      <c r="E54" s="499">
        <f>IF(E47&lt;G47,G47/E47-1,E47/G47-1)</f>
        <v>6.6326530612244916E-2</v>
      </c>
      <c r="F54" s="500" t="str">
        <f>IF(OR(E54&gt;=0.3,E54&lt;=-0.3),"超过30%","")</f>
        <v/>
      </c>
      <c r="G54" s="499">
        <f>IF(G47&lt;I47,I47/G47-1,G47/I47-1)</f>
        <v>0.12244897959183665</v>
      </c>
      <c r="H54" s="500" t="str">
        <f>IF(OR(G54&gt;=0.3,G54&lt;=-0.3),"超过30%","")</f>
        <v/>
      </c>
      <c r="I54" s="499">
        <f>IF(I47&lt;E47,E47/I47-1,I47/E47-1)</f>
        <v>5.2631578947368363E-2</v>
      </c>
      <c r="J54" s="500" t="str">
        <f>IF(OR(I54&gt;=0.3,I54&lt;=-0.3),"超过30%","")</f>
        <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8"/>
      <c r="L56" s="1109"/>
      <c r="M56" s="1146"/>
      <c r="N56" s="1146"/>
      <c r="O56" s="1146"/>
    </row>
    <row r="57" spans="1:29" ht="21.75" thickBot="1">
      <c r="A57" s="763" t="s">
        <v>2584</v>
      </c>
      <c r="B57" s="759"/>
      <c r="C57" s="764"/>
      <c r="D57" s="764"/>
      <c r="E57" s="764"/>
      <c r="F57" s="765"/>
      <c r="G57" s="765"/>
      <c r="H57" s="764"/>
      <c r="I57" s="764"/>
      <c r="J57" s="764"/>
      <c r="K57" s="1162"/>
      <c r="L57" s="1163"/>
      <c r="M57" s="1161"/>
      <c r="N57" s="1161"/>
      <c r="O57" s="1161"/>
      <c r="P57" s="2627"/>
      <c r="Q57" s="504"/>
    </row>
    <row r="58" spans="1:29" s="508" customFormat="1" ht="15">
      <c r="A58" s="505" t="s">
        <v>2585</v>
      </c>
      <c r="B58" s="506"/>
      <c r="C58" s="1579" t="str">
        <f>YEAR(C7)&amp;"-"&amp;MONTH(C7)</f>
        <v>2017-10</v>
      </c>
      <c r="D58" s="1578">
        <f>EDATE(C58,-1)</f>
        <v>42979</v>
      </c>
      <c r="E58" s="1578">
        <f>EDATE(D58,-1)</f>
        <v>42948</v>
      </c>
      <c r="F58" s="1578">
        <f t="shared" ref="F58:O58" si="19">EDATE(E58,-1)</f>
        <v>42917</v>
      </c>
      <c r="G58" s="1578">
        <f t="shared" si="19"/>
        <v>42887</v>
      </c>
      <c r="H58" s="1578">
        <f t="shared" si="19"/>
        <v>42856</v>
      </c>
      <c r="I58" s="1578">
        <f t="shared" si="19"/>
        <v>42826</v>
      </c>
      <c r="J58" s="1578">
        <f t="shared" si="19"/>
        <v>42795</v>
      </c>
      <c r="K58" s="1578">
        <f t="shared" si="19"/>
        <v>42767</v>
      </c>
      <c r="L58" s="1578">
        <f t="shared" si="19"/>
        <v>42736</v>
      </c>
      <c r="M58" s="1578">
        <f t="shared" si="19"/>
        <v>42705</v>
      </c>
      <c r="N58" s="1578">
        <f t="shared" si="19"/>
        <v>42675</v>
      </c>
      <c r="O58" s="1578">
        <f t="shared" si="19"/>
        <v>42644</v>
      </c>
      <c r="P58" s="1573"/>
    </row>
    <row r="59" spans="1:29" s="116" customFormat="1" ht="15">
      <c r="A59" s="509"/>
      <c r="B59" s="2628"/>
      <c r="C59" s="1576">
        <v>100</v>
      </c>
      <c r="D59" s="511"/>
      <c r="E59" s="512"/>
      <c r="F59" s="512"/>
      <c r="G59" s="512"/>
      <c r="H59" s="512"/>
      <c r="I59" s="512"/>
      <c r="J59" s="512"/>
      <c r="K59" s="512"/>
      <c r="L59" s="512"/>
      <c r="M59" s="513"/>
      <c r="N59" s="512"/>
      <c r="O59" s="513"/>
      <c r="P59" s="2629"/>
    </row>
    <row r="60" spans="1:29" s="116" customFormat="1" ht="15.75" thickBot="1">
      <c r="A60" s="515" t="s">
        <v>2586</v>
      </c>
      <c r="B60" s="516"/>
      <c r="C60" s="517"/>
      <c r="D60" s="518"/>
      <c r="E60" s="518"/>
      <c r="F60" s="518"/>
      <c r="G60" s="518"/>
      <c r="H60" s="518"/>
      <c r="I60" s="518"/>
      <c r="J60" s="518"/>
      <c r="K60" s="518"/>
      <c r="L60" s="518"/>
      <c r="M60" s="519"/>
      <c r="N60" s="518"/>
      <c r="O60" s="519"/>
      <c r="P60" s="2629"/>
      <c r="Q60" s="504"/>
    </row>
    <row r="61" spans="1:29" s="116" customFormat="1" ht="15">
      <c r="A61" s="521" t="s">
        <v>2587</v>
      </c>
      <c r="B61" s="510"/>
      <c r="C61" s="522" t="s">
        <v>2588</v>
      </c>
      <c r="D61" s="523"/>
      <c r="E61" s="523"/>
      <c r="F61" s="523"/>
      <c r="G61" s="523"/>
      <c r="H61" s="523"/>
      <c r="I61" s="523"/>
      <c r="J61" s="523"/>
      <c r="K61" s="523"/>
      <c r="L61" s="524"/>
      <c r="M61" s="525"/>
      <c r="N61" s="1153"/>
      <c r="O61" s="1153"/>
      <c r="P61" s="2630"/>
      <c r="Q61" s="504"/>
    </row>
    <row r="62" spans="1:29" s="116"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2589</v>
      </c>
      <c r="B63" s="528" t="s">
        <v>2555</v>
      </c>
      <c r="C63" s="529" t="str">
        <f>C9</f>
        <v>住宅</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2559</v>
      </c>
      <c r="C67" s="547" t="str">
        <f>C68&amp;"（含）"&amp;"-"&amp;D68</f>
        <v>0（含）-2</v>
      </c>
      <c r="D67" s="547" t="str">
        <f t="shared" ref="D67:L67" si="21">D68&amp;"（含）"&amp;"-"&amp;E68</f>
        <v>2（含）-4</v>
      </c>
      <c r="E67" s="547" t="str">
        <f t="shared" si="21"/>
        <v>4（含）-6</v>
      </c>
      <c r="F67" s="547" t="str">
        <f t="shared" si="21"/>
        <v>6（含）-8</v>
      </c>
      <c r="G67" s="547" t="str">
        <f t="shared" si="21"/>
        <v>8（含）-10</v>
      </c>
      <c r="H67" s="547" t="str">
        <f t="shared" si="21"/>
        <v>10（含）-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v>0</v>
      </c>
      <c r="D68" s="549">
        <v>2</v>
      </c>
      <c r="E68" s="549">
        <v>4</v>
      </c>
      <c r="F68" s="549">
        <v>6</v>
      </c>
      <c r="G68" s="549">
        <v>8</v>
      </c>
      <c r="H68" s="549">
        <v>10</v>
      </c>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2"/>
      <c r="Q70" s="559"/>
    </row>
    <row r="71" spans="1:17" s="471" customFormat="1" ht="15.75" hidden="1" thickBot="1">
      <c r="A71" s="553"/>
      <c r="B71" s="543"/>
      <c r="C71" s="560"/>
      <c r="D71" s="536"/>
      <c r="E71" s="536"/>
      <c r="F71" s="536"/>
      <c r="G71" s="536"/>
      <c r="H71" s="536"/>
      <c r="I71" s="536"/>
      <c r="J71" s="536"/>
      <c r="K71" s="536"/>
      <c r="L71" s="536"/>
      <c r="M71" s="537"/>
      <c r="N71" s="1155"/>
      <c r="O71" s="1155"/>
      <c r="P71" s="2632"/>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3"/>
      <c r="Q72" s="561"/>
    </row>
    <row r="73" spans="1:17" s="471" customFormat="1" ht="15.75" hidden="1" thickBot="1">
      <c r="A73" s="553"/>
      <c r="B73" s="543"/>
      <c r="C73" s="560"/>
      <c r="D73" s="560"/>
      <c r="E73" s="560"/>
      <c r="F73" s="560"/>
      <c r="G73" s="560"/>
      <c r="H73" s="562"/>
      <c r="I73" s="562"/>
      <c r="J73" s="562"/>
      <c r="K73" s="562"/>
      <c r="L73" s="562"/>
      <c r="M73" s="563"/>
      <c r="N73" s="1156"/>
      <c r="O73" s="1156"/>
      <c r="P73" s="2632"/>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4"/>
      <c r="Q74" s="559"/>
    </row>
    <row r="75" spans="1:17" s="471" customFormat="1" ht="15.75" hidden="1" thickBot="1">
      <c r="A75" s="568"/>
      <c r="B75" s="569"/>
      <c r="C75" s="570"/>
      <c r="D75" s="570"/>
      <c r="E75" s="570"/>
      <c r="F75" s="570"/>
      <c r="G75" s="570"/>
      <c r="H75" s="571"/>
      <c r="I75" s="571"/>
      <c r="J75" s="571"/>
      <c r="K75" s="571"/>
      <c r="L75" s="571"/>
      <c r="M75" s="572"/>
      <c r="N75" s="1156"/>
      <c r="O75" s="1156"/>
      <c r="P75" s="2632"/>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2605</v>
      </c>
      <c r="D82" s="539" t="s">
        <v>2606</v>
      </c>
      <c r="E82" s="539" t="s">
        <v>2607</v>
      </c>
      <c r="F82" s="539" t="s">
        <v>2608</v>
      </c>
      <c r="G82" s="539" t="s">
        <v>2609</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4"/>
      <c r="O84" s="1154"/>
      <c r="P84" s="2631"/>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1"/>
      <c r="Q85" s="504"/>
    </row>
    <row r="86" spans="1:17" s="116" customFormat="1" ht="15.75" hidden="1" thickTop="1">
      <c r="A86" s="579"/>
      <c r="B86" s="538" t="s">
        <v>2611</v>
      </c>
      <c r="C86" s="554"/>
      <c r="D86" s="554"/>
      <c r="E86" s="554"/>
      <c r="F86" s="554"/>
      <c r="G86" s="554"/>
      <c r="H86" s="554"/>
      <c r="I86" s="554"/>
      <c r="J86" s="554"/>
      <c r="K86" s="554"/>
      <c r="L86" s="580"/>
      <c r="M86" s="581"/>
      <c r="N86" s="1153"/>
      <c r="O86" s="1153"/>
      <c r="P86" s="2631"/>
      <c r="Q86" s="504"/>
    </row>
    <row r="87" spans="1:17" s="116"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6" customFormat="1" ht="15.75" hidden="1" thickTop="1">
      <c r="A88" s="579"/>
      <c r="B88" s="538" t="s">
        <v>2612</v>
      </c>
      <c r="C88" s="554"/>
      <c r="D88" s="554"/>
      <c r="E88" s="554"/>
      <c r="F88" s="2636"/>
      <c r="G88" s="554"/>
      <c r="H88" s="554"/>
      <c r="I88" s="554"/>
      <c r="J88" s="554"/>
      <c r="K88" s="554"/>
      <c r="L88" s="554"/>
      <c r="M88" s="581"/>
      <c r="N88" s="1153"/>
      <c r="O88" s="1153"/>
      <c r="P88" s="2631"/>
      <c r="Q88" s="504"/>
    </row>
    <row r="89" spans="1:17" s="116"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hidden="1" thickTop="1">
      <c r="A90" s="553"/>
      <c r="B90" s="538">
        <f>B27</f>
        <v>111</v>
      </c>
      <c r="C90" s="554"/>
      <c r="D90" s="554"/>
      <c r="E90" s="554"/>
      <c r="F90" s="554"/>
      <c r="G90" s="554"/>
      <c r="H90" s="555"/>
      <c r="I90" s="555"/>
      <c r="J90" s="555"/>
      <c r="K90" s="555"/>
      <c r="L90" s="556"/>
      <c r="M90" s="557"/>
      <c r="N90" s="1156"/>
      <c r="O90" s="1156"/>
      <c r="P90" s="2632"/>
      <c r="Q90" s="559"/>
    </row>
    <row r="91" spans="1:17" s="471" customFormat="1" ht="15.75" hidden="1" thickBot="1">
      <c r="A91" s="553"/>
      <c r="B91" s="543"/>
      <c r="C91" s="560"/>
      <c r="D91" s="560"/>
      <c r="E91" s="560"/>
      <c r="F91" s="560"/>
      <c r="G91" s="560"/>
      <c r="H91" s="562"/>
      <c r="I91" s="562"/>
      <c r="J91" s="562"/>
      <c r="K91" s="562"/>
      <c r="L91" s="562"/>
      <c r="M91" s="563"/>
      <c r="N91" s="1156"/>
      <c r="O91" s="1156"/>
      <c r="P91" s="2632"/>
      <c r="Q91" s="559"/>
    </row>
    <row r="92" spans="1:17" ht="15.75" hidden="1" thickTop="1">
      <c r="A92" s="534"/>
      <c r="B92" s="538">
        <f>B28</f>
        <v>111</v>
      </c>
      <c r="C92" s="554"/>
      <c r="D92" s="554"/>
      <c r="E92" s="554"/>
      <c r="F92" s="554"/>
      <c r="G92" s="583"/>
      <c r="H92" s="583"/>
      <c r="I92" s="583"/>
      <c r="J92" s="583"/>
      <c r="K92" s="584"/>
      <c r="L92" s="585"/>
      <c r="M92" s="586"/>
      <c r="N92" s="1154"/>
      <c r="O92" s="1154"/>
      <c r="P92" s="2631"/>
      <c r="Q92" s="504"/>
    </row>
    <row r="93" spans="1:17" ht="15.75" hidden="1" thickBot="1">
      <c r="A93" s="534"/>
      <c r="B93" s="543"/>
      <c r="C93" s="560"/>
      <c r="D93" s="536"/>
      <c r="E93" s="536"/>
      <c r="F93" s="536"/>
      <c r="G93" s="536"/>
      <c r="H93" s="536"/>
      <c r="I93" s="536"/>
      <c r="J93" s="536"/>
      <c r="K93" s="536"/>
      <c r="L93" s="536"/>
      <c r="M93" s="537"/>
      <c r="N93" s="1155"/>
      <c r="O93" s="1155"/>
      <c r="P93" s="2631"/>
      <c r="Q93" s="504"/>
    </row>
    <row r="94" spans="1:17" ht="15.75" hidden="1" thickTop="1">
      <c r="A94" s="534"/>
      <c r="B94" s="538">
        <f>B29</f>
        <v>111</v>
      </c>
      <c r="C94" s="554"/>
      <c r="D94" s="554"/>
      <c r="E94" s="554"/>
      <c r="F94" s="554"/>
      <c r="G94" s="583"/>
      <c r="H94" s="583"/>
      <c r="I94" s="583"/>
      <c r="J94" s="583"/>
      <c r="K94" s="584"/>
      <c r="L94" s="585"/>
      <c r="M94" s="586"/>
      <c r="N94" s="1154"/>
      <c r="O94" s="1154"/>
      <c r="P94" s="2631"/>
      <c r="Q94" s="504"/>
    </row>
    <row r="95" spans="1:17" ht="15.75" hidden="1" thickBot="1">
      <c r="A95" s="534"/>
      <c r="B95" s="543"/>
      <c r="C95" s="560"/>
      <c r="D95" s="560"/>
      <c r="E95" s="560"/>
      <c r="F95" s="560"/>
      <c r="G95" s="536"/>
      <c r="H95" s="536"/>
      <c r="I95" s="536"/>
      <c r="J95" s="536"/>
      <c r="K95" s="536"/>
      <c r="L95" s="536"/>
      <c r="M95" s="537"/>
      <c r="N95" s="1155"/>
      <c r="O95" s="1155"/>
      <c r="P95" s="2631"/>
      <c r="Q95" s="504"/>
    </row>
    <row r="96" spans="1:17" ht="15.75" hidden="1" thickTop="1">
      <c r="A96" s="534"/>
      <c r="B96" s="538">
        <f>B30</f>
        <v>111</v>
      </c>
      <c r="C96" s="554"/>
      <c r="D96" s="554"/>
      <c r="E96" s="554"/>
      <c r="F96" s="554"/>
      <c r="G96" s="583"/>
      <c r="H96" s="583"/>
      <c r="I96" s="583"/>
      <c r="J96" s="583"/>
      <c r="K96" s="584"/>
      <c r="L96" s="585"/>
      <c r="M96" s="586"/>
      <c r="N96" s="1154"/>
      <c r="O96" s="1154"/>
      <c r="P96" s="2631"/>
      <c r="Q96" s="504"/>
    </row>
    <row r="97" spans="1:17" ht="15.75" hidden="1" thickBot="1">
      <c r="A97" s="534"/>
      <c r="B97" s="543"/>
      <c r="C97" s="570"/>
      <c r="D97" s="570"/>
      <c r="E97" s="570"/>
      <c r="F97" s="570"/>
      <c r="G97" s="536"/>
      <c r="H97" s="536"/>
      <c r="I97" s="536"/>
      <c r="J97" s="536"/>
      <c r="K97" s="536"/>
      <c r="L97" s="536"/>
      <c r="M97" s="537"/>
      <c r="N97" s="1155"/>
      <c r="O97" s="1155"/>
      <c r="P97" s="2631"/>
      <c r="Q97" s="504"/>
    </row>
    <row r="98" spans="1:17" ht="15.75" hidden="1" thickTop="1">
      <c r="A98" s="534"/>
      <c r="B98" s="546">
        <f>B31</f>
        <v>111</v>
      </c>
      <c r="C98" s="587"/>
      <c r="D98" s="587"/>
      <c r="E98" s="587"/>
      <c r="F98" s="587"/>
      <c r="G98" s="587"/>
      <c r="H98" s="587"/>
      <c r="I98" s="587"/>
      <c r="J98" s="587"/>
      <c r="K98" s="588"/>
      <c r="L98" s="589"/>
      <c r="M98" s="590"/>
      <c r="N98" s="1154"/>
      <c r="O98" s="1154"/>
      <c r="P98" s="2631"/>
      <c r="Q98" s="504"/>
    </row>
    <row r="99" spans="1:17" ht="15.75" hidden="1" thickBot="1">
      <c r="A99" s="2637"/>
      <c r="B99" s="569"/>
      <c r="C99" s="591"/>
      <c r="D99" s="591"/>
      <c r="E99" s="591"/>
      <c r="F99" s="591"/>
      <c r="G99" s="591"/>
      <c r="H99" s="591"/>
      <c r="I99" s="591"/>
      <c r="J99" s="591"/>
      <c r="K99" s="591"/>
      <c r="L99" s="591"/>
      <c r="M99" s="592"/>
      <c r="N99" s="1155"/>
      <c r="O99" s="1155"/>
      <c r="P99" s="2631"/>
      <c r="Q99" s="504"/>
    </row>
    <row r="100" spans="1:17" ht="15" thickTop="1">
      <c r="A100" s="527" t="s">
        <v>2564</v>
      </c>
      <c r="B100" s="528" t="s">
        <v>2613</v>
      </c>
      <c r="C100" s="2937" t="s">
        <v>3157</v>
      </c>
      <c r="D100" s="2937" t="s">
        <v>3158</v>
      </c>
      <c r="E100" s="2937" t="s">
        <v>3159</v>
      </c>
      <c r="F100" s="2937" t="s">
        <v>3161</v>
      </c>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29.25" thickTop="1">
      <c r="A102" s="534"/>
      <c r="B102" s="538" t="s">
        <v>2614</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2"/>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5"/>
      <c r="O104" s="1155"/>
      <c r="P104" s="2632"/>
      <c r="Q104" s="559"/>
    </row>
    <row r="105" spans="1:17" ht="15" thickTop="1">
      <c r="A105" s="599"/>
      <c r="B105" s="538" t="s">
        <v>2615</v>
      </c>
      <c r="C105" s="2938" t="s">
        <v>3163</v>
      </c>
      <c r="D105" s="2938" t="s">
        <v>3164</v>
      </c>
      <c r="E105" s="2939" t="s">
        <v>3165</v>
      </c>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2616</v>
      </c>
      <c r="C107" s="2939" t="s">
        <v>3167</v>
      </c>
      <c r="D107" s="2939" t="s">
        <v>3169</v>
      </c>
      <c r="E107" s="2939" t="s">
        <v>3170</v>
      </c>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5"/>
      <c r="O108" s="1155"/>
      <c r="P108" s="2631"/>
      <c r="Q108" s="504"/>
    </row>
    <row r="109" spans="1:17" ht="15" thickTop="1">
      <c r="A109" s="599"/>
      <c r="B109" s="538" t="s">
        <v>2617</v>
      </c>
      <c r="C109" s="2938" t="s">
        <v>3172</v>
      </c>
      <c r="D109" s="2938" t="s">
        <v>3174</v>
      </c>
      <c r="E109" s="2938" t="s">
        <v>3176</v>
      </c>
      <c r="F109" s="2939" t="s">
        <v>3177</v>
      </c>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90</v>
      </c>
      <c r="E110" s="544">
        <f t="shared" si="30"/>
        <v>80</v>
      </c>
      <c r="F110" s="544">
        <f t="shared" si="30"/>
        <v>70</v>
      </c>
      <c r="G110" s="544">
        <f t="shared" si="30"/>
        <v>60</v>
      </c>
      <c r="H110" s="544">
        <f t="shared" si="30"/>
        <v>50</v>
      </c>
      <c r="I110" s="544">
        <f t="shared" si="30"/>
        <v>40</v>
      </c>
      <c r="J110" s="544">
        <f t="shared" si="30"/>
        <v>30</v>
      </c>
      <c r="K110" s="544">
        <f t="shared" si="30"/>
        <v>20</v>
      </c>
      <c r="L110" s="544">
        <f t="shared" si="30"/>
        <v>10</v>
      </c>
      <c r="M110" s="544">
        <f t="shared" si="30"/>
        <v>0</v>
      </c>
      <c r="N110" s="1155"/>
      <c r="O110" s="1155"/>
      <c r="P110" s="2631"/>
      <c r="Q110" s="504"/>
    </row>
    <row r="111" spans="1:17" s="471" customFormat="1" ht="15" hidden="1"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hidden="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hidden="1"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2618</v>
      </c>
      <c r="C114" s="2938" t="s">
        <v>3179</v>
      </c>
      <c r="D114" s="2938" t="s">
        <v>3180</v>
      </c>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2619</v>
      </c>
      <c r="C116" s="2938" t="s">
        <v>3181</v>
      </c>
      <c r="D116" s="2938" t="s">
        <v>3182</v>
      </c>
      <c r="E116" s="2938" t="s">
        <v>3183</v>
      </c>
      <c r="F116" s="2938" t="s">
        <v>3184</v>
      </c>
      <c r="G116" s="2938" t="s">
        <v>3185</v>
      </c>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hidden="1" thickTop="1">
      <c r="A118" s="599"/>
      <c r="B118" s="538" t="s">
        <v>2620</v>
      </c>
      <c r="C118" s="583"/>
      <c r="D118" s="583"/>
      <c r="E118" s="583"/>
      <c r="F118" s="583"/>
      <c r="G118" s="583"/>
      <c r="H118" s="583"/>
      <c r="I118" s="583"/>
      <c r="J118" s="583"/>
      <c r="K118" s="584"/>
      <c r="L118" s="585"/>
      <c r="M118" s="586"/>
      <c r="N118" s="1154"/>
      <c r="O118" s="1154"/>
      <c r="P118" s="2631"/>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2575</v>
      </c>
      <c r="C120" s="554" t="s">
        <v>3186</v>
      </c>
      <c r="D120" s="554" t="s">
        <v>3187</v>
      </c>
      <c r="E120" s="554" t="s">
        <v>3188</v>
      </c>
      <c r="F120" s="554"/>
      <c r="G120" s="554"/>
      <c r="H120" s="554"/>
      <c r="I120" s="554"/>
      <c r="J120" s="554"/>
      <c r="K120" s="554"/>
      <c r="L120" s="580"/>
      <c r="M120" s="581"/>
      <c r="N120" s="1156"/>
      <c r="O120" s="1156"/>
      <c r="P120" s="2632"/>
      <c r="Q120" s="559"/>
    </row>
    <row r="121" spans="1:17" s="471" customFormat="1" ht="15.75" thickBot="1">
      <c r="A121" s="553"/>
      <c r="B121" s="535"/>
      <c r="C121" s="560">
        <v>100</v>
      </c>
      <c r="D121" s="536">
        <v>102</v>
      </c>
      <c r="E121" s="536">
        <v>104</v>
      </c>
      <c r="F121" s="536"/>
      <c r="G121" s="536"/>
      <c r="H121" s="536"/>
      <c r="I121" s="536"/>
      <c r="J121" s="536"/>
      <c r="K121" s="536"/>
      <c r="L121" s="536"/>
      <c r="M121" s="536"/>
      <c r="N121" s="1156"/>
      <c r="O121" s="1156"/>
      <c r="P121" s="2632"/>
      <c r="Q121" s="559"/>
    </row>
    <row r="122" spans="1:17" ht="15" thickTop="1">
      <c r="A122" s="599"/>
      <c r="B122" s="538" t="s">
        <v>2621</v>
      </c>
      <c r="C122" s="2938" t="s">
        <v>3172</v>
      </c>
      <c r="D122" s="2938" t="s">
        <v>3174</v>
      </c>
      <c r="E122" s="2938" t="s">
        <v>3176</v>
      </c>
      <c r="F122" s="2939" t="s">
        <v>3177</v>
      </c>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90</v>
      </c>
      <c r="E123" s="544">
        <f t="shared" si="33"/>
        <v>80</v>
      </c>
      <c r="F123" s="544">
        <f t="shared" si="33"/>
        <v>70</v>
      </c>
      <c r="G123" s="544">
        <f t="shared" si="33"/>
        <v>60</v>
      </c>
      <c r="H123" s="544">
        <f t="shared" si="33"/>
        <v>50</v>
      </c>
      <c r="I123" s="544">
        <f t="shared" si="33"/>
        <v>40</v>
      </c>
      <c r="J123" s="544">
        <f t="shared" si="33"/>
        <v>30</v>
      </c>
      <c r="K123" s="544">
        <f t="shared" si="33"/>
        <v>20</v>
      </c>
      <c r="L123" s="544">
        <f t="shared" si="33"/>
        <v>10</v>
      </c>
      <c r="M123" s="544">
        <f t="shared" si="33"/>
        <v>0</v>
      </c>
      <c r="N123" s="1155"/>
      <c r="O123" s="1155"/>
      <c r="P123" s="2631"/>
      <c r="Q123" s="504"/>
    </row>
    <row r="124" spans="1:17" ht="15" hidden="1" thickTop="1">
      <c r="A124" s="599"/>
      <c r="B124" s="538" t="s">
        <v>2622</v>
      </c>
      <c r="C124" s="578" t="s">
        <v>2598</v>
      </c>
      <c r="D124" s="578" t="s">
        <v>2599</v>
      </c>
      <c r="E124" s="578" t="s">
        <v>2600</v>
      </c>
      <c r="F124" s="578" t="s">
        <v>2601</v>
      </c>
      <c r="G124" s="578" t="s">
        <v>2602</v>
      </c>
      <c r="H124" s="539"/>
      <c r="I124" s="539"/>
      <c r="J124" s="539"/>
      <c r="K124" s="540"/>
      <c r="L124" s="541"/>
      <c r="M124" s="542"/>
      <c r="N124" s="1154"/>
      <c r="O124" s="1154"/>
      <c r="P124" s="2632"/>
      <c r="Q124" s="504"/>
    </row>
    <row r="125" spans="1:17" ht="15.75" hidden="1"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2"/>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1"/>
      <c r="Q128" s="504"/>
    </row>
    <row r="129" spans="1:17" ht="15.75" hidden="1" thickBot="1">
      <c r="A129" s="534"/>
      <c r="B129" s="543"/>
      <c r="C129" s="560"/>
      <c r="D129" s="560"/>
      <c r="E129" s="560"/>
      <c r="F129" s="560"/>
      <c r="G129" s="536"/>
      <c r="H129" s="536"/>
      <c r="I129" s="536"/>
      <c r="J129" s="536"/>
      <c r="K129" s="536"/>
      <c r="L129" s="536"/>
      <c r="M129" s="537"/>
      <c r="N129" s="1155"/>
      <c r="O129" s="1155"/>
      <c r="P129" s="2631"/>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1"/>
      <c r="Q130" s="504"/>
    </row>
    <row r="131" spans="1:17" ht="15.75" hidden="1" thickBot="1">
      <c r="A131" s="2637"/>
      <c r="B131" s="569"/>
      <c r="C131" s="570"/>
      <c r="D131" s="570"/>
      <c r="E131" s="570"/>
      <c r="F131" s="570"/>
      <c r="G131" s="591"/>
      <c r="H131" s="591"/>
      <c r="I131" s="591"/>
      <c r="J131" s="591"/>
      <c r="K131" s="591"/>
      <c r="L131" s="591"/>
      <c r="M131" s="592"/>
      <c r="N131" s="1155"/>
      <c r="O131" s="1155"/>
      <c r="P131" s="2631"/>
      <c r="Q131" s="504"/>
    </row>
    <row r="132" spans="1:17" ht="15" thickTop="1"/>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5" t="s">
        <v>2626</v>
      </c>
      <c r="D138" s="145" t="s">
        <v>2627</v>
      </c>
      <c r="E138" s="2646" t="s">
        <v>2628</v>
      </c>
      <c r="F138" s="2647" t="s">
        <v>2629</v>
      </c>
      <c r="G138" s="145" t="s">
        <v>2627</v>
      </c>
      <c r="H138" s="146" t="s">
        <v>2628</v>
      </c>
      <c r="I138" s="2648"/>
      <c r="J138" s="145" t="s">
        <v>2630</v>
      </c>
      <c r="K138" s="146" t="s">
        <v>2631</v>
      </c>
    </row>
    <row r="139" spans="1:17" ht="15">
      <c r="B139" s="1087">
        <v>6</v>
      </c>
      <c r="C139" s="1088">
        <v>96</v>
      </c>
      <c r="D139" s="2649" t="s">
        <v>2632</v>
      </c>
      <c r="E139" s="1089">
        <v>100</v>
      </c>
      <c r="F139" s="1090">
        <v>102.5</v>
      </c>
      <c r="G139" s="2649" t="s">
        <v>2632</v>
      </c>
      <c r="H139" s="1091">
        <v>105</v>
      </c>
      <c r="I139" s="2650" t="s">
        <v>2633</v>
      </c>
      <c r="J139" s="1088">
        <v>20</v>
      </c>
      <c r="K139" s="1092">
        <f>C145/(J139-2)</f>
        <v>4.0555555555555553E-3</v>
      </c>
    </row>
    <row r="140" spans="1:17" ht="15">
      <c r="B140" s="1093">
        <v>5</v>
      </c>
      <c r="C140" s="1094">
        <v>100</v>
      </c>
      <c r="D140" s="1094"/>
      <c r="E140" s="1095"/>
      <c r="F140" s="1096">
        <v>102</v>
      </c>
      <c r="G140" s="1094"/>
      <c r="H140" s="1097"/>
      <c r="I140" s="2651" t="s">
        <v>2634</v>
      </c>
      <c r="J140" s="315">
        <f>ROUNDUP((J139-1)/2,0)</f>
        <v>10</v>
      </c>
      <c r="K140" s="1098">
        <v>100</v>
      </c>
    </row>
    <row r="141" spans="1:17" ht="15">
      <c r="B141" s="1093">
        <v>4</v>
      </c>
      <c r="C141" s="1094">
        <v>102</v>
      </c>
      <c r="D141" s="1094"/>
      <c r="E141" s="1095"/>
      <c r="F141" s="1096">
        <v>101.5</v>
      </c>
      <c r="G141" s="1094"/>
      <c r="H141" s="1097"/>
      <c r="I141" s="2651" t="s">
        <v>2635</v>
      </c>
      <c r="J141" s="315">
        <v>1</v>
      </c>
      <c r="K141" s="1099">
        <f>ROUND(100+(J141-J140)*K139*100,1)</f>
        <v>96.4</v>
      </c>
    </row>
    <row r="142" spans="1:17" ht="15">
      <c r="B142" s="1093">
        <v>3</v>
      </c>
      <c r="C142" s="1094">
        <v>103</v>
      </c>
      <c r="D142" s="1094"/>
      <c r="E142" s="1095"/>
      <c r="F142" s="1096">
        <v>101</v>
      </c>
      <c r="G142" s="1094"/>
      <c r="H142" s="1097"/>
      <c r="I142" s="2651" t="s">
        <v>2636</v>
      </c>
      <c r="J142" s="315">
        <f>J139</f>
        <v>20</v>
      </c>
      <c r="K142" s="1100">
        <v>95</v>
      </c>
    </row>
    <row r="143" spans="1:17" ht="15">
      <c r="B143" s="1093">
        <v>2</v>
      </c>
      <c r="C143" s="1094">
        <v>100</v>
      </c>
      <c r="D143" s="1094"/>
      <c r="E143" s="1095"/>
      <c r="F143" s="1096">
        <v>100.5</v>
      </c>
      <c r="G143" s="1094"/>
      <c r="H143" s="1097"/>
      <c r="I143" s="2651" t="s">
        <v>2637</v>
      </c>
      <c r="J143" s="1094">
        <v>15</v>
      </c>
      <c r="K143" s="1099">
        <f>ROUND(100+(J143-J140)*K139*100,1)</f>
        <v>102</v>
      </c>
    </row>
    <row r="144" spans="1:17" ht="15">
      <c r="B144" s="1093">
        <v>1</v>
      </c>
      <c r="C144" s="1094">
        <v>98</v>
      </c>
      <c r="D144" s="2652" t="s">
        <v>2638</v>
      </c>
      <c r="E144" s="1095">
        <v>102</v>
      </c>
      <c r="F144" s="1101">
        <v>100</v>
      </c>
      <c r="G144" s="2652" t="s">
        <v>2638</v>
      </c>
      <c r="H144" s="1097">
        <v>105</v>
      </c>
      <c r="I144" s="2651" t="s">
        <v>2637</v>
      </c>
      <c r="J144" s="1094">
        <v>18</v>
      </c>
      <c r="K144" s="1099">
        <f>ROUND(100+(J144-J140)*K139*100,1)</f>
        <v>103.2</v>
      </c>
    </row>
    <row r="145" spans="2:11" ht="15.75" thickBot="1">
      <c r="B145" s="2653" t="s">
        <v>2639</v>
      </c>
      <c r="C145" s="1102">
        <f>ROUND(MAX(C139:C144)/MIN(C139:C144)-1,3)</f>
        <v>7.2999999999999995E-2</v>
      </c>
      <c r="D145" s="1103"/>
      <c r="E145" s="1103"/>
      <c r="F145" s="2654" t="s">
        <v>2640</v>
      </c>
      <c r="G145" s="2655"/>
      <c r="H145" s="2656"/>
      <c r="I145" s="2657" t="s">
        <v>2637</v>
      </c>
      <c r="J145" s="1104">
        <v>8</v>
      </c>
      <c r="K145" s="1105">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3" t="s">
        <v>2643</v>
      </c>
      <c r="C1" s="1637" t="s">
        <v>2531</v>
      </c>
      <c r="D1" s="1624"/>
      <c r="E1" s="2658"/>
      <c r="F1" s="2585"/>
      <c r="G1" s="1634" t="s">
        <v>2644</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2331</v>
      </c>
      <c r="B2" s="1420" t="e">
        <f ca="1">IF(C2="——",ROUND(C49*D3/10000,0),ROUND(C49*D3/10000,0)-D2)</f>
        <v>#DIV/0!</v>
      </c>
      <c r="C2" s="2587"/>
      <c r="D2" s="1367" t="e">
        <f ca="1">SUMIF(INDIRECT("'"&amp;F2&amp;"'"&amp;"!A:A"),"承租人权益价值",INDIRECT("'"&amp;F2&amp;"'"&amp;"!c:c"))</f>
        <v>#REF!</v>
      </c>
      <c r="E2" s="2588" t="s">
        <v>2332</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2333</v>
      </c>
      <c r="B3" s="609" t="e">
        <f ca="1">IF(C2="——",C49,ROUND(B2*10000/D3,0))</f>
        <v>#DIV/0!</v>
      </c>
      <c r="C3" s="400" t="s">
        <v>2645</v>
      </c>
      <c r="D3" s="399">
        <f>IF(D1="",'数据-汇总表'!E3,SUMIF('数据-汇总表'!$C19:$C33,D1,'数据-汇总表'!$E19:$E33))</f>
        <v>210072.84</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2646</v>
      </c>
      <c r="B4" s="402"/>
      <c r="C4" s="3148" t="s">
        <v>2647</v>
      </c>
      <c r="D4" s="3161"/>
      <c r="E4" s="3162" t="s">
        <v>2648</v>
      </c>
      <c r="F4" s="3163"/>
      <c r="G4" s="3148" t="s">
        <v>2649</v>
      </c>
      <c r="H4" s="3161"/>
      <c r="I4" s="3148" t="s">
        <v>2650</v>
      </c>
      <c r="J4" s="3161"/>
      <c r="K4" s="610" t="s">
        <v>2651</v>
      </c>
      <c r="L4" s="1132"/>
      <c r="M4" s="1133"/>
      <c r="N4" s="1133"/>
      <c r="O4" s="1133"/>
      <c r="P4" s="3164" t="s">
        <v>2652</v>
      </c>
      <c r="Q4" s="3165"/>
      <c r="R4" s="3170" t="s">
        <v>2648</v>
      </c>
      <c r="S4" s="3171"/>
      <c r="T4" s="3170" t="s">
        <v>2649</v>
      </c>
      <c r="U4" s="3171"/>
      <c r="V4" s="3157" t="s">
        <v>2650</v>
      </c>
      <c r="W4" s="3157"/>
      <c r="X4" s="1816"/>
      <c r="Y4" s="3170" t="s">
        <v>2652</v>
      </c>
      <c r="Z4" s="3171"/>
      <c r="AA4" s="3158" t="s">
        <v>2648</v>
      </c>
      <c r="AB4" s="3157" t="s">
        <v>2649</v>
      </c>
      <c r="AC4" s="3158" t="s">
        <v>2650</v>
      </c>
    </row>
    <row r="5" spans="1:29" ht="15">
      <c r="A5" s="404"/>
      <c r="B5" s="405"/>
      <c r="C5" s="3222" t="s">
        <v>2543</v>
      </c>
      <c r="D5" s="3179"/>
      <c r="E5" s="3225" t="s">
        <v>2544</v>
      </c>
      <c r="F5" s="3186"/>
      <c r="G5" s="3222" t="s">
        <v>2545</v>
      </c>
      <c r="H5" s="3179"/>
      <c r="I5" s="3222" t="s">
        <v>2546</v>
      </c>
      <c r="J5" s="3179"/>
      <c r="K5" s="610"/>
      <c r="L5" s="1132"/>
      <c r="M5" s="1133"/>
      <c r="N5" s="1133"/>
      <c r="O5" s="1133"/>
      <c r="P5" s="3166"/>
      <c r="Q5" s="3167"/>
      <c r="R5" s="3172"/>
      <c r="S5" s="3173"/>
      <c r="T5" s="3172"/>
      <c r="U5" s="3173"/>
      <c r="V5" s="3157"/>
      <c r="W5" s="3157"/>
      <c r="X5" s="1816"/>
      <c r="Y5" s="3172"/>
      <c r="Z5" s="3173"/>
      <c r="AA5" s="3159"/>
      <c r="AB5" s="3157"/>
      <c r="AC5" s="3159"/>
    </row>
    <row r="6" spans="1:29" ht="15.75" thickBot="1">
      <c r="A6" s="406"/>
      <c r="B6" s="407"/>
      <c r="C6" s="3223" t="s">
        <v>2547</v>
      </c>
      <c r="D6" s="3177"/>
      <c r="E6" s="3224" t="s">
        <v>2547</v>
      </c>
      <c r="F6" s="3184"/>
      <c r="G6" s="3223" t="s">
        <v>2547</v>
      </c>
      <c r="H6" s="3177"/>
      <c r="I6" s="3223" t="s">
        <v>2547</v>
      </c>
      <c r="J6" s="3177"/>
      <c r="K6" s="610" t="s">
        <v>2548</v>
      </c>
      <c r="L6" s="1132"/>
      <c r="M6" s="1133"/>
      <c r="N6" s="1133"/>
      <c r="O6" s="1133"/>
      <c r="P6" s="3168"/>
      <c r="Q6" s="3169"/>
      <c r="R6" s="3172"/>
      <c r="S6" s="3173"/>
      <c r="T6" s="3174"/>
      <c r="U6" s="3175"/>
      <c r="V6" s="3157"/>
      <c r="W6" s="3157"/>
      <c r="X6" s="1816"/>
      <c r="Y6" s="3174"/>
      <c r="Z6" s="3175"/>
      <c r="AA6" s="3160"/>
      <c r="AB6" s="3157"/>
      <c r="AC6" s="3160"/>
    </row>
    <row r="7" spans="1:29" s="116" customFormat="1" ht="15.75" thickBot="1">
      <c r="A7" s="408" t="s">
        <v>2549</v>
      </c>
      <c r="B7" s="409"/>
      <c r="C7" s="410">
        <f>'数据-取费表'!B2</f>
        <v>43025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0" t="s">
        <v>2550</v>
      </c>
      <c r="Q7" s="3182"/>
      <c r="R7" s="770" t="s">
        <v>17</v>
      </c>
      <c r="S7" s="771">
        <f t="shared" ref="S7:S15" si="0">F7</f>
        <v>0</v>
      </c>
      <c r="T7" s="770" t="s">
        <v>17</v>
      </c>
      <c r="U7" s="771">
        <f t="shared" ref="U7:U15" si="1">H7</f>
        <v>0</v>
      </c>
      <c r="V7" s="770" t="s">
        <v>17</v>
      </c>
      <c r="W7" s="771">
        <f t="shared" ref="W7:W15" si="2">J7</f>
        <v>0</v>
      </c>
      <c r="X7" s="772"/>
      <c r="Y7" s="3180" t="s">
        <v>2550</v>
      </c>
      <c r="Z7" s="3181"/>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0" t="s">
        <v>2553</v>
      </c>
      <c r="Q8" s="3181"/>
      <c r="R8" s="770" t="s">
        <v>17</v>
      </c>
      <c r="S8" s="771">
        <f t="shared" si="0"/>
        <v>0</v>
      </c>
      <c r="T8" s="770" t="s">
        <v>17</v>
      </c>
      <c r="U8" s="771">
        <f t="shared" si="1"/>
        <v>0</v>
      </c>
      <c r="V8" s="770" t="s">
        <v>17</v>
      </c>
      <c r="W8" s="771">
        <f t="shared" si="2"/>
        <v>0</v>
      </c>
      <c r="X8" s="772"/>
      <c r="Y8" s="3180" t="s">
        <v>2553</v>
      </c>
      <c r="Z8" s="3181"/>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4"/>
      <c r="M9" s="1135"/>
      <c r="N9" s="1135"/>
      <c r="O9" s="1135"/>
      <c r="P9" s="3150" t="s">
        <v>2556</v>
      </c>
      <c r="Q9" s="1798" t="str">
        <f t="shared" ref="Q9:Q15" si="6">B9</f>
        <v>用途</v>
      </c>
      <c r="R9" s="770" t="s">
        <v>17</v>
      </c>
      <c r="S9" s="771">
        <f t="shared" si="0"/>
        <v>100</v>
      </c>
      <c r="T9" s="770" t="s">
        <v>17</v>
      </c>
      <c r="U9" s="771">
        <f t="shared" si="1"/>
        <v>100</v>
      </c>
      <c r="V9" s="770" t="s">
        <v>17</v>
      </c>
      <c r="W9" s="771">
        <f t="shared" si="2"/>
        <v>100</v>
      </c>
      <c r="X9" s="772"/>
      <c r="Y9" s="2999" t="s">
        <v>2557</v>
      </c>
      <c r="Z9" s="55"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7"/>
      <c r="M10" s="1138"/>
      <c r="N10" s="1138"/>
      <c r="O10" s="1138"/>
      <c r="P10" s="3150"/>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0"/>
      <c r="M11" s="1133"/>
      <c r="N11" s="1133"/>
      <c r="O11" s="1133"/>
      <c r="P11" s="3150"/>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6" customFormat="1" ht="15">
      <c r="A12" s="431"/>
      <c r="B12" s="2601">
        <v>111</v>
      </c>
      <c r="C12" s="432"/>
      <c r="D12" s="433">
        <v>100</v>
      </c>
      <c r="E12" s="434"/>
      <c r="F12" s="425">
        <f>SUMIF(70:70,E12,71:71)-SUMIF(70:70,C12,71:71)+100</f>
        <v>100</v>
      </c>
      <c r="G12" s="434"/>
      <c r="H12" s="135">
        <f>SUMIF(70:70,G12,71:71)-SUMIF(70:70,C12,71:71)+100</f>
        <v>100</v>
      </c>
      <c r="I12" s="434"/>
      <c r="J12" s="135">
        <f>SUMIF(70:70,I12,71:71)-SUMIF(70:70,C12,71:71)+100</f>
        <v>100</v>
      </c>
      <c r="K12" s="613"/>
      <c r="L12" s="1134"/>
      <c r="M12" s="1135"/>
      <c r="N12" s="1135"/>
      <c r="O12" s="1135"/>
      <c r="P12" s="3150"/>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50"/>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50"/>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71.25">
      <c r="A15" s="440" t="s">
        <v>2560</v>
      </c>
      <c r="B15" s="68"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0" t="s">
        <v>2561</v>
      </c>
      <c r="Q15" s="1813" t="str">
        <f t="shared" si="6"/>
        <v>商业繁华度</v>
      </c>
      <c r="R15" s="774" t="s">
        <v>17</v>
      </c>
      <c r="S15" s="775">
        <f t="shared" si="0"/>
        <v>100</v>
      </c>
      <c r="T15" s="774" t="s">
        <v>17</v>
      </c>
      <c r="U15" s="775">
        <f t="shared" si="1"/>
        <v>100</v>
      </c>
      <c r="V15" s="774" t="s">
        <v>17</v>
      </c>
      <c r="W15" s="775">
        <f t="shared" si="2"/>
        <v>100</v>
      </c>
      <c r="X15" s="1816"/>
      <c r="Y15" s="3153"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21"/>
      <c r="Q16" s="1813"/>
      <c r="R16" s="774"/>
      <c r="S16" s="775"/>
      <c r="T16" s="774"/>
      <c r="U16" s="775"/>
      <c r="V16" s="774"/>
      <c r="W16" s="775"/>
      <c r="X16" s="1816"/>
      <c r="Y16" s="3154"/>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21"/>
      <c r="Q17" s="1813" t="str">
        <f>B17</f>
        <v>交通便捷度</v>
      </c>
      <c r="R17" s="774" t="s">
        <v>17</v>
      </c>
      <c r="S17" s="775">
        <f>F17</f>
        <v>100</v>
      </c>
      <c r="T17" s="774" t="s">
        <v>17</v>
      </c>
      <c r="U17" s="775">
        <f>H17</f>
        <v>100</v>
      </c>
      <c r="V17" s="774" t="s">
        <v>17</v>
      </c>
      <c r="W17" s="775">
        <f>J17</f>
        <v>100</v>
      </c>
      <c r="X17" s="1816"/>
      <c r="Y17" s="315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33"/>
      <c r="P18" s="3221"/>
      <c r="Q18" s="1813"/>
      <c r="R18" s="774"/>
      <c r="S18" s="775"/>
      <c r="T18" s="774"/>
      <c r="U18" s="775"/>
      <c r="V18" s="774"/>
      <c r="W18" s="775"/>
      <c r="X18" s="1816"/>
      <c r="Y18" s="3154"/>
      <c r="Z18" s="1817"/>
      <c r="AA18" s="1814">
        <v>1</v>
      </c>
      <c r="AB18" s="1814">
        <v>1</v>
      </c>
      <c r="AC18" s="1814">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21"/>
      <c r="Q19" s="1813" t="str">
        <f>B19</f>
        <v>公共配套设施</v>
      </c>
      <c r="R19" s="774" t="s">
        <v>17</v>
      </c>
      <c r="S19" s="775">
        <f>F19</f>
        <v>100</v>
      </c>
      <c r="T19" s="774" t="s">
        <v>17</v>
      </c>
      <c r="U19" s="775">
        <f>H19</f>
        <v>100</v>
      </c>
      <c r="V19" s="774" t="s">
        <v>17</v>
      </c>
      <c r="W19" s="775">
        <f>J19</f>
        <v>100</v>
      </c>
      <c r="X19" s="1816"/>
      <c r="Y19" s="315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33"/>
      <c r="P20" s="3221"/>
      <c r="Q20" s="1813"/>
      <c r="R20" s="774"/>
      <c r="S20" s="775"/>
      <c r="T20" s="774"/>
      <c r="U20" s="775"/>
      <c r="V20" s="774"/>
      <c r="W20" s="775"/>
      <c r="X20" s="1816"/>
      <c r="Y20" s="3154"/>
      <c r="Z20" s="1817"/>
      <c r="AA20" s="1814">
        <v>1</v>
      </c>
      <c r="AB20" s="1814">
        <v>1</v>
      </c>
      <c r="AC20" s="1814">
        <v>1</v>
      </c>
    </row>
    <row r="21" spans="1:29" ht="28.5">
      <c r="A21" s="428"/>
      <c r="B21" s="1386"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21"/>
      <c r="Q21" s="1813" t="str">
        <f>B21</f>
        <v>基础设施水平</v>
      </c>
      <c r="R21" s="774" t="s">
        <v>17</v>
      </c>
      <c r="S21" s="775">
        <f>F21</f>
        <v>100</v>
      </c>
      <c r="T21" s="774" t="s">
        <v>17</v>
      </c>
      <c r="U21" s="775">
        <f>H21</f>
        <v>100</v>
      </c>
      <c r="V21" s="774" t="s">
        <v>17</v>
      </c>
      <c r="W21" s="775">
        <f>J21</f>
        <v>100</v>
      </c>
      <c r="X21" s="1816"/>
      <c r="Y21" s="3154"/>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33"/>
      <c r="P22" s="3221"/>
      <c r="Q22" s="1813"/>
      <c r="R22" s="774"/>
      <c r="S22" s="775"/>
      <c r="T22" s="774"/>
      <c r="U22" s="775"/>
      <c r="V22" s="774"/>
      <c r="W22" s="775"/>
      <c r="X22" s="1816"/>
      <c r="Y22" s="3154"/>
      <c r="Z22" s="1817"/>
      <c r="AA22" s="1814">
        <v>1</v>
      </c>
      <c r="AB22" s="1814">
        <v>1</v>
      </c>
      <c r="AC22" s="1814">
        <v>1</v>
      </c>
    </row>
    <row r="23" spans="1:29" ht="57">
      <c r="A23" s="428"/>
      <c r="B23" s="451" t="s">
        <v>2104</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21"/>
      <c r="Q23" s="1813" t="str">
        <f>B23</f>
        <v>自然及人文环境</v>
      </c>
      <c r="R23" s="774" t="s">
        <v>17</v>
      </c>
      <c r="S23" s="775">
        <f>F23</f>
        <v>100</v>
      </c>
      <c r="T23" s="774" t="s">
        <v>17</v>
      </c>
      <c r="U23" s="775">
        <f>H23</f>
        <v>100</v>
      </c>
      <c r="V23" s="774" t="s">
        <v>17</v>
      </c>
      <c r="W23" s="775">
        <f>J23</f>
        <v>100</v>
      </c>
      <c r="X23" s="1816"/>
      <c r="Y23" s="3154"/>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2"/>
      <c r="M24" s="1133"/>
      <c r="N24" s="1133"/>
      <c r="O24" s="1133"/>
      <c r="P24" s="3221"/>
      <c r="Q24" s="1813"/>
      <c r="R24" s="774"/>
      <c r="S24" s="775"/>
      <c r="T24" s="774"/>
      <c r="U24" s="775"/>
      <c r="V24" s="774"/>
      <c r="W24" s="775"/>
      <c r="X24" s="1816"/>
      <c r="Y24" s="3154"/>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21"/>
      <c r="Q25" s="1813" t="str">
        <f t="shared" ref="Q25:Q46" si="11">B25</f>
        <v>临街状况</v>
      </c>
      <c r="R25" s="774" t="s">
        <v>17</v>
      </c>
      <c r="S25" s="775">
        <f>F25</f>
        <v>100</v>
      </c>
      <c r="T25" s="774" t="s">
        <v>17</v>
      </c>
      <c r="U25" s="775">
        <f>H25</f>
        <v>100</v>
      </c>
      <c r="V25" s="774" t="s">
        <v>17</v>
      </c>
      <c r="W25" s="775">
        <f>J25</f>
        <v>100</v>
      </c>
      <c r="X25" s="1816"/>
      <c r="Y25" s="3154"/>
      <c r="Z25" s="1817" t="str">
        <f>Q25</f>
        <v>临街状况</v>
      </c>
      <c r="AA25" s="1814">
        <f t="shared" si="3"/>
        <v>1</v>
      </c>
      <c r="AB25" s="1814">
        <f t="shared" si="4"/>
        <v>1</v>
      </c>
      <c r="AC25" s="1814">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21"/>
      <c r="Q26" s="1813" t="str">
        <f t="shared" si="11"/>
        <v>平面位置/可视性</v>
      </c>
      <c r="R26" s="774" t="s">
        <v>17</v>
      </c>
      <c r="S26" s="775">
        <f>F26</f>
        <v>100</v>
      </c>
      <c r="T26" s="774" t="s">
        <v>17</v>
      </c>
      <c r="U26" s="775">
        <f>H26</f>
        <v>100</v>
      </c>
      <c r="V26" s="774" t="s">
        <v>17</v>
      </c>
      <c r="W26" s="775">
        <f>J26</f>
        <v>100</v>
      </c>
      <c r="X26" s="1816"/>
      <c r="Y26" s="3154"/>
      <c r="Z26" s="1817" t="str">
        <f>Q26</f>
        <v>平面位置/可视性</v>
      </c>
      <c r="AA26" s="1814">
        <f t="shared" si="3"/>
        <v>1</v>
      </c>
      <c r="AB26" s="1814">
        <f t="shared" si="4"/>
        <v>1</v>
      </c>
      <c r="AC26" s="1814">
        <f t="shared" si="5"/>
        <v>1</v>
      </c>
    </row>
    <row r="27" spans="1:29" s="116"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221"/>
      <c r="Q27" s="1798" t="str">
        <f t="shared" si="11"/>
        <v>人流量</v>
      </c>
      <c r="R27" s="770" t="s">
        <v>17</v>
      </c>
      <c r="S27" s="771">
        <f>F27</f>
        <v>100</v>
      </c>
      <c r="T27" s="770" t="s">
        <v>17</v>
      </c>
      <c r="U27" s="771">
        <f>H27</f>
        <v>100</v>
      </c>
      <c r="V27" s="770" t="s">
        <v>17</v>
      </c>
      <c r="W27" s="771">
        <f>J27</f>
        <v>100</v>
      </c>
      <c r="X27" s="772"/>
      <c r="Y27" s="3154"/>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2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4"/>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1"/>
      <c r="Q29" s="1813">
        <f t="shared" si="11"/>
        <v>111</v>
      </c>
      <c r="R29" s="774" t="s">
        <v>17</v>
      </c>
      <c r="S29" s="775">
        <f t="shared" si="12"/>
        <v>100</v>
      </c>
      <c r="T29" s="774" t="s">
        <v>17</v>
      </c>
      <c r="U29" s="775">
        <f t="shared" si="13"/>
        <v>100</v>
      </c>
      <c r="V29" s="774" t="s">
        <v>17</v>
      </c>
      <c r="W29" s="775">
        <f t="shared" si="14"/>
        <v>100</v>
      </c>
      <c r="X29" s="1816"/>
      <c r="Y29" s="3154"/>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1"/>
      <c r="Q30" s="1813">
        <f t="shared" si="11"/>
        <v>111</v>
      </c>
      <c r="R30" s="774" t="s">
        <v>17</v>
      </c>
      <c r="S30" s="775">
        <f t="shared" si="12"/>
        <v>100</v>
      </c>
      <c r="T30" s="774" t="s">
        <v>17</v>
      </c>
      <c r="U30" s="775">
        <f t="shared" si="13"/>
        <v>100</v>
      </c>
      <c r="V30" s="774" t="s">
        <v>17</v>
      </c>
      <c r="W30" s="775">
        <f t="shared" si="14"/>
        <v>100</v>
      </c>
      <c r="X30" s="1816"/>
      <c r="Y30" s="3154"/>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1"/>
      <c r="Q31" s="1813">
        <f t="shared" si="11"/>
        <v>111</v>
      </c>
      <c r="R31" s="774" t="s">
        <v>17</v>
      </c>
      <c r="S31" s="775">
        <f t="shared" si="12"/>
        <v>100</v>
      </c>
      <c r="T31" s="774" t="s">
        <v>17</v>
      </c>
      <c r="U31" s="775">
        <f t="shared" si="13"/>
        <v>100</v>
      </c>
      <c r="V31" s="774" t="s">
        <v>17</v>
      </c>
      <c r="W31" s="775">
        <f t="shared" si="14"/>
        <v>100</v>
      </c>
      <c r="X31" s="1816"/>
      <c r="Y31" s="3154"/>
      <c r="Z31" s="1817">
        <f t="shared" si="15"/>
        <v>111</v>
      </c>
      <c r="AA31" s="1814">
        <f t="shared" si="3"/>
        <v>1</v>
      </c>
      <c r="AB31" s="1814">
        <f t="shared" si="4"/>
        <v>1</v>
      </c>
      <c r="AC31" s="1814">
        <f t="shared" si="5"/>
        <v>1</v>
      </c>
    </row>
    <row r="32" spans="1:29" ht="15">
      <c r="A32" s="440" t="s">
        <v>2564</v>
      </c>
      <c r="B32" s="70" t="s">
        <v>2661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216" t="s">
        <v>2566</v>
      </c>
      <c r="Q32" s="1813" t="str">
        <f t="shared" si="11"/>
        <v>商业类型</v>
      </c>
      <c r="R32" s="774" t="s">
        <v>17</v>
      </c>
      <c r="S32" s="775">
        <f t="shared" si="12"/>
        <v>100</v>
      </c>
      <c r="T32" s="774" t="s">
        <v>17</v>
      </c>
      <c r="U32" s="775">
        <f t="shared" si="13"/>
        <v>100</v>
      </c>
      <c r="V32" s="774" t="s">
        <v>17</v>
      </c>
      <c r="W32" s="775">
        <f t="shared" si="14"/>
        <v>100</v>
      </c>
      <c r="X32" s="1816"/>
      <c r="Y32" s="3156" t="s">
        <v>2566</v>
      </c>
      <c r="Z32" s="1817" t="str">
        <f t="shared" si="15"/>
        <v>商业类型</v>
      </c>
      <c r="AA32" s="1814">
        <f t="shared" si="3"/>
        <v>1</v>
      </c>
      <c r="AB32" s="1814">
        <f t="shared" si="4"/>
        <v>1</v>
      </c>
      <c r="AC32" s="1814">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0"/>
      <c r="M33" s="1143"/>
      <c r="N33" s="1143"/>
      <c r="O33" s="1143"/>
      <c r="P33" s="3217"/>
      <c r="Q33" s="776" t="str">
        <f t="shared" si="11"/>
        <v>项目建筑规模</v>
      </c>
      <c r="R33" s="777" t="s">
        <v>17</v>
      </c>
      <c r="S33" s="778" t="e">
        <f t="shared" si="12"/>
        <v>#N/A</v>
      </c>
      <c r="T33" s="777" t="s">
        <v>17</v>
      </c>
      <c r="U33" s="778" t="e">
        <f t="shared" si="13"/>
        <v>#N/A</v>
      </c>
      <c r="V33" s="777" t="s">
        <v>17</v>
      </c>
      <c r="W33" s="778" t="e">
        <f t="shared" si="14"/>
        <v>#N/A</v>
      </c>
      <c r="X33" s="779"/>
      <c r="Y33" s="3156"/>
      <c r="Z33" s="780" t="str">
        <f t="shared" si="15"/>
        <v>项目建筑规模</v>
      </c>
      <c r="AA33" s="1814" t="e">
        <f t="shared" si="3"/>
        <v>#N/A</v>
      </c>
      <c r="AB33" s="1814" t="e">
        <f t="shared" si="4"/>
        <v>#N/A</v>
      </c>
      <c r="AC33" s="1814"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217"/>
      <c r="Q34" s="1813" t="str">
        <f t="shared" si="11"/>
        <v>建筑结构</v>
      </c>
      <c r="R34" s="774" t="s">
        <v>17</v>
      </c>
      <c r="S34" s="775">
        <f t="shared" si="12"/>
        <v>100</v>
      </c>
      <c r="T34" s="774" t="s">
        <v>17</v>
      </c>
      <c r="U34" s="775">
        <f t="shared" si="13"/>
        <v>100</v>
      </c>
      <c r="V34" s="774" t="s">
        <v>17</v>
      </c>
      <c r="W34" s="775">
        <f t="shared" si="14"/>
        <v>100</v>
      </c>
      <c r="X34" s="1816"/>
      <c r="Y34" s="3156"/>
      <c r="Z34" s="1817" t="str">
        <f t="shared" si="15"/>
        <v>建筑结构</v>
      </c>
      <c r="AA34" s="1814">
        <f t="shared" si="3"/>
        <v>1</v>
      </c>
      <c r="AB34" s="1814">
        <f t="shared" si="4"/>
        <v>1</v>
      </c>
      <c r="AC34" s="1814">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217"/>
      <c r="Q35" s="1813" t="str">
        <f t="shared" si="11"/>
        <v>公共部分装修</v>
      </c>
      <c r="R35" s="774" t="s">
        <v>17</v>
      </c>
      <c r="S35" s="775">
        <f t="shared" si="12"/>
        <v>100</v>
      </c>
      <c r="T35" s="774" t="s">
        <v>17</v>
      </c>
      <c r="U35" s="775">
        <f t="shared" si="13"/>
        <v>100</v>
      </c>
      <c r="V35" s="774" t="s">
        <v>17</v>
      </c>
      <c r="W35" s="775">
        <f t="shared" si="14"/>
        <v>100</v>
      </c>
      <c r="X35" s="1816"/>
      <c r="Y35" s="3156"/>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17"/>
      <c r="Q36" s="1813" t="str">
        <f t="shared" si="11"/>
        <v>成新度</v>
      </c>
      <c r="R36" s="774" t="s">
        <v>17</v>
      </c>
      <c r="S36" s="775" t="e">
        <f t="shared" si="12"/>
        <v>#N/A</v>
      </c>
      <c r="T36" s="774" t="s">
        <v>17</v>
      </c>
      <c r="U36" s="775" t="e">
        <f t="shared" si="13"/>
        <v>#N/A</v>
      </c>
      <c r="V36" s="774" t="s">
        <v>17</v>
      </c>
      <c r="W36" s="775" t="e">
        <f t="shared" si="14"/>
        <v>#N/A</v>
      </c>
      <c r="X36" s="1816"/>
      <c r="Y36" s="3156"/>
      <c r="Z36" s="1817" t="str">
        <f t="shared" si="15"/>
        <v>成新度</v>
      </c>
      <c r="AA36" s="1814" t="e">
        <f t="shared" si="3"/>
        <v>#N/A</v>
      </c>
      <c r="AB36" s="1814" t="e">
        <f t="shared" si="4"/>
        <v>#N/A</v>
      </c>
      <c r="AC36" s="1814" t="e">
        <f t="shared" si="5"/>
        <v>#N/A</v>
      </c>
    </row>
    <row r="37" spans="1:29" s="116" customFormat="1" ht="15">
      <c r="A37" s="473"/>
      <c r="B37" s="422" t="s">
        <v>2664</v>
      </c>
      <c r="C37" s="2614"/>
      <c r="D37" s="135">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217"/>
      <c r="Q37" s="1798" t="str">
        <f t="shared" si="11"/>
        <v>市政基础设施</v>
      </c>
      <c r="R37" s="770" t="s">
        <v>17</v>
      </c>
      <c r="S37" s="771">
        <f t="shared" si="12"/>
        <v>100</v>
      </c>
      <c r="T37" s="770" t="s">
        <v>17</v>
      </c>
      <c r="U37" s="771">
        <f t="shared" si="13"/>
        <v>100</v>
      </c>
      <c r="V37" s="770" t="s">
        <v>17</v>
      </c>
      <c r="W37" s="771">
        <f t="shared" si="14"/>
        <v>100</v>
      </c>
      <c r="X37" s="772"/>
      <c r="Y37" s="3156"/>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217" t="s">
        <v>2566</v>
      </c>
      <c r="Q38" s="1813" t="str">
        <f t="shared" si="11"/>
        <v>业态</v>
      </c>
      <c r="R38" s="774" t="s">
        <v>17</v>
      </c>
      <c r="S38" s="775">
        <f t="shared" si="12"/>
        <v>100</v>
      </c>
      <c r="T38" s="774" t="s">
        <v>17</v>
      </c>
      <c r="U38" s="775">
        <f t="shared" si="13"/>
        <v>100</v>
      </c>
      <c r="V38" s="774" t="s">
        <v>17</v>
      </c>
      <c r="W38" s="775">
        <f t="shared" si="14"/>
        <v>100</v>
      </c>
      <c r="X38" s="1816"/>
      <c r="Y38" s="3156" t="s">
        <v>2566</v>
      </c>
      <c r="Z38" s="1817" t="str">
        <f t="shared" si="15"/>
        <v>业态</v>
      </c>
      <c r="AA38" s="1814">
        <f t="shared" si="3"/>
        <v>1</v>
      </c>
      <c r="AB38" s="1814">
        <f t="shared" si="4"/>
        <v>1</v>
      </c>
      <c r="AC38" s="1814">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217"/>
      <c r="Q39" s="1813" t="str">
        <f t="shared" si="11"/>
        <v>层高</v>
      </c>
      <c r="R39" s="774" t="s">
        <v>17</v>
      </c>
      <c r="S39" s="775">
        <f t="shared" si="12"/>
        <v>100</v>
      </c>
      <c r="T39" s="774" t="s">
        <v>17</v>
      </c>
      <c r="U39" s="775">
        <f t="shared" si="13"/>
        <v>100</v>
      </c>
      <c r="V39" s="774" t="s">
        <v>17</v>
      </c>
      <c r="W39" s="775">
        <f t="shared" si="14"/>
        <v>100</v>
      </c>
      <c r="X39" s="1816"/>
      <c r="Y39" s="3156"/>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17"/>
      <c r="Q40" s="1813" t="str">
        <f t="shared" si="11"/>
        <v>单套建筑面积</v>
      </c>
      <c r="R40" s="774" t="s">
        <v>17</v>
      </c>
      <c r="S40" s="775">
        <f t="shared" si="12"/>
        <v>100</v>
      </c>
      <c r="T40" s="774" t="s">
        <v>17</v>
      </c>
      <c r="U40" s="775">
        <f t="shared" si="13"/>
        <v>100</v>
      </c>
      <c r="V40" s="774" t="s">
        <v>17</v>
      </c>
      <c r="W40" s="775">
        <f t="shared" si="14"/>
        <v>100</v>
      </c>
      <c r="X40" s="1816"/>
      <c r="Y40" s="3156"/>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17"/>
      <c r="Q41" s="776" t="str">
        <f t="shared" si="11"/>
        <v>进深比</v>
      </c>
      <c r="R41" s="777" t="s">
        <v>17</v>
      </c>
      <c r="S41" s="778">
        <f t="shared" si="12"/>
        <v>100</v>
      </c>
      <c r="T41" s="777" t="s">
        <v>17</v>
      </c>
      <c r="U41" s="778">
        <f t="shared" si="13"/>
        <v>100</v>
      </c>
      <c r="V41" s="777" t="s">
        <v>17</v>
      </c>
      <c r="W41" s="778">
        <f t="shared" si="14"/>
        <v>100</v>
      </c>
      <c r="X41" s="779"/>
      <c r="Y41" s="3156"/>
      <c r="Z41" s="780" t="str">
        <f t="shared" si="15"/>
        <v>进深比</v>
      </c>
      <c r="AA41" s="1814">
        <f t="shared" si="3"/>
        <v>1</v>
      </c>
      <c r="AB41" s="1814">
        <f t="shared" si="4"/>
        <v>1</v>
      </c>
      <c r="AC41" s="1814">
        <f t="shared" si="5"/>
        <v>1</v>
      </c>
    </row>
    <row r="42" spans="1:29" ht="15">
      <c r="A42" s="472"/>
      <c r="B42" s="422" t="s">
        <v>2669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217"/>
      <c r="Q42" s="1813" t="str">
        <f t="shared" si="11"/>
        <v>内部装修</v>
      </c>
      <c r="R42" s="774" t="s">
        <v>17</v>
      </c>
      <c r="S42" s="775">
        <f t="shared" si="12"/>
        <v>100</v>
      </c>
      <c r="T42" s="774" t="s">
        <v>17</v>
      </c>
      <c r="U42" s="775">
        <f t="shared" si="13"/>
        <v>100</v>
      </c>
      <c r="V42" s="774" t="s">
        <v>17</v>
      </c>
      <c r="W42" s="775">
        <f t="shared" si="14"/>
        <v>100</v>
      </c>
      <c r="X42" s="1816"/>
      <c r="Y42" s="3156"/>
      <c r="Z42" s="1817" t="str">
        <f t="shared" si="15"/>
        <v>内部装修</v>
      </c>
      <c r="AA42" s="1814">
        <f t="shared" si="3"/>
        <v>1</v>
      </c>
      <c r="AB42" s="1814">
        <f t="shared" si="4"/>
        <v>1</v>
      </c>
      <c r="AC42" s="1814">
        <f t="shared" si="5"/>
        <v>1</v>
      </c>
    </row>
    <row r="43" spans="1:29" ht="15">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217"/>
      <c r="Q43" s="1813" t="str">
        <f t="shared" si="11"/>
        <v>内部装修维护情况</v>
      </c>
      <c r="R43" s="774" t="s">
        <v>17</v>
      </c>
      <c r="S43" s="775">
        <f t="shared" si="12"/>
        <v>100</v>
      </c>
      <c r="T43" s="774" t="s">
        <v>17</v>
      </c>
      <c r="U43" s="775">
        <f t="shared" si="13"/>
        <v>100</v>
      </c>
      <c r="V43" s="774" t="s">
        <v>17</v>
      </c>
      <c r="W43" s="775">
        <f t="shared" si="14"/>
        <v>100</v>
      </c>
      <c r="X43" s="1816"/>
      <c r="Y43" s="3156"/>
      <c r="Z43" s="1817" t="str">
        <f t="shared" si="15"/>
        <v>内部装修维护情况</v>
      </c>
      <c r="AA43" s="1814">
        <f t="shared" si="3"/>
        <v>1</v>
      </c>
      <c r="AB43" s="1814">
        <f t="shared" si="4"/>
        <v>1</v>
      </c>
      <c r="AC43" s="1814">
        <f t="shared" si="5"/>
        <v>1</v>
      </c>
    </row>
    <row r="44" spans="1:29" s="116" customFormat="1" ht="15">
      <c r="A44" s="473"/>
      <c r="B44" s="1388">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4"/>
      <c r="M44" s="1135"/>
      <c r="N44" s="1135"/>
      <c r="O44" s="1135"/>
      <c r="P44" s="3217"/>
      <c r="Q44" s="1798">
        <f t="shared" si="11"/>
        <v>111</v>
      </c>
      <c r="R44" s="770" t="s">
        <v>17</v>
      </c>
      <c r="S44" s="771">
        <f t="shared" si="12"/>
        <v>100</v>
      </c>
      <c r="T44" s="770" t="s">
        <v>17</v>
      </c>
      <c r="U44" s="771">
        <f t="shared" si="13"/>
        <v>100</v>
      </c>
      <c r="V44" s="770" t="s">
        <v>17</v>
      </c>
      <c r="W44" s="771">
        <f t="shared" si="14"/>
        <v>100</v>
      </c>
      <c r="X44" s="772"/>
      <c r="Y44" s="315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17"/>
      <c r="Q45" s="1813">
        <f t="shared" si="11"/>
        <v>111</v>
      </c>
      <c r="R45" s="774" t="s">
        <v>17</v>
      </c>
      <c r="S45" s="775">
        <f t="shared" si="12"/>
        <v>100</v>
      </c>
      <c r="T45" s="774" t="s">
        <v>17</v>
      </c>
      <c r="U45" s="775">
        <f t="shared" si="13"/>
        <v>100</v>
      </c>
      <c r="V45" s="774" t="s">
        <v>17</v>
      </c>
      <c r="W45" s="775">
        <f t="shared" si="14"/>
        <v>100</v>
      </c>
      <c r="X45" s="1816"/>
      <c r="Y45" s="3156"/>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8"/>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1814">
        <f t="shared" si="5"/>
        <v>1</v>
      </c>
    </row>
    <row r="47" spans="1:29" ht="15">
      <c r="A47" s="479" t="s">
        <v>2578</v>
      </c>
      <c r="B47" s="480"/>
      <c r="C47" s="1409" t="s">
        <v>1</v>
      </c>
      <c r="D47" s="1410"/>
      <c r="E47" s="1411"/>
      <c r="F47" s="1412"/>
      <c r="G47" s="1413"/>
      <c r="H47" s="1414"/>
      <c r="I47" s="1411"/>
      <c r="J47" s="1414"/>
      <c r="K47" s="783"/>
      <c r="L47" s="1145"/>
      <c r="M47" s="1146"/>
      <c r="N47" s="1133"/>
      <c r="O47" s="1146"/>
      <c r="P47" s="3151" t="str">
        <f>A47</f>
        <v>成交单价（元/平方米）</v>
      </c>
      <c r="Q47" s="3151"/>
      <c r="R47" s="3157">
        <f>E47</f>
        <v>0</v>
      </c>
      <c r="S47" s="3157"/>
      <c r="T47" s="3157">
        <f>G47</f>
        <v>0</v>
      </c>
      <c r="U47" s="3157"/>
      <c r="V47" s="3157">
        <f>I47</f>
        <v>0</v>
      </c>
      <c r="W47" s="3157"/>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5"/>
      <c r="M48" s="1146"/>
      <c r="N48" s="1133"/>
      <c r="O48" s="1146"/>
      <c r="P48" s="3151" t="str">
        <f>A48</f>
        <v>比较价值（元/平方米）</v>
      </c>
      <c r="Q48" s="3151"/>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5"/>
      <c r="M49" s="1146"/>
      <c r="N49" s="1133"/>
      <c r="O49" s="1146"/>
      <c r="P49" s="3145" t="str">
        <f>A49</f>
        <v>估价对象XX用房的比较价值（楼面单价，元/平方米）</v>
      </c>
      <c r="Q49" s="3146"/>
      <c r="R49" s="3214" t="e">
        <f>IF(F1="售价",ROUND(AVERAGE(R48:V48),0),ROUND(AVERAGE(R48:V48),1))</f>
        <v>#DIV/0!</v>
      </c>
      <c r="S49" s="3214"/>
      <c r="T49" s="3214"/>
      <c r="U49" s="3214"/>
      <c r="V49" s="3214"/>
      <c r="W49" s="3214"/>
      <c r="X49" s="759"/>
      <c r="Y49" s="759"/>
      <c r="Z49" s="759"/>
      <c r="AA49" s="759"/>
      <c r="AB49" s="759"/>
      <c r="AC49" s="759"/>
    </row>
    <row r="50" spans="1:29">
      <c r="A50" s="1146"/>
      <c r="B50" s="1146"/>
      <c r="C50" s="1146"/>
      <c r="D50" s="1146"/>
      <c r="E50" s="1146"/>
      <c r="F50" s="1146"/>
      <c r="G50" s="1149"/>
      <c r="H50" s="1146"/>
      <c r="I50" s="1146"/>
      <c r="J50" s="1146"/>
      <c r="K50" s="1108"/>
      <c r="L50" s="1109"/>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8"/>
      <c r="L51" s="1109"/>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8"/>
      <c r="L56" s="1109"/>
      <c r="M56" s="1146"/>
      <c r="N56" s="1146"/>
      <c r="O56" s="1146"/>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2549</v>
      </c>
      <c r="B58" s="506"/>
      <c r="C58" s="1577" t="str">
        <f>YEAR(C7)&amp;"-"&amp;MONTH(C7)</f>
        <v>2017-10</v>
      </c>
      <c r="D58" s="1578">
        <f>EDATE(C58,-1)</f>
        <v>42979</v>
      </c>
      <c r="E58" s="1578">
        <f t="shared" ref="E58:N58" si="16">EDATE(D58,-1)</f>
        <v>42948</v>
      </c>
      <c r="F58" s="1578">
        <f t="shared" si="16"/>
        <v>42917</v>
      </c>
      <c r="G58" s="1578">
        <f t="shared" si="16"/>
        <v>42887</v>
      </c>
      <c r="H58" s="1578">
        <f t="shared" si="16"/>
        <v>42856</v>
      </c>
      <c r="I58" s="1578">
        <f t="shared" si="16"/>
        <v>42826</v>
      </c>
      <c r="J58" s="1578">
        <f t="shared" si="16"/>
        <v>42795</v>
      </c>
      <c r="K58" s="1578">
        <f t="shared" si="16"/>
        <v>42767</v>
      </c>
      <c r="L58" s="1578">
        <f t="shared" si="16"/>
        <v>42736</v>
      </c>
      <c r="M58" s="1578">
        <f t="shared" si="16"/>
        <v>42705</v>
      </c>
      <c r="N58" s="1578">
        <f t="shared" si="16"/>
        <v>42675</v>
      </c>
      <c r="O58" s="1578">
        <f>EDATE(N58,-1)</f>
        <v>42644</v>
      </c>
      <c r="P58" s="1573"/>
    </row>
    <row r="59" spans="1:29" s="116" customFormat="1" ht="15">
      <c r="A59" s="509"/>
      <c r="B59" s="510"/>
      <c r="C59" s="1576">
        <v>100</v>
      </c>
      <c r="D59" s="512"/>
      <c r="E59" s="512"/>
      <c r="F59" s="512"/>
      <c r="G59" s="512"/>
      <c r="H59" s="512"/>
      <c r="I59" s="512"/>
      <c r="J59" s="512"/>
      <c r="K59" s="512"/>
      <c r="L59" s="512"/>
      <c r="M59" s="513"/>
      <c r="N59" s="512"/>
      <c r="O59" s="513"/>
      <c r="P59" s="2629"/>
    </row>
    <row r="60" spans="1:29" s="116" customFormat="1" ht="15.75" thickBot="1">
      <c r="A60" s="515" t="s">
        <v>2586</v>
      </c>
      <c r="B60" s="516"/>
      <c r="C60" s="517"/>
      <c r="D60" s="518"/>
      <c r="E60" s="518"/>
      <c r="F60" s="518"/>
      <c r="G60" s="518"/>
      <c r="H60" s="518"/>
      <c r="I60" s="518"/>
      <c r="J60" s="518"/>
      <c r="K60" s="518"/>
      <c r="L60" s="518"/>
      <c r="M60" s="519"/>
      <c r="N60" s="518"/>
      <c r="O60" s="519"/>
      <c r="P60" s="2629"/>
      <c r="Q60" s="504"/>
    </row>
    <row r="61" spans="1:29" s="116" customFormat="1" ht="15">
      <c r="A61" s="521" t="s">
        <v>2551</v>
      </c>
      <c r="B61" s="510"/>
      <c r="C61" s="522" t="s">
        <v>2653</v>
      </c>
      <c r="D61" s="523"/>
      <c r="E61" s="523"/>
      <c r="F61" s="523"/>
      <c r="G61" s="523"/>
      <c r="H61" s="523"/>
      <c r="I61" s="523"/>
      <c r="J61" s="523"/>
      <c r="K61" s="523"/>
      <c r="L61" s="524"/>
      <c r="M61" s="525"/>
      <c r="N61" s="1153"/>
      <c r="O61" s="1153"/>
      <c r="P61" s="2630"/>
      <c r="Q61" s="504"/>
    </row>
    <row r="62" spans="1:29" s="116"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2589</v>
      </c>
      <c r="B63" s="528" t="s">
        <v>2555</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6" customFormat="1" ht="15.75" thickTop="1">
      <c r="A86" s="579"/>
      <c r="B86" s="538" t="s">
        <v>2681</v>
      </c>
      <c r="C86" s="554"/>
      <c r="D86" s="554"/>
      <c r="E86" s="554"/>
      <c r="F86" s="554"/>
      <c r="G86" s="554"/>
      <c r="H86" s="554"/>
      <c r="I86" s="554"/>
      <c r="J86" s="554"/>
      <c r="K86" s="554"/>
      <c r="L86" s="580"/>
      <c r="M86" s="581"/>
      <c r="N86" s="1153"/>
      <c r="O86" s="1153"/>
      <c r="P86" s="2631"/>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6"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6"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2564</v>
      </c>
      <c r="B100" s="528" t="s">
        <v>2682</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2615</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2617</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2619</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2683</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2684</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2685</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2686</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2621</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0" t="s">
        <v>2687</v>
      </c>
      <c r="C1" s="1623" t="s">
        <v>2531</v>
      </c>
      <c r="D1" s="1624"/>
      <c r="E1" s="1633"/>
      <c r="F1" s="2585"/>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0" t="e">
        <f ca="1">IF(C2="——",ROUND(C50*D3/10000,0),ROUND(C50*D3/10000,0)-D2)</f>
        <v>#DIV/0!</v>
      </c>
      <c r="C2" s="2587"/>
      <c r="D2" s="1367" t="e">
        <f ca="1">SUMIF(INDIRECT("'"&amp;F2&amp;"'"&amp;"!A:A"),"承租人权益价值",INDIRECT("'"&amp;F2&amp;"'"&amp;"!c:c"))</f>
        <v>#REF!</v>
      </c>
      <c r="E2" s="2588" t="s">
        <v>2332</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210072.84</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2646</v>
      </c>
      <c r="B4" s="402"/>
      <c r="C4" s="3148" t="s">
        <v>2647</v>
      </c>
      <c r="D4" s="3161"/>
      <c r="E4" s="3162" t="s">
        <v>2648</v>
      </c>
      <c r="F4" s="3163"/>
      <c r="G4" s="3148" t="s">
        <v>2649</v>
      </c>
      <c r="H4" s="3161"/>
      <c r="I4" s="3148" t="s">
        <v>2650</v>
      </c>
      <c r="J4" s="3161"/>
      <c r="K4" s="610" t="s">
        <v>2651</v>
      </c>
      <c r="L4" s="1132"/>
      <c r="M4" s="1133"/>
      <c r="N4" s="1133"/>
      <c r="O4" s="1133"/>
      <c r="P4" s="3232" t="s">
        <v>2652</v>
      </c>
      <c r="Q4" s="3233"/>
      <c r="R4" s="3236" t="s">
        <v>2648</v>
      </c>
      <c r="S4" s="3237"/>
      <c r="T4" s="3236" t="s">
        <v>2649</v>
      </c>
      <c r="U4" s="3237"/>
      <c r="V4" s="3238" t="s">
        <v>2650</v>
      </c>
      <c r="W4" s="3238"/>
      <c r="X4" s="2671"/>
      <c r="Y4" s="3236" t="s">
        <v>2652</v>
      </c>
      <c r="Z4" s="3237"/>
      <c r="AA4" s="3240" t="s">
        <v>2648</v>
      </c>
      <c r="AB4" s="3240" t="s">
        <v>2649</v>
      </c>
      <c r="AC4" s="3229" t="s">
        <v>2650</v>
      </c>
    </row>
    <row r="5" spans="1:29" ht="15">
      <c r="A5" s="404"/>
      <c r="B5" s="405"/>
      <c r="C5" s="3222" t="s">
        <v>2543</v>
      </c>
      <c r="D5" s="3179"/>
      <c r="E5" s="3225" t="s">
        <v>2544</v>
      </c>
      <c r="F5" s="3186"/>
      <c r="G5" s="3222" t="s">
        <v>2545</v>
      </c>
      <c r="H5" s="3179"/>
      <c r="I5" s="3222" t="s">
        <v>2546</v>
      </c>
      <c r="J5" s="3179"/>
      <c r="K5" s="610"/>
      <c r="L5" s="1132"/>
      <c r="M5" s="1133"/>
      <c r="N5" s="1133"/>
      <c r="O5" s="1133"/>
      <c r="P5" s="3234"/>
      <c r="Q5" s="3167"/>
      <c r="R5" s="3172"/>
      <c r="S5" s="3173"/>
      <c r="T5" s="3172"/>
      <c r="U5" s="3173"/>
      <c r="V5" s="3157"/>
      <c r="W5" s="3157"/>
      <c r="X5" s="1816"/>
      <c r="Y5" s="3172"/>
      <c r="Z5" s="3173"/>
      <c r="AA5" s="3159"/>
      <c r="AB5" s="3159"/>
      <c r="AC5" s="3230"/>
    </row>
    <row r="6" spans="1:29" ht="15.75" thickBot="1">
      <c r="A6" s="406"/>
      <c r="B6" s="407"/>
      <c r="C6" s="3223" t="s">
        <v>2547</v>
      </c>
      <c r="D6" s="3177"/>
      <c r="E6" s="3224" t="s">
        <v>2547</v>
      </c>
      <c r="F6" s="3184"/>
      <c r="G6" s="3223" t="s">
        <v>2547</v>
      </c>
      <c r="H6" s="3177"/>
      <c r="I6" s="3223" t="s">
        <v>2547</v>
      </c>
      <c r="J6" s="3177"/>
      <c r="K6" s="610" t="s">
        <v>2548</v>
      </c>
      <c r="L6" s="1132"/>
      <c r="M6" s="1133"/>
      <c r="N6" s="1133"/>
      <c r="O6" s="1133"/>
      <c r="P6" s="3235"/>
      <c r="Q6" s="3169"/>
      <c r="R6" s="3172"/>
      <c r="S6" s="3173"/>
      <c r="T6" s="3174"/>
      <c r="U6" s="3175"/>
      <c r="V6" s="3157"/>
      <c r="W6" s="3157"/>
      <c r="X6" s="1816"/>
      <c r="Y6" s="3174"/>
      <c r="Z6" s="3175"/>
      <c r="AA6" s="3160"/>
      <c r="AB6" s="3160"/>
      <c r="AC6" s="3231"/>
    </row>
    <row r="7" spans="1:29" s="116" customFormat="1" ht="15.75" thickBot="1">
      <c r="A7" s="408" t="s">
        <v>2549</v>
      </c>
      <c r="B7" s="409"/>
      <c r="C7" s="410">
        <f>'数据-取费表'!B2</f>
        <v>43025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9" t="s">
        <v>2550</v>
      </c>
      <c r="Q7" s="3182"/>
      <c r="R7" s="770" t="s">
        <v>17</v>
      </c>
      <c r="S7" s="771">
        <f t="shared" ref="S7:S15" si="0">F7</f>
        <v>0</v>
      </c>
      <c r="T7" s="770" t="s">
        <v>17</v>
      </c>
      <c r="U7" s="771">
        <f t="shared" ref="U7:U15" si="1">H7</f>
        <v>0</v>
      </c>
      <c r="V7" s="770" t="s">
        <v>17</v>
      </c>
      <c r="W7" s="771">
        <f t="shared" ref="W7:W15" si="2">J7</f>
        <v>0</v>
      </c>
      <c r="X7" s="772"/>
      <c r="Y7" s="3180" t="s">
        <v>2550</v>
      </c>
      <c r="Z7" s="3181"/>
      <c r="AA7" s="773" t="e">
        <f>D7/F7</f>
        <v>#DIV/0!</v>
      </c>
      <c r="AB7" s="773" t="e">
        <f>D7/H7</f>
        <v>#DIV/0!</v>
      </c>
      <c r="AC7" s="2672"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9" t="s">
        <v>2553</v>
      </c>
      <c r="Q8" s="3181"/>
      <c r="R8" s="770" t="s">
        <v>17</v>
      </c>
      <c r="S8" s="771">
        <f t="shared" si="0"/>
        <v>0</v>
      </c>
      <c r="T8" s="770" t="s">
        <v>17</v>
      </c>
      <c r="U8" s="771">
        <f t="shared" si="1"/>
        <v>0</v>
      </c>
      <c r="V8" s="770" t="s">
        <v>17</v>
      </c>
      <c r="W8" s="771">
        <f t="shared" si="2"/>
        <v>0</v>
      </c>
      <c r="X8" s="772"/>
      <c r="Y8" s="3180" t="s">
        <v>2553</v>
      </c>
      <c r="Z8" s="3181"/>
      <c r="AA8" s="773" t="e">
        <f t="shared" ref="AA8:AA47" si="3">D8/F8</f>
        <v>#DIV/0!</v>
      </c>
      <c r="AB8" s="773" t="e">
        <f t="shared" ref="AB8:AB47" si="4">D8/H8</f>
        <v>#DIV/0!</v>
      </c>
      <c r="AC8" s="2672"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4"/>
      <c r="M9" s="1135"/>
      <c r="N9" s="1135"/>
      <c r="O9" s="1135"/>
      <c r="P9" s="3150" t="s">
        <v>2556</v>
      </c>
      <c r="Q9" s="1798" t="str">
        <f t="shared" ref="Q9:Q15" si="6">B9</f>
        <v>用途</v>
      </c>
      <c r="R9" s="770" t="s">
        <v>17</v>
      </c>
      <c r="S9" s="771">
        <f t="shared" si="0"/>
        <v>100</v>
      </c>
      <c r="T9" s="770" t="s">
        <v>17</v>
      </c>
      <c r="U9" s="771">
        <f t="shared" si="1"/>
        <v>100</v>
      </c>
      <c r="V9" s="770" t="s">
        <v>17</v>
      </c>
      <c r="W9" s="771">
        <f t="shared" si="2"/>
        <v>100</v>
      </c>
      <c r="X9" s="772"/>
      <c r="Y9" s="2999" t="s">
        <v>2557</v>
      </c>
      <c r="Z9" s="55" t="str">
        <f t="shared" ref="Z9:Z15" si="7">Q9</f>
        <v>用途</v>
      </c>
      <c r="AA9" s="773">
        <f t="shared" si="3"/>
        <v>1</v>
      </c>
      <c r="AB9" s="773">
        <f t="shared" si="4"/>
        <v>1</v>
      </c>
      <c r="AC9" s="2672">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7"/>
      <c r="M10" s="1138"/>
      <c r="N10" s="1138"/>
      <c r="O10" s="1138"/>
      <c r="P10" s="3150"/>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2">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40"/>
      <c r="M11" s="1133"/>
      <c r="N11" s="1133"/>
      <c r="O11" s="1133"/>
      <c r="P11" s="3150"/>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2" t="e">
        <f t="shared" si="5"/>
        <v>#N/A</v>
      </c>
    </row>
    <row r="12" spans="1:29" s="116" customFormat="1" ht="15">
      <c r="A12" s="431"/>
      <c r="B12" s="2601">
        <v>111</v>
      </c>
      <c r="C12" s="432"/>
      <c r="D12" s="433">
        <v>100</v>
      </c>
      <c r="E12" s="432"/>
      <c r="F12" s="135">
        <f>SUMIF(71:71,E12,72:72)-SUMIF(71:71,C12,72:72)+100</f>
        <v>100</v>
      </c>
      <c r="G12" s="2673"/>
      <c r="H12" s="135">
        <f>SUMIF(71:71,G12,72:72)-SUMIF(71:71,C12,72:72)+100</f>
        <v>100</v>
      </c>
      <c r="I12" s="432"/>
      <c r="J12" s="135">
        <f>SUMIF(71:71,I12,72:72)-SUMIF(71:71,C12,72:72)+100</f>
        <v>100</v>
      </c>
      <c r="K12" s="613"/>
      <c r="L12" s="1134"/>
      <c r="M12" s="1135"/>
      <c r="N12" s="1135"/>
      <c r="O12" s="1135"/>
      <c r="P12" s="3150"/>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2">
        <f>D12/J12</f>
        <v>1</v>
      </c>
    </row>
    <row r="13" spans="1:29" ht="15">
      <c r="A13" s="428"/>
      <c r="B13" s="2601">
        <v>111</v>
      </c>
      <c r="C13" s="434"/>
      <c r="D13" s="435">
        <v>100</v>
      </c>
      <c r="E13" s="432"/>
      <c r="F13" s="135">
        <f>SUMIF(73:73,E13,74:74)-SUMIF(73:73,C13,74:74)+100</f>
        <v>100</v>
      </c>
      <c r="G13" s="2673"/>
      <c r="H13" s="435">
        <f>SUMIF(73:73,G13,74:74)-SUMIF(73:73,C13,74:74)+100</f>
        <v>100</v>
      </c>
      <c r="I13" s="432"/>
      <c r="J13" s="435">
        <f>SUMIF(73:73,I13,74:74)-SUMIF(73:73,C13,74:74)+100</f>
        <v>100</v>
      </c>
      <c r="K13" s="613"/>
      <c r="L13" s="1142"/>
      <c r="M13" s="1133"/>
      <c r="N13" s="1133"/>
      <c r="O13" s="1133"/>
      <c r="P13" s="3150"/>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50"/>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0" t="s">
        <v>2561</v>
      </c>
      <c r="Q15" s="1813" t="str">
        <f t="shared" si="6"/>
        <v>办公集聚程度</v>
      </c>
      <c r="R15" s="774" t="s">
        <v>17</v>
      </c>
      <c r="S15" s="775">
        <f t="shared" si="0"/>
        <v>100</v>
      </c>
      <c r="T15" s="774" t="s">
        <v>17</v>
      </c>
      <c r="U15" s="775">
        <f t="shared" si="1"/>
        <v>100</v>
      </c>
      <c r="V15" s="774" t="s">
        <v>17</v>
      </c>
      <c r="W15" s="775">
        <f t="shared" si="2"/>
        <v>100</v>
      </c>
      <c r="X15" s="1816"/>
      <c r="Y15" s="3153" t="s">
        <v>2561</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2"/>
      <c r="M16" s="1133"/>
      <c r="N16" s="1133"/>
      <c r="O16" s="1133"/>
      <c r="P16" s="3221"/>
      <c r="Q16" s="1813"/>
      <c r="R16" s="774"/>
      <c r="S16" s="775"/>
      <c r="T16" s="774"/>
      <c r="U16" s="775"/>
      <c r="V16" s="774"/>
      <c r="W16" s="775"/>
      <c r="X16" s="1816"/>
      <c r="Y16" s="3154"/>
      <c r="Z16" s="1817"/>
      <c r="AA16" s="1814">
        <v>1</v>
      </c>
      <c r="AB16" s="1814">
        <v>1</v>
      </c>
      <c r="AC16" s="2675">
        <v>1</v>
      </c>
    </row>
    <row r="17" spans="1:29" ht="71.25">
      <c r="A17" s="428"/>
      <c r="B17" s="631" t="s">
        <v>2099</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1"/>
      <c r="Q17" s="1813" t="str">
        <f>B17</f>
        <v>交通便捷度</v>
      </c>
      <c r="R17" s="774" t="s">
        <v>17</v>
      </c>
      <c r="S17" s="775">
        <f>F17</f>
        <v>100</v>
      </c>
      <c r="T17" s="774" t="s">
        <v>17</v>
      </c>
      <c r="U17" s="775">
        <f>H17</f>
        <v>100</v>
      </c>
      <c r="V17" s="774" t="s">
        <v>17</v>
      </c>
      <c r="W17" s="775">
        <f>J17</f>
        <v>100</v>
      </c>
      <c r="X17" s="1816"/>
      <c r="Y17" s="3154"/>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2"/>
      <c r="M18" s="1133"/>
      <c r="N18" s="1133"/>
      <c r="O18" s="1133"/>
      <c r="P18" s="3221"/>
      <c r="Q18" s="1813"/>
      <c r="R18" s="774"/>
      <c r="S18" s="775"/>
      <c r="T18" s="774"/>
      <c r="U18" s="775"/>
      <c r="V18" s="774"/>
      <c r="W18" s="775"/>
      <c r="X18" s="1816"/>
      <c r="Y18" s="3154"/>
      <c r="Z18" s="1817"/>
      <c r="AA18" s="1814">
        <v>1</v>
      </c>
      <c r="AB18" s="1814">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1"/>
      <c r="Q19" s="1813" t="str">
        <f>B19</f>
        <v>公共配套设施</v>
      </c>
      <c r="R19" s="774" t="s">
        <v>17</v>
      </c>
      <c r="S19" s="775">
        <f>F19</f>
        <v>100</v>
      </c>
      <c r="T19" s="774" t="s">
        <v>17</v>
      </c>
      <c r="U19" s="775">
        <f>H19</f>
        <v>100</v>
      </c>
      <c r="V19" s="774" t="s">
        <v>17</v>
      </c>
      <c r="W19" s="775">
        <f>J19</f>
        <v>100</v>
      </c>
      <c r="X19" s="1816"/>
      <c r="Y19" s="3154"/>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2"/>
      <c r="M20" s="1133"/>
      <c r="N20" s="1133"/>
      <c r="O20" s="1133"/>
      <c r="P20" s="3221"/>
      <c r="Q20" s="1813"/>
      <c r="R20" s="774"/>
      <c r="S20" s="775"/>
      <c r="T20" s="774"/>
      <c r="U20" s="775"/>
      <c r="V20" s="774"/>
      <c r="W20" s="775"/>
      <c r="X20" s="1816"/>
      <c r="Y20" s="3154"/>
      <c r="Z20" s="1817"/>
      <c r="AA20" s="1814">
        <v>1</v>
      </c>
      <c r="AB20" s="1814">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1"/>
      <c r="Q21" s="1813" t="str">
        <f>B21</f>
        <v>基础设施水平</v>
      </c>
      <c r="R21" s="774" t="s">
        <v>17</v>
      </c>
      <c r="S21" s="775">
        <f>F21</f>
        <v>100</v>
      </c>
      <c r="T21" s="774" t="s">
        <v>17</v>
      </c>
      <c r="U21" s="775">
        <f>H21</f>
        <v>100</v>
      </c>
      <c r="V21" s="774" t="s">
        <v>17</v>
      </c>
      <c r="W21" s="775">
        <f>J21</f>
        <v>100</v>
      </c>
      <c r="X21" s="1816"/>
      <c r="Y21" s="3154"/>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221"/>
      <c r="Q22" s="1813"/>
      <c r="R22" s="774"/>
      <c r="S22" s="775"/>
      <c r="T22" s="774"/>
      <c r="U22" s="775"/>
      <c r="V22" s="774"/>
      <c r="W22" s="775"/>
      <c r="X22" s="1816"/>
      <c r="Y22" s="3154"/>
      <c r="Z22" s="1817"/>
      <c r="AA22" s="1814">
        <v>1</v>
      </c>
      <c r="AB22" s="1814">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1"/>
      <c r="Q23" s="1813" t="str">
        <f>B23</f>
        <v>环境质量</v>
      </c>
      <c r="R23" s="774" t="s">
        <v>17</v>
      </c>
      <c r="S23" s="775">
        <f>F23</f>
        <v>100</v>
      </c>
      <c r="T23" s="774" t="s">
        <v>17</v>
      </c>
      <c r="U23" s="775">
        <f>H23</f>
        <v>100</v>
      </c>
      <c r="V23" s="774" t="s">
        <v>17</v>
      </c>
      <c r="W23" s="775">
        <f>J23</f>
        <v>100</v>
      </c>
      <c r="X23" s="1816"/>
      <c r="Y23" s="3154"/>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2"/>
      <c r="M24" s="1133"/>
      <c r="N24" s="1133"/>
      <c r="O24" s="1133"/>
      <c r="P24" s="3221"/>
      <c r="Q24" s="1813"/>
      <c r="R24" s="774"/>
      <c r="S24" s="775"/>
      <c r="T24" s="774"/>
      <c r="U24" s="775"/>
      <c r="V24" s="774"/>
      <c r="W24" s="775"/>
      <c r="X24" s="1816"/>
      <c r="Y24" s="3154"/>
      <c r="Z24" s="1817"/>
      <c r="AA24" s="1814">
        <v>1</v>
      </c>
      <c r="AB24" s="1814">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221"/>
      <c r="Q25" s="1813" t="str">
        <f>B25</f>
        <v>毗邻道路的类型与等级</v>
      </c>
      <c r="R25" s="774" t="s">
        <v>17</v>
      </c>
      <c r="S25" s="775">
        <f>F25</f>
        <v>100</v>
      </c>
      <c r="T25" s="774" t="s">
        <v>17</v>
      </c>
      <c r="U25" s="775">
        <f>H25</f>
        <v>100</v>
      </c>
      <c r="V25" s="774" t="s">
        <v>17</v>
      </c>
      <c r="W25" s="775">
        <f>J25</f>
        <v>100</v>
      </c>
      <c r="X25" s="1816"/>
      <c r="Y25" s="3154"/>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2"/>
      <c r="M26" s="1133"/>
      <c r="N26" s="1133"/>
      <c r="O26" s="1133"/>
      <c r="P26" s="3221"/>
      <c r="Q26" s="1813"/>
      <c r="R26" s="774"/>
      <c r="S26" s="775"/>
      <c r="T26" s="774"/>
      <c r="U26" s="775"/>
      <c r="V26" s="774"/>
      <c r="W26" s="775"/>
      <c r="X26" s="1816"/>
      <c r="Y26" s="3154"/>
      <c r="Z26" s="1817"/>
      <c r="AA26" s="1814">
        <v>1</v>
      </c>
      <c r="AB26" s="1814">
        <v>1</v>
      </c>
      <c r="AC26" s="2675">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21"/>
      <c r="Q27" s="1813" t="str">
        <f t="shared" ref="Q27:Q47" si="11">B27</f>
        <v>楼层</v>
      </c>
      <c r="R27" s="774" t="s">
        <v>17</v>
      </c>
      <c r="S27" s="775">
        <f>F27</f>
        <v>100</v>
      </c>
      <c r="T27" s="774" t="s">
        <v>17</v>
      </c>
      <c r="U27" s="775">
        <f>H27</f>
        <v>100</v>
      </c>
      <c r="V27" s="774" t="s">
        <v>17</v>
      </c>
      <c r="W27" s="775">
        <f>J27</f>
        <v>100</v>
      </c>
      <c r="X27" s="1816"/>
      <c r="Y27" s="3154"/>
      <c r="Z27" s="1817" t="str">
        <f>Q27</f>
        <v>楼层</v>
      </c>
      <c r="AA27" s="1814">
        <f t="shared" si="3"/>
        <v>1</v>
      </c>
      <c r="AB27" s="1814">
        <f t="shared" si="4"/>
        <v>1</v>
      </c>
      <c r="AC27" s="2675">
        <f t="shared" si="5"/>
        <v>1</v>
      </c>
    </row>
    <row r="28" spans="1:29" s="116" customFormat="1" ht="15">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21"/>
      <c r="Q28" s="1798" t="str">
        <f t="shared" si="11"/>
        <v>朝向</v>
      </c>
      <c r="R28" s="770" t="s">
        <v>17</v>
      </c>
      <c r="S28" s="771">
        <f>F28</f>
        <v>100</v>
      </c>
      <c r="T28" s="770" t="s">
        <v>17</v>
      </c>
      <c r="U28" s="771">
        <f>H28</f>
        <v>100</v>
      </c>
      <c r="V28" s="770" t="s">
        <v>17</v>
      </c>
      <c r="W28" s="771">
        <f>J28</f>
        <v>100</v>
      </c>
      <c r="X28" s="772"/>
      <c r="Y28" s="3154"/>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21"/>
      <c r="Q29" s="1813">
        <f t="shared" si="11"/>
        <v>111</v>
      </c>
      <c r="R29" s="774" t="s">
        <v>17</v>
      </c>
      <c r="S29" s="775">
        <f t="shared" ref="S29:S47" si="12">F29</f>
        <v>100</v>
      </c>
      <c r="T29" s="774" t="s">
        <v>17</v>
      </c>
      <c r="U29" s="775">
        <f t="shared" ref="U29:U47" si="13">H29</f>
        <v>100</v>
      </c>
      <c r="V29" s="774" t="s">
        <v>17</v>
      </c>
      <c r="W29" s="775">
        <f t="shared" ref="W29:W47" si="14">J29</f>
        <v>100</v>
      </c>
      <c r="X29" s="1816"/>
      <c r="Y29" s="3154"/>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21"/>
      <c r="Q30" s="1813">
        <f t="shared" si="11"/>
        <v>111</v>
      </c>
      <c r="R30" s="774" t="s">
        <v>17</v>
      </c>
      <c r="S30" s="775">
        <f t="shared" si="12"/>
        <v>100</v>
      </c>
      <c r="T30" s="774" t="s">
        <v>17</v>
      </c>
      <c r="U30" s="775">
        <f t="shared" si="13"/>
        <v>100</v>
      </c>
      <c r="V30" s="774" t="s">
        <v>17</v>
      </c>
      <c r="W30" s="775">
        <f t="shared" si="14"/>
        <v>100</v>
      </c>
      <c r="X30" s="1816"/>
      <c r="Y30" s="3154"/>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21"/>
      <c r="Q31" s="1813">
        <f t="shared" si="11"/>
        <v>111</v>
      </c>
      <c r="R31" s="774" t="s">
        <v>17</v>
      </c>
      <c r="S31" s="775">
        <f t="shared" si="12"/>
        <v>100</v>
      </c>
      <c r="T31" s="774" t="s">
        <v>17</v>
      </c>
      <c r="U31" s="775">
        <f t="shared" si="13"/>
        <v>100</v>
      </c>
      <c r="V31" s="774" t="s">
        <v>17</v>
      </c>
      <c r="W31" s="775">
        <f t="shared" si="14"/>
        <v>100</v>
      </c>
      <c r="X31" s="1816"/>
      <c r="Y31" s="3154"/>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21"/>
      <c r="Q32" s="1813">
        <f t="shared" si="11"/>
        <v>111</v>
      </c>
      <c r="R32" s="774" t="s">
        <v>17</v>
      </c>
      <c r="S32" s="775">
        <f t="shared" si="12"/>
        <v>100</v>
      </c>
      <c r="T32" s="774" t="s">
        <v>17</v>
      </c>
      <c r="U32" s="775">
        <f t="shared" si="13"/>
        <v>100</v>
      </c>
      <c r="V32" s="774" t="s">
        <v>17</v>
      </c>
      <c r="W32" s="775">
        <f t="shared" si="14"/>
        <v>100</v>
      </c>
      <c r="X32" s="1816"/>
      <c r="Y32" s="3154"/>
      <c r="Z32" s="1817">
        <f t="shared" si="15"/>
        <v>111</v>
      </c>
      <c r="AA32" s="1814">
        <f t="shared" si="3"/>
        <v>1</v>
      </c>
      <c r="AB32" s="1814">
        <f t="shared" si="4"/>
        <v>1</v>
      </c>
      <c r="AC32" s="2675">
        <f t="shared" si="5"/>
        <v>1</v>
      </c>
    </row>
    <row r="33" spans="1:29" ht="15">
      <c r="A33" s="440" t="s">
        <v>2564</v>
      </c>
      <c r="B33" s="70"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216" t="s">
        <v>2566</v>
      </c>
      <c r="Q33" s="1813" t="str">
        <f t="shared" si="11"/>
        <v>建筑类型</v>
      </c>
      <c r="R33" s="774" t="s">
        <v>17</v>
      </c>
      <c r="S33" s="775">
        <f t="shared" si="12"/>
        <v>100</v>
      </c>
      <c r="T33" s="774" t="s">
        <v>17</v>
      </c>
      <c r="U33" s="775">
        <f t="shared" si="13"/>
        <v>100</v>
      </c>
      <c r="V33" s="774" t="s">
        <v>17</v>
      </c>
      <c r="W33" s="775">
        <f t="shared" si="14"/>
        <v>100</v>
      </c>
      <c r="X33" s="1816"/>
      <c r="Y33" s="3156" t="s">
        <v>2566</v>
      </c>
      <c r="Z33" s="1817" t="str">
        <f t="shared" si="15"/>
        <v>建筑类型</v>
      </c>
      <c r="AA33" s="1814">
        <f t="shared" si="3"/>
        <v>1</v>
      </c>
      <c r="AB33" s="1814">
        <f t="shared" si="4"/>
        <v>1</v>
      </c>
      <c r="AC33" s="2675">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40"/>
      <c r="M34" s="1143"/>
      <c r="N34" s="1143"/>
      <c r="O34" s="1143"/>
      <c r="P34" s="3217"/>
      <c r="Q34" s="776" t="str">
        <f t="shared" si="11"/>
        <v>项目建筑规模</v>
      </c>
      <c r="R34" s="777" t="s">
        <v>17</v>
      </c>
      <c r="S34" s="778" t="e">
        <f t="shared" si="12"/>
        <v>#N/A</v>
      </c>
      <c r="T34" s="777" t="s">
        <v>17</v>
      </c>
      <c r="U34" s="778" t="e">
        <f t="shared" si="13"/>
        <v>#N/A</v>
      </c>
      <c r="V34" s="777" t="s">
        <v>17</v>
      </c>
      <c r="W34" s="778" t="e">
        <f t="shared" si="14"/>
        <v>#N/A</v>
      </c>
      <c r="X34" s="779"/>
      <c r="Y34" s="3156"/>
      <c r="Z34" s="780" t="str">
        <f t="shared" si="15"/>
        <v>项目建筑规模</v>
      </c>
      <c r="AA34" s="1814" t="e">
        <f t="shared" si="3"/>
        <v>#N/A</v>
      </c>
      <c r="AB34" s="1814" t="e">
        <f t="shared" si="4"/>
        <v>#N/A</v>
      </c>
      <c r="AC34" s="2675"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17"/>
      <c r="Q35" s="1813" t="str">
        <f t="shared" si="11"/>
        <v>建筑结构</v>
      </c>
      <c r="R35" s="774" t="s">
        <v>17</v>
      </c>
      <c r="S35" s="775">
        <f t="shared" si="12"/>
        <v>100</v>
      </c>
      <c r="T35" s="774" t="s">
        <v>17</v>
      </c>
      <c r="U35" s="775">
        <f t="shared" si="13"/>
        <v>100</v>
      </c>
      <c r="V35" s="774" t="s">
        <v>17</v>
      </c>
      <c r="W35" s="775">
        <f t="shared" si="14"/>
        <v>100</v>
      </c>
      <c r="X35" s="1816"/>
      <c r="Y35" s="3156"/>
      <c r="Z35" s="1817" t="str">
        <f t="shared" si="15"/>
        <v>建筑结构</v>
      </c>
      <c r="AA35" s="1814">
        <f t="shared" si="3"/>
        <v>1</v>
      </c>
      <c r="AB35" s="1814">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17"/>
      <c r="Q36" s="1813" t="str">
        <f t="shared" si="11"/>
        <v>公共部分装修</v>
      </c>
      <c r="R36" s="774" t="s">
        <v>17</v>
      </c>
      <c r="S36" s="775">
        <f t="shared" si="12"/>
        <v>100</v>
      </c>
      <c r="T36" s="774" t="s">
        <v>17</v>
      </c>
      <c r="U36" s="775">
        <f t="shared" si="13"/>
        <v>100</v>
      </c>
      <c r="V36" s="774" t="s">
        <v>17</v>
      </c>
      <c r="W36" s="775">
        <f t="shared" si="14"/>
        <v>100</v>
      </c>
      <c r="X36" s="1816"/>
      <c r="Y36" s="3156"/>
      <c r="Z36" s="1817" t="str">
        <f t="shared" si="15"/>
        <v>公共部分装修</v>
      </c>
      <c r="AA36" s="1814">
        <f t="shared" si="3"/>
        <v>1</v>
      </c>
      <c r="AB36" s="1814">
        <f t="shared" si="4"/>
        <v>1</v>
      </c>
      <c r="AC36" s="2675">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17"/>
      <c r="Q37" s="1813" t="str">
        <f t="shared" si="11"/>
        <v>成新度</v>
      </c>
      <c r="R37" s="774" t="s">
        <v>17</v>
      </c>
      <c r="S37" s="775" t="e">
        <f t="shared" si="12"/>
        <v>#N/A</v>
      </c>
      <c r="T37" s="774" t="s">
        <v>17</v>
      </c>
      <c r="U37" s="775" t="e">
        <f t="shared" si="13"/>
        <v>#N/A</v>
      </c>
      <c r="V37" s="774" t="s">
        <v>17</v>
      </c>
      <c r="W37" s="775" t="e">
        <f t="shared" si="14"/>
        <v>#N/A</v>
      </c>
      <c r="X37" s="1816"/>
      <c r="Y37" s="3156"/>
      <c r="Z37" s="1817" t="str">
        <f t="shared" si="15"/>
        <v>成新度</v>
      </c>
      <c r="AA37" s="1814" t="e">
        <f t="shared" si="3"/>
        <v>#N/A</v>
      </c>
      <c r="AB37" s="1814" t="e">
        <f t="shared" si="4"/>
        <v>#N/A</v>
      </c>
      <c r="AC37" s="2675"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17"/>
      <c r="Q38" s="1798" t="str">
        <f t="shared" si="11"/>
        <v>写字楼等级</v>
      </c>
      <c r="R38" s="770" t="s">
        <v>17</v>
      </c>
      <c r="S38" s="771">
        <f t="shared" si="12"/>
        <v>100</v>
      </c>
      <c r="T38" s="770" t="s">
        <v>17</v>
      </c>
      <c r="U38" s="771">
        <f t="shared" si="13"/>
        <v>100</v>
      </c>
      <c r="V38" s="770" t="s">
        <v>17</v>
      </c>
      <c r="W38" s="771">
        <f t="shared" si="14"/>
        <v>100</v>
      </c>
      <c r="X38" s="772"/>
      <c r="Y38" s="3156"/>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17" t="s">
        <v>2566</v>
      </c>
      <c r="Q39" s="1813" t="str">
        <f t="shared" si="11"/>
        <v>物业管理</v>
      </c>
      <c r="R39" s="774" t="s">
        <v>17</v>
      </c>
      <c r="S39" s="775">
        <f t="shared" si="12"/>
        <v>100</v>
      </c>
      <c r="T39" s="774" t="s">
        <v>17</v>
      </c>
      <c r="U39" s="775">
        <f t="shared" si="13"/>
        <v>100</v>
      </c>
      <c r="V39" s="774" t="s">
        <v>17</v>
      </c>
      <c r="W39" s="775">
        <f t="shared" si="14"/>
        <v>100</v>
      </c>
      <c r="X39" s="1816"/>
      <c r="Y39" s="3156" t="s">
        <v>2566</v>
      </c>
      <c r="Z39" s="1817" t="str">
        <f t="shared" si="15"/>
        <v>物业管理</v>
      </c>
      <c r="AA39" s="1814">
        <f t="shared" si="3"/>
        <v>1</v>
      </c>
      <c r="AB39" s="1814">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17"/>
      <c r="Q40" s="1813" t="str">
        <f t="shared" si="11"/>
        <v>市政基础设施</v>
      </c>
      <c r="R40" s="774" t="s">
        <v>17</v>
      </c>
      <c r="S40" s="775">
        <f t="shared" si="12"/>
        <v>100</v>
      </c>
      <c r="T40" s="774" t="s">
        <v>17</v>
      </c>
      <c r="U40" s="775">
        <f t="shared" si="13"/>
        <v>100</v>
      </c>
      <c r="V40" s="774" t="s">
        <v>17</v>
      </c>
      <c r="W40" s="775">
        <f t="shared" si="14"/>
        <v>100</v>
      </c>
      <c r="X40" s="1816"/>
      <c r="Y40" s="3156"/>
      <c r="Z40" s="1817" t="str">
        <f t="shared" si="15"/>
        <v>市政基础设施</v>
      </c>
      <c r="AA40" s="1814">
        <f t="shared" si="3"/>
        <v>1</v>
      </c>
      <c r="AB40" s="1814">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17"/>
      <c r="Q41" s="1813" t="str">
        <f t="shared" si="11"/>
        <v>层高</v>
      </c>
      <c r="R41" s="774" t="s">
        <v>17</v>
      </c>
      <c r="S41" s="775">
        <f t="shared" si="12"/>
        <v>100</v>
      </c>
      <c r="T41" s="774" t="s">
        <v>17</v>
      </c>
      <c r="U41" s="775">
        <f t="shared" si="13"/>
        <v>100</v>
      </c>
      <c r="V41" s="774" t="s">
        <v>17</v>
      </c>
      <c r="W41" s="775">
        <f t="shared" si="14"/>
        <v>100</v>
      </c>
      <c r="X41" s="1816"/>
      <c r="Y41" s="3156"/>
      <c r="Z41" s="1817" t="str">
        <f t="shared" si="15"/>
        <v>层高</v>
      </c>
      <c r="AA41" s="1814">
        <f t="shared" si="3"/>
        <v>1</v>
      </c>
      <c r="AB41" s="1814">
        <f t="shared" si="4"/>
        <v>1</v>
      </c>
      <c r="AC41" s="2675">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17"/>
      <c r="Q42" s="776" t="str">
        <f t="shared" si="11"/>
        <v>单套建筑面积</v>
      </c>
      <c r="R42" s="777" t="s">
        <v>17</v>
      </c>
      <c r="S42" s="778">
        <f t="shared" si="12"/>
        <v>100</v>
      </c>
      <c r="T42" s="777" t="s">
        <v>17</v>
      </c>
      <c r="U42" s="778">
        <f t="shared" si="13"/>
        <v>100</v>
      </c>
      <c r="V42" s="777" t="s">
        <v>17</v>
      </c>
      <c r="W42" s="778">
        <f t="shared" si="14"/>
        <v>100</v>
      </c>
      <c r="X42" s="779"/>
      <c r="Y42" s="3156"/>
      <c r="Z42" s="780" t="str">
        <f t="shared" si="15"/>
        <v>单套建筑面积</v>
      </c>
      <c r="AA42" s="1814">
        <f t="shared" si="3"/>
        <v>1</v>
      </c>
      <c r="AB42" s="1814">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17"/>
      <c r="Q43" s="1813" t="str">
        <f t="shared" si="11"/>
        <v>内部装修</v>
      </c>
      <c r="R43" s="774" t="s">
        <v>17</v>
      </c>
      <c r="S43" s="775">
        <f t="shared" si="12"/>
        <v>100</v>
      </c>
      <c r="T43" s="774" t="s">
        <v>17</v>
      </c>
      <c r="U43" s="775">
        <f t="shared" si="13"/>
        <v>100</v>
      </c>
      <c r="V43" s="774" t="s">
        <v>17</v>
      </c>
      <c r="W43" s="775">
        <f t="shared" si="14"/>
        <v>100</v>
      </c>
      <c r="X43" s="1816"/>
      <c r="Y43" s="3156"/>
      <c r="Z43" s="1817" t="str">
        <f t="shared" si="15"/>
        <v>内部装修</v>
      </c>
      <c r="AA43" s="1814">
        <f t="shared" si="3"/>
        <v>1</v>
      </c>
      <c r="AB43" s="1814">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217"/>
      <c r="Q44" s="1813" t="str">
        <f t="shared" si="11"/>
        <v>内部装修维护情况</v>
      </c>
      <c r="R44" s="774" t="s">
        <v>17</v>
      </c>
      <c r="S44" s="775">
        <f t="shared" si="12"/>
        <v>100</v>
      </c>
      <c r="T44" s="774" t="s">
        <v>17</v>
      </c>
      <c r="U44" s="775">
        <f t="shared" si="13"/>
        <v>100</v>
      </c>
      <c r="V44" s="774" t="s">
        <v>17</v>
      </c>
      <c r="W44" s="775">
        <f t="shared" si="14"/>
        <v>100</v>
      </c>
      <c r="X44" s="1816"/>
      <c r="Y44" s="3156"/>
      <c r="Z44" s="1817" t="str">
        <f t="shared" si="15"/>
        <v>内部装修维护情况</v>
      </c>
      <c r="AA44" s="1814">
        <f t="shared" si="3"/>
        <v>1</v>
      </c>
      <c r="AB44" s="1814">
        <f t="shared" si="4"/>
        <v>1</v>
      </c>
      <c r="AC44" s="2675">
        <f t="shared" si="5"/>
        <v>1</v>
      </c>
    </row>
    <row r="45" spans="1:29" s="116" customFormat="1" ht="15">
      <c r="A45" s="473"/>
      <c r="B45" s="1388">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4"/>
      <c r="M45" s="1135"/>
      <c r="N45" s="1135"/>
      <c r="O45" s="1135"/>
      <c r="P45" s="3217"/>
      <c r="Q45" s="1798">
        <f t="shared" si="11"/>
        <v>111</v>
      </c>
      <c r="R45" s="770" t="s">
        <v>17</v>
      </c>
      <c r="S45" s="771">
        <f t="shared" si="12"/>
        <v>100</v>
      </c>
      <c r="T45" s="770" t="s">
        <v>17</v>
      </c>
      <c r="U45" s="771">
        <f t="shared" si="13"/>
        <v>100</v>
      </c>
      <c r="V45" s="770" t="s">
        <v>17</v>
      </c>
      <c r="W45" s="771">
        <f t="shared" si="14"/>
        <v>100</v>
      </c>
      <c r="X45" s="772"/>
      <c r="Y45" s="3156"/>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17"/>
      <c r="Q46" s="1813">
        <f t="shared" si="11"/>
        <v>111</v>
      </c>
      <c r="R46" s="774" t="s">
        <v>17</v>
      </c>
      <c r="S46" s="775">
        <f t="shared" si="12"/>
        <v>100</v>
      </c>
      <c r="T46" s="774" t="s">
        <v>17</v>
      </c>
      <c r="U46" s="775">
        <f t="shared" si="13"/>
        <v>100</v>
      </c>
      <c r="V46" s="774" t="s">
        <v>17</v>
      </c>
      <c r="W46" s="775">
        <f t="shared" si="14"/>
        <v>100</v>
      </c>
      <c r="X46" s="1816"/>
      <c r="Y46" s="3156"/>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8"/>
      <c r="Q47" s="1813">
        <f t="shared" si="11"/>
        <v>111</v>
      </c>
      <c r="R47" s="774" t="s">
        <v>17</v>
      </c>
      <c r="S47" s="775">
        <f t="shared" si="12"/>
        <v>100</v>
      </c>
      <c r="T47" s="774" t="s">
        <v>17</v>
      </c>
      <c r="U47" s="775">
        <f t="shared" si="13"/>
        <v>100</v>
      </c>
      <c r="V47" s="774" t="s">
        <v>17</v>
      </c>
      <c r="W47" s="775">
        <f t="shared" si="14"/>
        <v>100</v>
      </c>
      <c r="X47" s="1816"/>
      <c r="Y47" s="3219"/>
      <c r="Z47" s="1817">
        <f t="shared" si="15"/>
        <v>111</v>
      </c>
      <c r="AA47" s="1814">
        <f t="shared" si="3"/>
        <v>1</v>
      </c>
      <c r="AB47" s="1814">
        <f t="shared" si="4"/>
        <v>1</v>
      </c>
      <c r="AC47" s="2675">
        <f t="shared" si="5"/>
        <v>1</v>
      </c>
    </row>
    <row r="48" spans="1:29" ht="15">
      <c r="A48" s="479" t="s">
        <v>2578</v>
      </c>
      <c r="B48" s="480"/>
      <c r="C48" s="1409" t="s">
        <v>1</v>
      </c>
      <c r="D48" s="1410"/>
      <c r="E48" s="1411"/>
      <c r="F48" s="1412"/>
      <c r="G48" s="1413"/>
      <c r="H48" s="1414"/>
      <c r="I48" s="1411"/>
      <c r="J48" s="485"/>
      <c r="K48" s="783"/>
      <c r="L48" s="1145"/>
      <c r="M48" s="1133"/>
      <c r="N48" s="1133"/>
      <c r="O48" s="1133"/>
      <c r="P48" s="3150" t="str">
        <f>A48</f>
        <v>成交单价（元/平方米）</v>
      </c>
      <c r="Q48" s="3151"/>
      <c r="R48" s="3215">
        <f>E48</f>
        <v>0</v>
      </c>
      <c r="S48" s="3215"/>
      <c r="T48" s="3215">
        <f>G48</f>
        <v>0</v>
      </c>
      <c r="U48" s="3215"/>
      <c r="V48" s="3215">
        <f>I48</f>
        <v>0</v>
      </c>
      <c r="W48" s="3215"/>
      <c r="X48" s="446"/>
      <c r="Y48" s="781"/>
      <c r="Z48" s="446"/>
      <c r="AA48" s="446"/>
      <c r="AB48" s="446"/>
      <c r="AC48" s="630"/>
    </row>
    <row r="49" spans="1:29" ht="15.75" thickBot="1">
      <c r="A49" s="486" t="s">
        <v>2670</v>
      </c>
      <c r="B49" s="487"/>
      <c r="C49" s="1415" t="e">
        <f>R50</f>
        <v>#DIV/0!</v>
      </c>
      <c r="D49" s="1416"/>
      <c r="E49" s="1417" t="e">
        <f>R49</f>
        <v>#DIV/0!</v>
      </c>
      <c r="F49" s="1417"/>
      <c r="G49" s="1415" t="e">
        <f>T49</f>
        <v>#DIV/0!</v>
      </c>
      <c r="H49" s="1416"/>
      <c r="I49" s="1417" t="e">
        <f>V49</f>
        <v>#DIV/0!</v>
      </c>
      <c r="J49" s="489"/>
      <c r="K49" s="784"/>
      <c r="L49" s="1145"/>
      <c r="M49" s="1133"/>
      <c r="N49" s="1133"/>
      <c r="O49" s="1133"/>
      <c r="P49" s="3150" t="str">
        <f>A49</f>
        <v>比较价值（元/平方米）</v>
      </c>
      <c r="Q49" s="3151"/>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2671</v>
      </c>
      <c r="B50" s="493"/>
      <c r="C50" s="1419" t="e">
        <f>R50</f>
        <v>#DIV/0!</v>
      </c>
      <c r="D50" s="1419"/>
      <c r="E50" s="1419"/>
      <c r="F50" s="1419"/>
      <c r="G50" s="1419"/>
      <c r="H50" s="1419"/>
      <c r="I50" s="1419"/>
      <c r="J50" s="494"/>
      <c r="K50" s="785"/>
      <c r="L50" s="1145"/>
      <c r="M50" s="1133"/>
      <c r="N50" s="1133"/>
      <c r="O50" s="1133"/>
      <c r="P50" s="3226" t="str">
        <f>A50</f>
        <v>估价对象XX用房的比较价值（楼面单价，元/平方米）</v>
      </c>
      <c r="Q50" s="3227"/>
      <c r="R50" s="3228" t="e">
        <f>IF(F1="售价",ROUND(AVERAGE(R49:V49),0),ROUND(AVERAGE(R49:V49),1))</f>
        <v>#DIV/0!</v>
      </c>
      <c r="S50" s="3228"/>
      <c r="T50" s="3228"/>
      <c r="U50" s="3228"/>
      <c r="V50" s="3228"/>
      <c r="W50" s="3228"/>
      <c r="X50" s="2655"/>
      <c r="Y50" s="2655"/>
      <c r="Z50" s="2655"/>
      <c r="AA50" s="2655"/>
      <c r="AB50" s="2655"/>
      <c r="AC50" s="2656"/>
    </row>
    <row r="51" spans="1:29">
      <c r="A51" s="1146"/>
      <c r="B51" s="1146"/>
      <c r="C51" s="1146"/>
      <c r="D51" s="1146"/>
      <c r="E51" s="1146"/>
      <c r="F51" s="1146"/>
      <c r="G51" s="1149"/>
      <c r="H51" s="1146"/>
      <c r="I51" s="1146"/>
      <c r="J51" s="1146"/>
      <c r="K51" s="1108"/>
      <c r="L51" s="1109"/>
      <c r="M51" s="1146"/>
      <c r="N51" s="1146"/>
      <c r="O51" s="1146"/>
    </row>
    <row r="52" spans="1:29">
      <c r="A52" s="1146"/>
      <c r="B52" s="1146"/>
      <c r="C52" s="1146"/>
      <c r="D52" s="1146"/>
      <c r="E52" s="1146"/>
      <c r="F52" s="1146"/>
      <c r="G52" s="1146"/>
      <c r="H52" s="1146"/>
      <c r="I52" s="1146"/>
      <c r="J52" s="1146"/>
      <c r="K52" s="1108"/>
      <c r="L52" s="1109"/>
      <c r="M52" s="1146"/>
      <c r="N52" s="1146"/>
      <c r="O52" s="1146"/>
    </row>
    <row r="53" spans="1:29" ht="13.5" customHeight="1">
      <c r="A53" s="1146"/>
      <c r="B53" s="1146"/>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6"/>
      <c r="N53" s="1146"/>
      <c r="O53" s="1146"/>
    </row>
    <row r="54" spans="1:29" ht="13.5" customHeight="1">
      <c r="A54" s="1146"/>
      <c r="B54" s="1146"/>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6"/>
      <c r="N54" s="1146"/>
      <c r="O54" s="1146"/>
    </row>
    <row r="55" spans="1:29" s="502" customFormat="1" ht="13.5" customHeight="1">
      <c r="A55" s="1147"/>
      <c r="B55" s="1147"/>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8"/>
      <c r="L57" s="1109"/>
      <c r="M57" s="1146"/>
      <c r="N57" s="1146"/>
      <c r="O57" s="1146"/>
    </row>
    <row r="58" spans="1:29" ht="21.75" thickBot="1">
      <c r="A58" s="763" t="s">
        <v>2675</v>
      </c>
      <c r="B58" s="759"/>
      <c r="C58" s="764"/>
      <c r="D58" s="764"/>
      <c r="E58" s="764"/>
      <c r="F58" s="765"/>
      <c r="G58" s="765"/>
      <c r="H58" s="764"/>
      <c r="I58" s="764"/>
      <c r="J58" s="764"/>
      <c r="K58" s="766"/>
      <c r="L58" s="1163"/>
      <c r="M58" s="1161"/>
      <c r="N58" s="1161"/>
      <c r="O58" s="1161"/>
      <c r="P58" s="2682"/>
      <c r="Q58" s="504"/>
    </row>
    <row r="59" spans="1:29" s="508" customFormat="1" ht="15">
      <c r="A59" s="505" t="s">
        <v>2549</v>
      </c>
      <c r="B59" s="506"/>
      <c r="C59" s="1577" t="str">
        <f>YEAR(C7)&amp;"-"&amp;MONTH(C7)</f>
        <v>2017-10</v>
      </c>
      <c r="D59" s="1578">
        <f>EDATE(C59,-1)</f>
        <v>42979</v>
      </c>
      <c r="E59" s="1578">
        <f>EDATE(D59,-1)</f>
        <v>42948</v>
      </c>
      <c r="F59" s="1578">
        <f t="shared" ref="F59:O59" si="16">EDATE(E59,-1)</f>
        <v>42917</v>
      </c>
      <c r="G59" s="1578">
        <f t="shared" si="16"/>
        <v>42887</v>
      </c>
      <c r="H59" s="1578">
        <f t="shared" si="16"/>
        <v>42856</v>
      </c>
      <c r="I59" s="1578">
        <f t="shared" si="16"/>
        <v>42826</v>
      </c>
      <c r="J59" s="1578">
        <f t="shared" si="16"/>
        <v>42795</v>
      </c>
      <c r="K59" s="1578">
        <f t="shared" si="16"/>
        <v>42767</v>
      </c>
      <c r="L59" s="1578">
        <f t="shared" si="16"/>
        <v>42736</v>
      </c>
      <c r="M59" s="1578">
        <f t="shared" si="16"/>
        <v>42705</v>
      </c>
      <c r="N59" s="1578">
        <f t="shared" si="16"/>
        <v>42675</v>
      </c>
      <c r="O59" s="1578">
        <f t="shared" si="16"/>
        <v>42644</v>
      </c>
      <c r="P59" s="1574"/>
    </row>
    <row r="60" spans="1:29" s="116" customFormat="1" ht="15">
      <c r="A60" s="509"/>
      <c r="B60" s="510"/>
      <c r="C60" s="1576">
        <v>100</v>
      </c>
      <c r="D60" s="512"/>
      <c r="E60" s="512"/>
      <c r="F60" s="512"/>
      <c r="G60" s="512"/>
      <c r="H60" s="512"/>
      <c r="I60" s="512"/>
      <c r="J60" s="512"/>
      <c r="K60" s="512"/>
      <c r="L60" s="512"/>
      <c r="M60" s="513"/>
      <c r="N60" s="512"/>
      <c r="O60" s="513"/>
      <c r="P60" s="2683"/>
    </row>
    <row r="61" spans="1:29" s="116" customFormat="1" ht="15.75" thickBot="1">
      <c r="A61" s="515" t="s">
        <v>2586</v>
      </c>
      <c r="B61" s="516"/>
      <c r="C61" s="517"/>
      <c r="D61" s="518"/>
      <c r="E61" s="518"/>
      <c r="F61" s="518"/>
      <c r="G61" s="518"/>
      <c r="H61" s="518"/>
      <c r="I61" s="518"/>
      <c r="J61" s="518"/>
      <c r="K61" s="518"/>
      <c r="L61" s="518"/>
      <c r="M61" s="519"/>
      <c r="N61" s="518"/>
      <c r="O61" s="519"/>
      <c r="P61" s="2683"/>
      <c r="Q61" s="504"/>
    </row>
    <row r="62" spans="1:29" s="116" customFormat="1" ht="15">
      <c r="A62" s="521" t="s">
        <v>2551</v>
      </c>
      <c r="B62" s="510"/>
      <c r="C62" s="522" t="s">
        <v>2653</v>
      </c>
      <c r="D62" s="523"/>
      <c r="E62" s="523"/>
      <c r="F62" s="523"/>
      <c r="G62" s="523"/>
      <c r="H62" s="523"/>
      <c r="I62" s="523"/>
      <c r="J62" s="523"/>
      <c r="K62" s="523"/>
      <c r="L62" s="524"/>
      <c r="M62" s="525"/>
      <c r="N62" s="1153"/>
      <c r="O62" s="1153"/>
      <c r="P62" s="2684"/>
      <c r="Q62" s="504"/>
    </row>
    <row r="63" spans="1:29" s="116"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2589</v>
      </c>
      <c r="B64" s="528" t="s">
        <v>2555</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6" customFormat="1" ht="27.75" thickTop="1">
      <c r="A87" s="579"/>
      <c r="B87" s="538" t="s">
        <v>2700</v>
      </c>
      <c r="C87" s="554"/>
      <c r="D87" s="554"/>
      <c r="E87" s="554"/>
      <c r="F87" s="554"/>
      <c r="G87" s="554"/>
      <c r="H87" s="554"/>
      <c r="I87" s="554"/>
      <c r="J87" s="554"/>
      <c r="K87" s="554"/>
      <c r="L87" s="580"/>
      <c r="M87" s="581"/>
      <c r="N87" s="1153"/>
      <c r="O87" s="1153"/>
      <c r="P87" s="2685"/>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6"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2564</v>
      </c>
      <c r="B101" s="528" t="s">
        <v>2613</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2615</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2617</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2701</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2618</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2619</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2702</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2685</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2621</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西安胤博置业有限公司：</v>
      </c>
    </row>
    <row r="4" spans="1:1" ht="36">
      <c r="A4" s="1951" t="str">
        <f>"受贵公司委托，我公司对"&amp;项目基本情况!S1&amp;"进行了预评估。"</f>
        <v>受贵公司委托，我公司对陕西省西安市新城区华清西路以南、金花北路以西出让国有建设用地使用权及在建建筑物房地产抵押价值进行了预评估。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新城区华清西路以南、金花北路以西出让国有建设用地使用权及在建建筑物房地产，为所有。根据《不动产权证书》[陕（2017）西安市不动产权第0000405号]，估价对象（分摊）出让国有建设用地使用权面积为60945.37平方米，建筑面积为210072.84平方米。</v>
      </c>
    </row>
    <row r="8" spans="1:1" ht="57.75">
      <c r="A8" s="1954" t="s">
        <v>1616</v>
      </c>
    </row>
    <row r="9" spans="1:1" ht="18.75">
      <c r="A9" s="1953" t="s">
        <v>1617</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新城区华清西路以南、金花北路以西出让国有建设用地使用权及在建建筑物房地产,属开发建设的居住项目，该项目尚在开发建设中。根据《不动产权证书》[陕（2017）西安市不动产权第0000405号]，估价对象（分摊）出让国有建设用地使用权面积为60945.37平方米，规划建筑面积为210072.84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2017年10月17日（评估专业人员实地查勘之日）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17日，估价对象规划用途为住宅、商业、地下车库，土地取得方式为出让，出让国有建设用地使用权剩余土地使用年限为住宅69.2年，商业39.2年，地下车库49.2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通热）、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0" t="s">
        <v>2703</v>
      </c>
      <c r="C1" s="1623" t="s">
        <v>2531</v>
      </c>
      <c r="D1" s="1624"/>
      <c r="E1" s="1633"/>
      <c r="F1" s="2585"/>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0" t="e">
        <f ca="1">IF(C2="——",ROUND(C43*D3/10000,0),ROUND(C43*D3/10000,0)-D2)</f>
        <v>#DIV/0!</v>
      </c>
      <c r="C2" s="2587"/>
      <c r="D2" s="1126" t="e">
        <f ca="1">SUMIF(INDIRECT("'"&amp;F2&amp;"'"&amp;"!A:A"),"承租人权益价值",INDIRECT("'"&amp;F2&amp;"'"&amp;"!c:c"))</f>
        <v>#REF!</v>
      </c>
      <c r="E2" s="2588" t="s">
        <v>2332</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210072.84</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148" t="s">
        <v>2647</v>
      </c>
      <c r="D4" s="3161"/>
      <c r="E4" s="3162" t="s">
        <v>2648</v>
      </c>
      <c r="F4" s="3163"/>
      <c r="G4" s="3148" t="s">
        <v>2649</v>
      </c>
      <c r="H4" s="3161"/>
      <c r="I4" s="3148" t="s">
        <v>2650</v>
      </c>
      <c r="J4" s="3161"/>
      <c r="K4" s="610" t="s">
        <v>2651</v>
      </c>
      <c r="L4" s="1132"/>
      <c r="M4" s="1133"/>
      <c r="N4" s="1133"/>
      <c r="O4" s="1133"/>
      <c r="P4" s="3164" t="s">
        <v>2652</v>
      </c>
      <c r="Q4" s="3165"/>
      <c r="R4" s="3170" t="s">
        <v>2648</v>
      </c>
      <c r="S4" s="3171"/>
      <c r="T4" s="3170" t="s">
        <v>2649</v>
      </c>
      <c r="U4" s="3171"/>
      <c r="V4" s="3157" t="s">
        <v>2650</v>
      </c>
      <c r="W4" s="3157"/>
      <c r="X4" s="1816"/>
      <c r="Y4" s="3170" t="s">
        <v>2652</v>
      </c>
      <c r="Z4" s="3171"/>
      <c r="AA4" s="3158" t="s">
        <v>2648</v>
      </c>
      <c r="AB4" s="3159" t="s">
        <v>2649</v>
      </c>
      <c r="AC4" s="3158" t="s">
        <v>2650</v>
      </c>
    </row>
    <row r="5" spans="1:29" ht="15">
      <c r="A5" s="404"/>
      <c r="B5" s="405"/>
      <c r="C5" s="3222" t="s">
        <v>2543</v>
      </c>
      <c r="D5" s="3179"/>
      <c r="E5" s="3225" t="s">
        <v>2544</v>
      </c>
      <c r="F5" s="3186"/>
      <c r="G5" s="3222" t="s">
        <v>2545</v>
      </c>
      <c r="H5" s="3179"/>
      <c r="I5" s="3222" t="s">
        <v>2546</v>
      </c>
      <c r="J5" s="3179"/>
      <c r="K5" s="610"/>
      <c r="L5" s="1132"/>
      <c r="M5" s="1133"/>
      <c r="N5" s="1133"/>
      <c r="O5" s="1133"/>
      <c r="P5" s="3166"/>
      <c r="Q5" s="3167"/>
      <c r="R5" s="3172"/>
      <c r="S5" s="3173"/>
      <c r="T5" s="3172"/>
      <c r="U5" s="3173"/>
      <c r="V5" s="3157"/>
      <c r="W5" s="3157"/>
      <c r="X5" s="1816"/>
      <c r="Y5" s="3172"/>
      <c r="Z5" s="3173"/>
      <c r="AA5" s="3159"/>
      <c r="AB5" s="3159"/>
      <c r="AC5" s="3159"/>
    </row>
    <row r="6" spans="1:29" ht="15.75" thickBot="1">
      <c r="A6" s="406"/>
      <c r="B6" s="407"/>
      <c r="C6" s="3223" t="s">
        <v>2547</v>
      </c>
      <c r="D6" s="3177"/>
      <c r="E6" s="3224" t="s">
        <v>2547</v>
      </c>
      <c r="F6" s="3184"/>
      <c r="G6" s="3223" t="s">
        <v>2547</v>
      </c>
      <c r="H6" s="3177"/>
      <c r="I6" s="3223" t="s">
        <v>2547</v>
      </c>
      <c r="J6" s="3177"/>
      <c r="K6" s="610" t="s">
        <v>2548</v>
      </c>
      <c r="L6" s="1132"/>
      <c r="M6" s="1133"/>
      <c r="N6" s="1133"/>
      <c r="O6" s="1133"/>
      <c r="P6" s="3168"/>
      <c r="Q6" s="3169"/>
      <c r="R6" s="3172"/>
      <c r="S6" s="3173"/>
      <c r="T6" s="3174"/>
      <c r="U6" s="3175"/>
      <c r="V6" s="3157"/>
      <c r="W6" s="3157"/>
      <c r="X6" s="1816"/>
      <c r="Y6" s="3174"/>
      <c r="Z6" s="3175"/>
      <c r="AA6" s="3160"/>
      <c r="AB6" s="3160"/>
      <c r="AC6" s="3160"/>
    </row>
    <row r="7" spans="1:29" s="116" customFormat="1" ht="15.75" thickBot="1">
      <c r="A7" s="408" t="s">
        <v>2549</v>
      </c>
      <c r="B7" s="409"/>
      <c r="C7" s="410">
        <f>'数据-取费表'!B2</f>
        <v>43025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0" t="s">
        <v>2550</v>
      </c>
      <c r="Q7" s="3182"/>
      <c r="R7" s="770" t="s">
        <v>17</v>
      </c>
      <c r="S7" s="771">
        <f t="shared" ref="S7:S15" si="0">F7</f>
        <v>0</v>
      </c>
      <c r="T7" s="770" t="s">
        <v>17</v>
      </c>
      <c r="U7" s="771">
        <f t="shared" ref="U7:U15" si="1">H7</f>
        <v>0</v>
      </c>
      <c r="V7" s="770" t="s">
        <v>17</v>
      </c>
      <c r="W7" s="771">
        <f t="shared" ref="W7:W15" si="2">J7</f>
        <v>0</v>
      </c>
      <c r="X7" s="772"/>
      <c r="Y7" s="3180" t="s">
        <v>2550</v>
      </c>
      <c r="Z7" s="3181"/>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0" t="s">
        <v>2553</v>
      </c>
      <c r="Q8" s="3181"/>
      <c r="R8" s="770" t="s">
        <v>17</v>
      </c>
      <c r="S8" s="771">
        <f t="shared" si="0"/>
        <v>0</v>
      </c>
      <c r="T8" s="770" t="s">
        <v>17</v>
      </c>
      <c r="U8" s="771">
        <f t="shared" si="1"/>
        <v>0</v>
      </c>
      <c r="V8" s="770" t="s">
        <v>17</v>
      </c>
      <c r="W8" s="771">
        <f t="shared" si="2"/>
        <v>0</v>
      </c>
      <c r="X8" s="772"/>
      <c r="Y8" s="3180" t="s">
        <v>2553</v>
      </c>
      <c r="Z8" s="3181"/>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4"/>
      <c r="M9" s="1135"/>
      <c r="N9" s="1135"/>
      <c r="O9" s="1136"/>
      <c r="P9" s="3151" t="s">
        <v>2556</v>
      </c>
      <c r="Q9" s="1798" t="str">
        <f t="shared" ref="Q9:Q15" si="6">B9</f>
        <v>用途</v>
      </c>
      <c r="R9" s="770" t="s">
        <v>17</v>
      </c>
      <c r="S9" s="771">
        <f t="shared" si="0"/>
        <v>100</v>
      </c>
      <c r="T9" s="770" t="s">
        <v>17</v>
      </c>
      <c r="U9" s="771">
        <f t="shared" si="1"/>
        <v>100</v>
      </c>
      <c r="V9" s="770" t="s">
        <v>17</v>
      </c>
      <c r="W9" s="771">
        <f t="shared" si="2"/>
        <v>100</v>
      </c>
      <c r="X9" s="772"/>
      <c r="Y9" s="2999" t="s">
        <v>2557</v>
      </c>
      <c r="Z9" s="55"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7"/>
      <c r="M10" s="1138"/>
      <c r="N10" s="1138"/>
      <c r="O10" s="1139"/>
      <c r="P10" s="3151"/>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0"/>
      <c r="M11" s="1133"/>
      <c r="N11" s="1133"/>
      <c r="O11" s="1141"/>
      <c r="P11" s="3151"/>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6" customFormat="1" ht="15">
      <c r="A12" s="431"/>
      <c r="B12" s="2601">
        <v>111</v>
      </c>
      <c r="C12" s="432"/>
      <c r="D12" s="433">
        <v>100</v>
      </c>
      <c r="E12" s="434"/>
      <c r="F12" s="135">
        <f>SUMIF(64:64,E12,65:65)-SUMIF(64:64,C12,65:65)+100</f>
        <v>100</v>
      </c>
      <c r="G12" s="2693"/>
      <c r="H12" s="135">
        <f>SUMIF(64:64,G12,65:65)-SUMIF(64:64,C12,65:65)+100</f>
        <v>100</v>
      </c>
      <c r="I12" s="469"/>
      <c r="J12" s="135">
        <f>SUMIF(64:64,I12,65:65)-SUMIF(64:64,C12,65:65)+100</f>
        <v>100</v>
      </c>
      <c r="K12" s="613"/>
      <c r="L12" s="1134"/>
      <c r="M12" s="1135"/>
      <c r="N12" s="1135"/>
      <c r="O12" s="1136"/>
      <c r="P12" s="3151"/>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1">
        <v>111</v>
      </c>
      <c r="C13" s="434"/>
      <c r="D13" s="435">
        <v>100</v>
      </c>
      <c r="E13" s="434"/>
      <c r="F13" s="135">
        <f>SUMIF(66:66,E13,67:67)-SUMIF(66:66,C13,67:67)+100</f>
        <v>100</v>
      </c>
      <c r="G13" s="2693"/>
      <c r="H13" s="435">
        <f>SUMIF(66:66,G13,67:67)-SUMIF(66:66,C13,67:67)+100</f>
        <v>100</v>
      </c>
      <c r="I13" s="469"/>
      <c r="J13" s="435">
        <f>SUMIF(66:66,I13,67:67)-SUMIF(66:66,C13,67:67)+100</f>
        <v>100</v>
      </c>
      <c r="K13" s="613"/>
      <c r="L13" s="1142"/>
      <c r="M13" s="1133"/>
      <c r="N13" s="1133"/>
      <c r="O13" s="1141"/>
      <c r="P13" s="3151"/>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51"/>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2560</v>
      </c>
      <c r="B15" s="68"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53" t="s">
        <v>2561</v>
      </c>
      <c r="Q15" s="1813" t="str">
        <f t="shared" si="6"/>
        <v>产业集聚程度</v>
      </c>
      <c r="R15" s="774" t="s">
        <v>17</v>
      </c>
      <c r="S15" s="775">
        <f t="shared" si="0"/>
        <v>100</v>
      </c>
      <c r="T15" s="774" t="s">
        <v>17</v>
      </c>
      <c r="U15" s="775">
        <f t="shared" si="1"/>
        <v>100</v>
      </c>
      <c r="V15" s="774" t="s">
        <v>17</v>
      </c>
      <c r="W15" s="775">
        <f t="shared" si="2"/>
        <v>100</v>
      </c>
      <c r="X15" s="1816"/>
      <c r="Y15" s="315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54"/>
      <c r="Q16" s="1813"/>
      <c r="R16" s="774"/>
      <c r="S16" s="775"/>
      <c r="T16" s="774"/>
      <c r="U16" s="775"/>
      <c r="V16" s="774"/>
      <c r="W16" s="775"/>
      <c r="X16" s="1816"/>
      <c r="Y16" s="3154"/>
      <c r="Z16" s="1817"/>
      <c r="AA16" s="1814">
        <v>1</v>
      </c>
      <c r="AB16" s="1814">
        <v>1</v>
      </c>
      <c r="AC16" s="1814">
        <v>1</v>
      </c>
    </row>
    <row r="17" spans="1:29" ht="85.5">
      <c r="A17" s="428"/>
      <c r="B17" s="451" t="s">
        <v>2099</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54"/>
      <c r="Q17" s="1813" t="str">
        <f>B17</f>
        <v>交通便捷度</v>
      </c>
      <c r="R17" s="774" t="s">
        <v>17</v>
      </c>
      <c r="S17" s="775">
        <f>F17</f>
        <v>100</v>
      </c>
      <c r="T17" s="774" t="s">
        <v>17</v>
      </c>
      <c r="U17" s="775">
        <f>H17</f>
        <v>100</v>
      </c>
      <c r="V17" s="774" t="s">
        <v>17</v>
      </c>
      <c r="W17" s="775">
        <f>J17</f>
        <v>100</v>
      </c>
      <c r="X17" s="1816"/>
      <c r="Y17" s="315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41"/>
      <c r="P18" s="3154"/>
      <c r="Q18" s="1813"/>
      <c r="R18" s="774"/>
      <c r="S18" s="775"/>
      <c r="T18" s="774"/>
      <c r="U18" s="775"/>
      <c r="V18" s="774"/>
      <c r="W18" s="775"/>
      <c r="X18" s="1816"/>
      <c r="Y18" s="3154"/>
      <c r="Z18" s="1817"/>
      <c r="AA18" s="1814">
        <v>1</v>
      </c>
      <c r="AB18" s="1814">
        <v>1</v>
      </c>
      <c r="AC18" s="1814">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54"/>
      <c r="Q19" s="1813" t="str">
        <f>B19</f>
        <v>公共配套设施</v>
      </c>
      <c r="R19" s="774" t="s">
        <v>17</v>
      </c>
      <c r="S19" s="775">
        <f>F19</f>
        <v>100</v>
      </c>
      <c r="T19" s="774" t="s">
        <v>17</v>
      </c>
      <c r="U19" s="775">
        <f>H19</f>
        <v>100</v>
      </c>
      <c r="V19" s="774" t="s">
        <v>17</v>
      </c>
      <c r="W19" s="775">
        <f>J19</f>
        <v>100</v>
      </c>
      <c r="X19" s="1816"/>
      <c r="Y19" s="315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41"/>
      <c r="P20" s="3154"/>
      <c r="Q20" s="1813"/>
      <c r="R20" s="774"/>
      <c r="S20" s="775"/>
      <c r="T20" s="774"/>
      <c r="U20" s="775"/>
      <c r="V20" s="774"/>
      <c r="W20" s="775"/>
      <c r="X20" s="1816"/>
      <c r="Y20" s="3154"/>
      <c r="Z20" s="1817"/>
      <c r="AA20" s="1814">
        <v>1</v>
      </c>
      <c r="AB20" s="1814">
        <v>1</v>
      </c>
      <c r="AC20" s="1814">
        <v>1</v>
      </c>
    </row>
    <row r="21" spans="1:29" ht="28.5">
      <c r="A21" s="428"/>
      <c r="B21" s="1386"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54"/>
      <c r="Q21" s="1813" t="str">
        <f>B21</f>
        <v>基础设施水平</v>
      </c>
      <c r="R21" s="774" t="s">
        <v>17</v>
      </c>
      <c r="S21" s="775">
        <f>F21</f>
        <v>100</v>
      </c>
      <c r="T21" s="774" t="s">
        <v>17</v>
      </c>
      <c r="U21" s="775">
        <f>H21</f>
        <v>100</v>
      </c>
      <c r="V21" s="774" t="s">
        <v>17</v>
      </c>
      <c r="W21" s="775">
        <f>J21</f>
        <v>100</v>
      </c>
      <c r="X21" s="1816"/>
      <c r="Y21" s="3154"/>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41"/>
      <c r="P22" s="3154"/>
      <c r="Q22" s="1813"/>
      <c r="R22" s="774"/>
      <c r="S22" s="775"/>
      <c r="T22" s="774"/>
      <c r="U22" s="775"/>
      <c r="V22" s="774"/>
      <c r="W22" s="775"/>
      <c r="X22" s="1816"/>
      <c r="Y22" s="3154"/>
      <c r="Z22" s="1817"/>
      <c r="AA22" s="1814">
        <v>1</v>
      </c>
      <c r="AB22" s="1814">
        <v>1</v>
      </c>
      <c r="AC22" s="1814">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54"/>
      <c r="Q23" s="1813" t="str">
        <f>B23</f>
        <v>环境质量</v>
      </c>
      <c r="R23" s="774" t="s">
        <v>17</v>
      </c>
      <c r="S23" s="775">
        <f>F23</f>
        <v>100</v>
      </c>
      <c r="T23" s="774" t="s">
        <v>17</v>
      </c>
      <c r="U23" s="775">
        <f>H23</f>
        <v>100</v>
      </c>
      <c r="V23" s="774" t="s">
        <v>17</v>
      </c>
      <c r="W23" s="775">
        <f>J23</f>
        <v>100</v>
      </c>
      <c r="X23" s="1816"/>
      <c r="Y23" s="3154"/>
      <c r="Z23" s="1817" t="str">
        <f>Q23</f>
        <v>环境质量</v>
      </c>
      <c r="AA23" s="1814">
        <f t="shared" si="3"/>
        <v>1</v>
      </c>
      <c r="AB23" s="1814">
        <f t="shared" si="4"/>
        <v>1</v>
      </c>
      <c r="AC23" s="1814">
        <f t="shared" si="5"/>
        <v>1</v>
      </c>
    </row>
    <row r="24" spans="1:29" ht="15">
      <c r="A24" s="428"/>
      <c r="B24" s="1386"/>
      <c r="C24" s="447"/>
      <c r="D24" s="448"/>
      <c r="E24" s="2606"/>
      <c r="F24" s="449"/>
      <c r="G24" s="2605"/>
      <c r="H24" s="448"/>
      <c r="I24" s="2606"/>
      <c r="J24" s="448"/>
      <c r="K24" s="615"/>
      <c r="L24" s="1142"/>
      <c r="M24" s="1133"/>
      <c r="N24" s="1133"/>
      <c r="O24" s="1141"/>
      <c r="P24" s="3154"/>
      <c r="Q24" s="1813"/>
      <c r="R24" s="774"/>
      <c r="S24" s="775"/>
      <c r="T24" s="774"/>
      <c r="U24" s="775"/>
      <c r="V24" s="774"/>
      <c r="W24" s="775"/>
      <c r="X24" s="1816"/>
      <c r="Y24" s="3154"/>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54"/>
      <c r="Q25" s="1813">
        <f>B25</f>
        <v>111</v>
      </c>
      <c r="R25" s="774" t="s">
        <v>17</v>
      </c>
      <c r="S25" s="775">
        <f>F25</f>
        <v>100</v>
      </c>
      <c r="T25" s="774" t="s">
        <v>17</v>
      </c>
      <c r="U25" s="775">
        <f>H25</f>
        <v>100</v>
      </c>
      <c r="V25" s="774" t="s">
        <v>17</v>
      </c>
      <c r="W25" s="775">
        <f>J25</f>
        <v>100</v>
      </c>
      <c r="X25" s="1816"/>
      <c r="Y25" s="3154"/>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54"/>
      <c r="Q26" s="1813">
        <f t="shared" ref="Q26:Q40" si="11">B26</f>
        <v>111</v>
      </c>
      <c r="R26" s="774" t="s">
        <v>17</v>
      </c>
      <c r="S26" s="775">
        <f>F26</f>
        <v>100</v>
      </c>
      <c r="T26" s="774" t="s">
        <v>17</v>
      </c>
      <c r="U26" s="775">
        <f>H26</f>
        <v>100</v>
      </c>
      <c r="V26" s="774" t="s">
        <v>17</v>
      </c>
      <c r="W26" s="775">
        <f>J26</f>
        <v>100</v>
      </c>
      <c r="X26" s="1816"/>
      <c r="Y26" s="3154"/>
      <c r="Z26" s="1817">
        <f>Q26</f>
        <v>111</v>
      </c>
      <c r="AA26" s="1814">
        <f t="shared" si="3"/>
        <v>1</v>
      </c>
      <c r="AB26" s="1814">
        <f t="shared" si="4"/>
        <v>1</v>
      </c>
      <c r="AC26" s="1814">
        <f t="shared" si="5"/>
        <v>1</v>
      </c>
    </row>
    <row r="27" spans="1:29" s="116"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54"/>
      <c r="Q27" s="1798">
        <f t="shared" si="11"/>
        <v>111</v>
      </c>
      <c r="R27" s="770" t="s">
        <v>17</v>
      </c>
      <c r="S27" s="771">
        <f>F27</f>
        <v>100</v>
      </c>
      <c r="T27" s="770" t="s">
        <v>17</v>
      </c>
      <c r="U27" s="771">
        <f>H27</f>
        <v>100</v>
      </c>
      <c r="V27" s="770" t="s">
        <v>17</v>
      </c>
      <c r="W27" s="771">
        <f>J27</f>
        <v>100</v>
      </c>
      <c r="X27" s="772"/>
      <c r="Y27" s="3154"/>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54"/>
      <c r="Q28" s="1813">
        <f t="shared" si="11"/>
        <v>111</v>
      </c>
      <c r="R28" s="774" t="s">
        <v>17</v>
      </c>
      <c r="S28" s="775">
        <f t="shared" ref="S28:S40" si="12">F28</f>
        <v>100</v>
      </c>
      <c r="T28" s="774" t="s">
        <v>17</v>
      </c>
      <c r="U28" s="775">
        <f t="shared" ref="U28:U40" si="13">H28</f>
        <v>100</v>
      </c>
      <c r="V28" s="774" t="s">
        <v>17</v>
      </c>
      <c r="W28" s="775">
        <f t="shared" ref="W28:W40" si="14">J28</f>
        <v>100</v>
      </c>
      <c r="X28" s="1816"/>
      <c r="Y28" s="3154"/>
      <c r="Z28" s="1817">
        <f t="shared" ref="Z28:Z40" si="15">Q28</f>
        <v>111</v>
      </c>
      <c r="AA28" s="1814">
        <f t="shared" si="3"/>
        <v>1</v>
      </c>
      <c r="AB28" s="1814">
        <f t="shared" si="4"/>
        <v>1</v>
      </c>
      <c r="AC28" s="1814">
        <f t="shared" si="5"/>
        <v>1</v>
      </c>
    </row>
    <row r="29" spans="1:29" ht="15">
      <c r="A29" s="466" t="s">
        <v>2564</v>
      </c>
      <c r="B29" s="70"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155" t="s">
        <v>2566</v>
      </c>
      <c r="Q29" s="1813" t="str">
        <f t="shared" si="11"/>
        <v>建筑类型</v>
      </c>
      <c r="R29" s="774" t="s">
        <v>17</v>
      </c>
      <c r="S29" s="775">
        <f t="shared" si="12"/>
        <v>100</v>
      </c>
      <c r="T29" s="774" t="s">
        <v>17</v>
      </c>
      <c r="U29" s="775">
        <f t="shared" si="13"/>
        <v>100</v>
      </c>
      <c r="V29" s="774" t="s">
        <v>17</v>
      </c>
      <c r="W29" s="775">
        <f t="shared" si="14"/>
        <v>100</v>
      </c>
      <c r="X29" s="1816"/>
      <c r="Y29" s="3156" t="s">
        <v>2566</v>
      </c>
      <c r="Z29" s="1817" t="str">
        <f t="shared" si="15"/>
        <v>建筑类型</v>
      </c>
      <c r="AA29" s="1814">
        <f t="shared" si="3"/>
        <v>1</v>
      </c>
      <c r="AB29" s="1814">
        <f t="shared" si="4"/>
        <v>1</v>
      </c>
      <c r="AC29" s="1814">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0"/>
      <c r="M30" s="1143"/>
      <c r="N30" s="1143"/>
      <c r="O30" s="1144"/>
      <c r="P30" s="3156"/>
      <c r="Q30" s="776" t="str">
        <f t="shared" si="11"/>
        <v>项目建筑规模</v>
      </c>
      <c r="R30" s="777" t="s">
        <v>17</v>
      </c>
      <c r="S30" s="778" t="e">
        <f t="shared" si="12"/>
        <v>#N/A</v>
      </c>
      <c r="T30" s="777" t="s">
        <v>17</v>
      </c>
      <c r="U30" s="778" t="e">
        <f t="shared" si="13"/>
        <v>#N/A</v>
      </c>
      <c r="V30" s="777" t="s">
        <v>17</v>
      </c>
      <c r="W30" s="778" t="e">
        <f t="shared" si="14"/>
        <v>#N/A</v>
      </c>
      <c r="X30" s="779"/>
      <c r="Y30" s="3156"/>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56"/>
      <c r="Q31" s="1813" t="str">
        <f t="shared" si="11"/>
        <v>建筑结构</v>
      </c>
      <c r="R31" s="774" t="s">
        <v>17</v>
      </c>
      <c r="S31" s="775">
        <f t="shared" si="12"/>
        <v>100</v>
      </c>
      <c r="T31" s="774" t="s">
        <v>17</v>
      </c>
      <c r="U31" s="775">
        <f t="shared" si="13"/>
        <v>100</v>
      </c>
      <c r="V31" s="774" t="s">
        <v>17</v>
      </c>
      <c r="W31" s="775">
        <f t="shared" si="14"/>
        <v>100</v>
      </c>
      <c r="X31" s="1816"/>
      <c r="Y31" s="3156"/>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56"/>
      <c r="Q32" s="1813" t="str">
        <f t="shared" si="11"/>
        <v>公共部分装修</v>
      </c>
      <c r="R32" s="774" t="s">
        <v>17</v>
      </c>
      <c r="S32" s="775">
        <f t="shared" si="12"/>
        <v>100</v>
      </c>
      <c r="T32" s="774" t="s">
        <v>17</v>
      </c>
      <c r="U32" s="775">
        <f t="shared" si="13"/>
        <v>100</v>
      </c>
      <c r="V32" s="774" t="s">
        <v>17</v>
      </c>
      <c r="W32" s="775">
        <f t="shared" si="14"/>
        <v>100</v>
      </c>
      <c r="X32" s="1816"/>
      <c r="Y32" s="3156"/>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56"/>
      <c r="Q33" s="1813" t="str">
        <f t="shared" si="11"/>
        <v>成新度</v>
      </c>
      <c r="R33" s="774" t="s">
        <v>17</v>
      </c>
      <c r="S33" s="775" t="e">
        <f t="shared" si="12"/>
        <v>#N/A</v>
      </c>
      <c r="T33" s="774" t="s">
        <v>17</v>
      </c>
      <c r="U33" s="775" t="e">
        <f t="shared" si="13"/>
        <v>#N/A</v>
      </c>
      <c r="V33" s="774" t="s">
        <v>17</v>
      </c>
      <c r="W33" s="775" t="e">
        <f t="shared" si="14"/>
        <v>#N/A</v>
      </c>
      <c r="X33" s="1816"/>
      <c r="Y33" s="3156"/>
      <c r="Z33" s="1817" t="str">
        <f t="shared" si="15"/>
        <v>成新度</v>
      </c>
      <c r="AA33" s="1814" t="e">
        <f t="shared" si="3"/>
        <v>#N/A</v>
      </c>
      <c r="AB33" s="1814" t="e">
        <f t="shared" si="4"/>
        <v>#N/A</v>
      </c>
      <c r="AC33" s="1814"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56"/>
      <c r="Q34" s="1798" t="str">
        <f t="shared" si="11"/>
        <v>物业管理</v>
      </c>
      <c r="R34" s="770" t="s">
        <v>17</v>
      </c>
      <c r="S34" s="771">
        <f t="shared" si="12"/>
        <v>100</v>
      </c>
      <c r="T34" s="770" t="s">
        <v>17</v>
      </c>
      <c r="U34" s="771">
        <f t="shared" si="13"/>
        <v>100</v>
      </c>
      <c r="V34" s="770" t="s">
        <v>17</v>
      </c>
      <c r="W34" s="771">
        <f t="shared" si="14"/>
        <v>100</v>
      </c>
      <c r="X34" s="772"/>
      <c r="Y34" s="315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56" t="s">
        <v>2566</v>
      </c>
      <c r="Q35" s="1813" t="str">
        <f t="shared" si="11"/>
        <v>市政基础设施</v>
      </c>
      <c r="R35" s="774" t="s">
        <v>17</v>
      </c>
      <c r="S35" s="775">
        <f t="shared" si="12"/>
        <v>100</v>
      </c>
      <c r="T35" s="774" t="s">
        <v>17</v>
      </c>
      <c r="U35" s="775">
        <f t="shared" si="13"/>
        <v>100</v>
      </c>
      <c r="V35" s="774" t="s">
        <v>17</v>
      </c>
      <c r="W35" s="775">
        <f t="shared" si="14"/>
        <v>100</v>
      </c>
      <c r="X35" s="1816"/>
      <c r="Y35" s="3156"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56"/>
      <c r="Q36" s="1813" t="str">
        <f t="shared" si="11"/>
        <v>内部装修</v>
      </c>
      <c r="R36" s="774" t="s">
        <v>17</v>
      </c>
      <c r="S36" s="775">
        <f t="shared" si="12"/>
        <v>100</v>
      </c>
      <c r="T36" s="774" t="s">
        <v>17</v>
      </c>
      <c r="U36" s="775">
        <f t="shared" si="13"/>
        <v>100</v>
      </c>
      <c r="V36" s="774" t="s">
        <v>17</v>
      </c>
      <c r="W36" s="775">
        <f t="shared" si="14"/>
        <v>100</v>
      </c>
      <c r="X36" s="1816"/>
      <c r="Y36" s="3156"/>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56"/>
      <c r="Q37" s="1813" t="str">
        <f t="shared" si="11"/>
        <v>内部装修状况</v>
      </c>
      <c r="R37" s="774" t="s">
        <v>17</v>
      </c>
      <c r="S37" s="775">
        <f t="shared" si="12"/>
        <v>100</v>
      </c>
      <c r="T37" s="774" t="s">
        <v>17</v>
      </c>
      <c r="U37" s="775">
        <f t="shared" si="13"/>
        <v>100</v>
      </c>
      <c r="V37" s="774" t="s">
        <v>17</v>
      </c>
      <c r="W37" s="775">
        <f t="shared" si="14"/>
        <v>100</v>
      </c>
      <c r="X37" s="1816"/>
      <c r="Y37" s="3156"/>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56"/>
      <c r="Q38" s="776">
        <f t="shared" si="11"/>
        <v>111</v>
      </c>
      <c r="R38" s="777" t="s">
        <v>17</v>
      </c>
      <c r="S38" s="778">
        <f t="shared" si="12"/>
        <v>100</v>
      </c>
      <c r="T38" s="777" t="s">
        <v>17</v>
      </c>
      <c r="U38" s="778">
        <f t="shared" si="13"/>
        <v>100</v>
      </c>
      <c r="V38" s="777" t="s">
        <v>17</v>
      </c>
      <c r="W38" s="778">
        <f t="shared" si="14"/>
        <v>100</v>
      </c>
      <c r="X38" s="779"/>
      <c r="Y38" s="3156"/>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56"/>
      <c r="Q39" s="1813">
        <f t="shared" si="11"/>
        <v>111</v>
      </c>
      <c r="R39" s="774" t="s">
        <v>17</v>
      </c>
      <c r="S39" s="775">
        <f t="shared" si="12"/>
        <v>100</v>
      </c>
      <c r="T39" s="774" t="s">
        <v>17</v>
      </c>
      <c r="U39" s="775">
        <f t="shared" si="13"/>
        <v>100</v>
      </c>
      <c r="V39" s="774" t="s">
        <v>17</v>
      </c>
      <c r="W39" s="775">
        <f t="shared" si="14"/>
        <v>100</v>
      </c>
      <c r="X39" s="1816"/>
      <c r="Y39" s="3156"/>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9"/>
      <c r="Q40" s="1813">
        <f t="shared" si="11"/>
        <v>111</v>
      </c>
      <c r="R40" s="774" t="s">
        <v>17</v>
      </c>
      <c r="S40" s="775">
        <f t="shared" si="12"/>
        <v>100</v>
      </c>
      <c r="T40" s="774" t="s">
        <v>17</v>
      </c>
      <c r="U40" s="775">
        <f t="shared" si="13"/>
        <v>100</v>
      </c>
      <c r="V40" s="774" t="s">
        <v>17</v>
      </c>
      <c r="W40" s="775">
        <f t="shared" si="14"/>
        <v>100</v>
      </c>
      <c r="X40" s="1816"/>
      <c r="Y40" s="3219"/>
      <c r="Z40" s="1817">
        <f t="shared" si="15"/>
        <v>111</v>
      </c>
      <c r="AA40" s="1814">
        <f t="shared" si="3"/>
        <v>1</v>
      </c>
      <c r="AB40" s="1814">
        <f t="shared" si="4"/>
        <v>1</v>
      </c>
      <c r="AC40" s="1814">
        <f t="shared" si="5"/>
        <v>1</v>
      </c>
    </row>
    <row r="41" spans="1:29" ht="15">
      <c r="A41" s="479" t="s">
        <v>2578</v>
      </c>
      <c r="B41" s="480"/>
      <c r="C41" s="1409" t="s">
        <v>1</v>
      </c>
      <c r="D41" s="1410"/>
      <c r="E41" s="1411"/>
      <c r="F41" s="1412"/>
      <c r="G41" s="1413"/>
      <c r="H41" s="1414"/>
      <c r="I41" s="1411"/>
      <c r="J41" s="1414"/>
      <c r="K41" s="783"/>
      <c r="L41" s="1145"/>
      <c r="M41" s="1146"/>
      <c r="N41" s="1133"/>
      <c r="O41" s="1146"/>
      <c r="P41" s="3151" t="str">
        <f>A41</f>
        <v>成交单价（元/平方米）</v>
      </c>
      <c r="Q41" s="3151"/>
      <c r="R41" s="3215">
        <f>E41</f>
        <v>0</v>
      </c>
      <c r="S41" s="3215"/>
      <c r="T41" s="3215">
        <f>G41</f>
        <v>0</v>
      </c>
      <c r="U41" s="3215"/>
      <c r="V41" s="3215">
        <f>I41</f>
        <v>0</v>
      </c>
      <c r="W41" s="3215"/>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5"/>
      <c r="M42" s="1146"/>
      <c r="N42" s="1133"/>
      <c r="O42" s="1146"/>
      <c r="P42" s="3151" t="str">
        <f>A42</f>
        <v>比较价值（元/平方米）</v>
      </c>
      <c r="Q42" s="3151"/>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5"/>
      <c r="M43" s="1146"/>
      <c r="N43" s="1146"/>
      <c r="O43" s="1146"/>
      <c r="P43" s="3145" t="str">
        <f>A43</f>
        <v>估价对象XX用房的比较价值（楼面单价，元/平方米）</v>
      </c>
      <c r="Q43" s="3146"/>
      <c r="R43" s="3214" t="e">
        <f>IF(F1="售价",ROUND(AVERAGE(R42:V42),0),ROUND(AVERAGE(R42:V42),1))</f>
        <v>#DIV/0!</v>
      </c>
      <c r="S43" s="3214"/>
      <c r="T43" s="3214"/>
      <c r="U43" s="3214"/>
      <c r="V43" s="3214"/>
      <c r="W43" s="3214"/>
      <c r="X43" s="759"/>
      <c r="Y43" s="759"/>
      <c r="Z43" s="759"/>
      <c r="AA43" s="759"/>
      <c r="AB43" s="759"/>
      <c r="AC43" s="759"/>
    </row>
    <row r="44" spans="1:29">
      <c r="A44" s="1146"/>
      <c r="B44" s="1146"/>
      <c r="C44" s="1146"/>
      <c r="D44" s="1146"/>
      <c r="E44" s="1146"/>
      <c r="F44" s="1146"/>
      <c r="G44" s="1149"/>
      <c r="H44" s="1146"/>
      <c r="I44" s="1146"/>
      <c r="J44" s="1146"/>
      <c r="K44" s="1108"/>
      <c r="L44" s="1109"/>
      <c r="M44" s="1146"/>
      <c r="N44" s="1146"/>
      <c r="O44" s="1146"/>
    </row>
    <row r="45" spans="1:29">
      <c r="A45" s="1146"/>
      <c r="B45" s="1146"/>
      <c r="C45" s="1146"/>
      <c r="D45" s="1146"/>
      <c r="E45" s="1146"/>
      <c r="F45" s="1146"/>
      <c r="G45" s="1146"/>
      <c r="H45" s="1146"/>
      <c r="I45" s="1146"/>
      <c r="J45" s="1146"/>
      <c r="K45" s="1108"/>
      <c r="L45" s="1109"/>
      <c r="M45" s="1146"/>
      <c r="N45" s="1146"/>
      <c r="O45" s="1146"/>
    </row>
    <row r="46" spans="1:29" ht="13.5" customHeight="1">
      <c r="A46" s="1146"/>
      <c r="B46" s="1146"/>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6"/>
      <c r="N46" s="1146"/>
      <c r="O46" s="1146"/>
    </row>
    <row r="47" spans="1:29" ht="13.5" customHeight="1">
      <c r="A47" s="1146"/>
      <c r="B47" s="1146"/>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6"/>
      <c r="N47" s="1146"/>
      <c r="O47" s="1146"/>
    </row>
    <row r="48" spans="1:29" s="502" customFormat="1" ht="13.5" customHeight="1">
      <c r="A48" s="1147"/>
      <c r="B48" s="1147"/>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8"/>
      <c r="L50" s="1109"/>
      <c r="M50" s="1146"/>
      <c r="N50" s="1146"/>
      <c r="O50" s="1146"/>
    </row>
    <row r="51" spans="1:17" ht="21.75" thickBot="1">
      <c r="A51" s="763" t="s">
        <v>2675</v>
      </c>
      <c r="B51" s="759"/>
      <c r="C51" s="764"/>
      <c r="D51" s="764"/>
      <c r="E51" s="764"/>
      <c r="F51" s="765"/>
      <c r="G51" s="765"/>
      <c r="H51" s="764"/>
      <c r="I51" s="764"/>
      <c r="J51" s="764"/>
      <c r="K51" s="1162"/>
      <c r="L51" s="1163"/>
      <c r="M51" s="1161"/>
      <c r="N51" s="1161"/>
      <c r="O51" s="1161"/>
      <c r="P51" s="503"/>
      <c r="Q51" s="504"/>
    </row>
    <row r="52" spans="1:17" s="508" customFormat="1" ht="15">
      <c r="A52" s="505" t="s">
        <v>2549</v>
      </c>
      <c r="B52" s="506"/>
      <c r="C52" s="1577" t="str">
        <f>YEAR(C7)&amp;"-"&amp;MONTH(C7)</f>
        <v>2017-10</v>
      </c>
      <c r="D52" s="1578">
        <f>EDATE(C52,-1)</f>
        <v>42979</v>
      </c>
      <c r="E52" s="1578">
        <f t="shared" ref="E52:O52" si="16">EDATE(D52,-1)</f>
        <v>42948</v>
      </c>
      <c r="F52" s="1578">
        <f t="shared" si="16"/>
        <v>42917</v>
      </c>
      <c r="G52" s="1578">
        <f t="shared" si="16"/>
        <v>42887</v>
      </c>
      <c r="H52" s="1578">
        <f t="shared" si="16"/>
        <v>42856</v>
      </c>
      <c r="I52" s="1578">
        <f t="shared" si="16"/>
        <v>42826</v>
      </c>
      <c r="J52" s="1578">
        <f t="shared" si="16"/>
        <v>42795</v>
      </c>
      <c r="K52" s="1578">
        <f t="shared" si="16"/>
        <v>42767</v>
      </c>
      <c r="L52" s="1578">
        <f t="shared" si="16"/>
        <v>42736</v>
      </c>
      <c r="M52" s="1578">
        <f t="shared" si="16"/>
        <v>42705</v>
      </c>
      <c r="N52" s="1578">
        <f t="shared" si="16"/>
        <v>42675</v>
      </c>
      <c r="O52" s="1578">
        <f t="shared" si="16"/>
        <v>42644</v>
      </c>
      <c r="P52" s="507"/>
    </row>
    <row r="53" spans="1:17" s="116" customFormat="1" ht="15">
      <c r="A53" s="509"/>
      <c r="B53" s="510"/>
      <c r="C53" s="1576">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3"/>
      <c r="O55" s="1153"/>
      <c r="P55" s="526"/>
      <c r="Q55" s="504"/>
    </row>
    <row r="56" spans="1:17" s="116"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2589</v>
      </c>
      <c r="B57" s="528" t="s">
        <v>2555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6" customFormat="1" ht="15.75" thickTop="1">
      <c r="A80" s="579"/>
      <c r="B80" s="538">
        <f>B25</f>
        <v>111</v>
      </c>
      <c r="C80" s="554"/>
      <c r="D80" s="554"/>
      <c r="E80" s="554"/>
      <c r="F80" s="554"/>
      <c r="G80" s="554"/>
      <c r="H80" s="554"/>
      <c r="I80" s="554"/>
      <c r="J80" s="554"/>
      <c r="K80" s="554"/>
      <c r="L80" s="580"/>
      <c r="M80" s="581"/>
      <c r="N80" s="1153"/>
      <c r="O80" s="1153"/>
      <c r="P80" s="45"/>
      <c r="Q80" s="504"/>
    </row>
    <row r="81" spans="1:17" s="116" customFormat="1" ht="15.75" thickBot="1">
      <c r="A81" s="579"/>
      <c r="B81" s="543"/>
      <c r="C81" s="560"/>
      <c r="D81" s="536"/>
      <c r="E81" s="536"/>
      <c r="F81" s="536"/>
      <c r="G81" s="536"/>
      <c r="H81" s="536"/>
      <c r="I81" s="536"/>
      <c r="J81" s="536"/>
      <c r="K81" s="536"/>
      <c r="L81" s="536"/>
      <c r="M81" s="537"/>
      <c r="N81" s="1155"/>
      <c r="O81" s="1155"/>
      <c r="P81" s="45"/>
      <c r="Q81" s="504"/>
    </row>
    <row r="82" spans="1:17" s="116" customFormat="1" ht="15.75" thickTop="1">
      <c r="A82" s="579"/>
      <c r="B82" s="538">
        <f>B26</f>
        <v>111</v>
      </c>
      <c r="C82" s="554"/>
      <c r="D82" s="554"/>
      <c r="E82" s="554"/>
      <c r="F82" s="554"/>
      <c r="G82" s="554"/>
      <c r="H82" s="554"/>
      <c r="I82" s="554"/>
      <c r="J82" s="554"/>
      <c r="K82" s="554"/>
      <c r="L82" s="580"/>
      <c r="M82" s="581"/>
      <c r="N82" s="1153"/>
      <c r="O82" s="1153"/>
      <c r="P82" s="45"/>
      <c r="Q82" s="504"/>
    </row>
    <row r="83" spans="1:17" s="116"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2564</v>
      </c>
      <c r="B88" s="528" t="s">
        <v>2613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4" zoomScale="85" zoomScaleNormal="85" workbookViewId="0">
      <selection activeCell="N37" sqref="N37"/>
    </sheetView>
  </sheetViews>
  <sheetFormatPr defaultRowHeight="14.25"/>
  <cols>
    <col min="1" max="1" width="10.5" style="403" customWidth="1"/>
    <col min="2" max="2" width="15.75" style="403" customWidth="1"/>
    <col min="3" max="3" width="16.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t="s">
        <v>3079</v>
      </c>
      <c r="C1" s="1623" t="s">
        <v>2531</v>
      </c>
      <c r="D1" s="1624" t="s">
        <v>3093</v>
      </c>
      <c r="E1" s="1625"/>
      <c r="F1" s="2585" t="s">
        <v>3189</v>
      </c>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0">
        <f>IF(C2="——",IF(B37="元/平方米",ROUND(C39*D3/10000,0),ROUND(F3*C39/10000,0)),IF(B37="元/平方米",ROUND(C39*D3/10000,0),ROUND(F3*C39/10000,0))-D2)</f>
        <v>0</v>
      </c>
      <c r="C2" s="2587" t="s">
        <v>70</v>
      </c>
      <c r="D2" s="1126" t="e">
        <f ca="1">SUMIF(INDIRECT("'"&amp;F2&amp;"'"&amp;"!A:A"),"承租人权益价值",INDIRECT("'"&amp;F2&amp;"'"&amp;"!c:c"))</f>
        <v>#REF!</v>
      </c>
      <c r="E2" s="2588" t="s">
        <v>2332</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0</v>
      </c>
      <c r="C3" s="400" t="s">
        <v>2645</v>
      </c>
      <c r="D3" s="399">
        <f>SUMIF('数据-汇总表'!$C19:$C33,D1,'数据-汇总表'!$E19:$E33)</f>
        <v>24825.22</v>
      </c>
      <c r="E3" s="400" t="s">
        <v>2709</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2646</v>
      </c>
      <c r="B4" s="402"/>
      <c r="C4" s="3148" t="s">
        <v>2647</v>
      </c>
      <c r="D4" s="3161"/>
      <c r="E4" s="3162" t="s">
        <v>2648</v>
      </c>
      <c r="F4" s="3163"/>
      <c r="G4" s="3148" t="s">
        <v>2649</v>
      </c>
      <c r="H4" s="3161"/>
      <c r="I4" s="3148" t="s">
        <v>2650</v>
      </c>
      <c r="J4" s="3161"/>
      <c r="K4" s="610" t="s">
        <v>2651</v>
      </c>
      <c r="L4" s="1132"/>
      <c r="M4" s="1133"/>
      <c r="N4" s="1133"/>
      <c r="O4" s="1133"/>
      <c r="P4" s="3164" t="s">
        <v>2652</v>
      </c>
      <c r="Q4" s="3165"/>
      <c r="R4" s="3170" t="s">
        <v>2648</v>
      </c>
      <c r="S4" s="3171"/>
      <c r="T4" s="3170" t="s">
        <v>2649</v>
      </c>
      <c r="U4" s="3171"/>
      <c r="V4" s="3157" t="s">
        <v>2650</v>
      </c>
      <c r="W4" s="3157"/>
      <c r="X4" s="1816"/>
      <c r="Y4" s="3170" t="s">
        <v>2652</v>
      </c>
      <c r="Z4" s="3171"/>
      <c r="AA4" s="3158" t="s">
        <v>2648</v>
      </c>
      <c r="AB4" s="3159" t="s">
        <v>2649</v>
      </c>
      <c r="AC4" s="3158" t="s">
        <v>2650</v>
      </c>
    </row>
    <row r="5" spans="1:29" ht="15">
      <c r="A5" s="404"/>
      <c r="B5" s="405"/>
      <c r="C5" s="3222" t="str">
        <f>'土地比较法-住宅、综合'!C5:D5</f>
        <v>陕西省西安市新城区华清西路以南、金花北路以西</v>
      </c>
      <c r="D5" s="3179"/>
      <c r="E5" s="3185" t="s">
        <v>3153</v>
      </c>
      <c r="F5" s="3186"/>
      <c r="G5" s="3178" t="s">
        <v>3206</v>
      </c>
      <c r="H5" s="3179"/>
      <c r="I5" s="3178" t="s">
        <v>3208</v>
      </c>
      <c r="J5" s="3179"/>
      <c r="K5" s="610"/>
      <c r="L5" s="1132"/>
      <c r="M5" s="1133"/>
      <c r="N5" s="1133"/>
      <c r="O5" s="1133"/>
      <c r="P5" s="3166"/>
      <c r="Q5" s="3167"/>
      <c r="R5" s="3172"/>
      <c r="S5" s="3173"/>
      <c r="T5" s="3172"/>
      <c r="U5" s="3173"/>
      <c r="V5" s="3157"/>
      <c r="W5" s="3157"/>
      <c r="X5" s="1816"/>
      <c r="Y5" s="3172"/>
      <c r="Z5" s="3173"/>
      <c r="AA5" s="3159"/>
      <c r="AB5" s="3159"/>
      <c r="AC5" s="3159"/>
    </row>
    <row r="6" spans="1:29" ht="15.75" thickBot="1">
      <c r="A6" s="406"/>
      <c r="B6" s="407"/>
      <c r="C6" s="3223" t="str">
        <f>'土地比较法-住宅、综合'!C6:D6</f>
        <v>陕西省西安市新城区华清西路以南、金花北路以西</v>
      </c>
      <c r="D6" s="3177"/>
      <c r="E6" s="3183" t="s">
        <v>3154</v>
      </c>
      <c r="F6" s="3184"/>
      <c r="G6" s="3176" t="s">
        <v>3207</v>
      </c>
      <c r="H6" s="3177"/>
      <c r="I6" s="3176" t="s">
        <v>3209</v>
      </c>
      <c r="J6" s="3177"/>
      <c r="K6" s="610" t="s">
        <v>2548</v>
      </c>
      <c r="L6" s="1132"/>
      <c r="M6" s="1133"/>
      <c r="N6" s="1133"/>
      <c r="O6" s="1133"/>
      <c r="P6" s="3168"/>
      <c r="Q6" s="3169"/>
      <c r="R6" s="3172"/>
      <c r="S6" s="3173"/>
      <c r="T6" s="3174"/>
      <c r="U6" s="3175"/>
      <c r="V6" s="3157"/>
      <c r="W6" s="3157"/>
      <c r="X6" s="1816"/>
      <c r="Y6" s="3174"/>
      <c r="Z6" s="3175"/>
      <c r="AA6" s="3160"/>
      <c r="AB6" s="3160"/>
      <c r="AC6" s="3160"/>
    </row>
    <row r="7" spans="1:29" s="116" customFormat="1" ht="15.75" thickBot="1">
      <c r="A7" s="408" t="s">
        <v>2549</v>
      </c>
      <c r="B7" s="409"/>
      <c r="C7" s="410">
        <f>'数据-取费表'!B2</f>
        <v>43025</v>
      </c>
      <c r="D7" s="411">
        <v>100</v>
      </c>
      <c r="E7" s="412">
        <f>C7</f>
        <v>43025</v>
      </c>
      <c r="F7" s="413">
        <f>SUMIF(48:48,YEAR(E7)&amp;"-"&amp;MONTH(E7),49:49)</f>
        <v>100</v>
      </c>
      <c r="G7" s="412">
        <f>C7</f>
        <v>43025</v>
      </c>
      <c r="H7" s="411">
        <f>SUMIF(48:48,YEAR(G7)&amp;"-"&amp;MONTH(G7),49:49)</f>
        <v>100</v>
      </c>
      <c r="I7" s="412">
        <f>C7</f>
        <v>43025</v>
      </c>
      <c r="J7" s="411">
        <f>SUMIF(48:48,YEAR(I7)&amp;"-"&amp;MONTH(I7),49:49)</f>
        <v>100</v>
      </c>
      <c r="K7" s="611"/>
      <c r="L7" s="1134"/>
      <c r="M7" s="1135"/>
      <c r="N7" s="1135"/>
      <c r="O7" s="1135"/>
      <c r="P7" s="3180" t="s">
        <v>2550</v>
      </c>
      <c r="Q7" s="3182"/>
      <c r="R7" s="770" t="s">
        <v>17</v>
      </c>
      <c r="S7" s="771">
        <f t="shared" ref="S7:S14" si="0">F7</f>
        <v>100</v>
      </c>
      <c r="T7" s="770" t="s">
        <v>17</v>
      </c>
      <c r="U7" s="771">
        <f t="shared" ref="U7:U14" si="1">H7</f>
        <v>100</v>
      </c>
      <c r="V7" s="770" t="s">
        <v>17</v>
      </c>
      <c r="W7" s="771">
        <f t="shared" ref="W7:W14" si="2">J7</f>
        <v>100</v>
      </c>
      <c r="X7" s="772"/>
      <c r="Y7" s="3180" t="s">
        <v>2550</v>
      </c>
      <c r="Z7" s="3181"/>
      <c r="AA7" s="773">
        <f>D7/F7</f>
        <v>1</v>
      </c>
      <c r="AB7" s="773">
        <f>D7/H7</f>
        <v>1</v>
      </c>
      <c r="AC7" s="773">
        <f>D7/J7</f>
        <v>1</v>
      </c>
    </row>
    <row r="8" spans="1:29" s="116" customFormat="1" ht="15.75" thickBot="1">
      <c r="A8" s="408" t="s">
        <v>2551</v>
      </c>
      <c r="B8" s="409"/>
      <c r="C8" s="414" t="s">
        <v>2653</v>
      </c>
      <c r="D8" s="411">
        <v>100</v>
      </c>
      <c r="E8" s="414" t="s">
        <v>3105</v>
      </c>
      <c r="F8" s="413">
        <f>SUMIF(51:51,E8,52:52)-SUMIF(51:51,C8,52:52)+100</f>
        <v>100</v>
      </c>
      <c r="G8" s="414" t="s">
        <v>3105</v>
      </c>
      <c r="H8" s="411">
        <f>SUMIF(51:51,G8,52:52)-SUMIF(51:51,C8,52:52)+100</f>
        <v>100</v>
      </c>
      <c r="I8" s="414" t="s">
        <v>3105</v>
      </c>
      <c r="J8" s="411">
        <f>SUMIF(51:51,I8,52:52)-SUMIF(51:51,C8,52:52)+100</f>
        <v>100</v>
      </c>
      <c r="K8" s="611"/>
      <c r="L8" s="1134"/>
      <c r="M8" s="1135"/>
      <c r="N8" s="1135"/>
      <c r="O8" s="1135"/>
      <c r="P8" s="3180" t="s">
        <v>2553</v>
      </c>
      <c r="Q8" s="3181"/>
      <c r="R8" s="770" t="s">
        <v>17</v>
      </c>
      <c r="S8" s="771">
        <f t="shared" si="0"/>
        <v>100</v>
      </c>
      <c r="T8" s="770" t="s">
        <v>17</v>
      </c>
      <c r="U8" s="771">
        <f t="shared" si="1"/>
        <v>100</v>
      </c>
      <c r="V8" s="770" t="s">
        <v>17</v>
      </c>
      <c r="W8" s="771">
        <f t="shared" si="2"/>
        <v>100</v>
      </c>
      <c r="X8" s="772"/>
      <c r="Y8" s="3180" t="s">
        <v>2553</v>
      </c>
      <c r="Z8" s="3181"/>
      <c r="AA8" s="773">
        <f t="shared" ref="AA8:AA36" si="3">D8/F8</f>
        <v>1</v>
      </c>
      <c r="AB8" s="773">
        <f t="shared" ref="AB8:AB36" si="4">D8/H8</f>
        <v>1</v>
      </c>
      <c r="AC8" s="773">
        <f t="shared" ref="AC8:AC36" si="5">D8/J8</f>
        <v>1</v>
      </c>
    </row>
    <row r="9" spans="1:29" s="116" customFormat="1">
      <c r="A9" s="67" t="s">
        <v>2554</v>
      </c>
      <c r="B9" s="640" t="s">
        <v>2555</v>
      </c>
      <c r="C9" s="2953" t="s">
        <v>3190</v>
      </c>
      <c r="D9" s="134">
        <v>100</v>
      </c>
      <c r="E9" s="419" t="s">
        <v>48</v>
      </c>
      <c r="F9" s="134">
        <f>SUMIF(53:53,E9,54:54)-SUMIF(53:53,C9,54:54)+100</f>
        <v>100</v>
      </c>
      <c r="G9" s="417" t="s">
        <v>48</v>
      </c>
      <c r="H9" s="134">
        <f>SUMIF(53:53,G9,54:54)-SUMIF(53:53,C9,54:54)+100</f>
        <v>100</v>
      </c>
      <c r="I9" s="417" t="s">
        <v>48</v>
      </c>
      <c r="J9" s="134">
        <f>SUMIF(53:53,I9,54:54)-SUMIF(53:53,C9,54:54)+100</f>
        <v>100</v>
      </c>
      <c r="K9" s="611"/>
      <c r="L9" s="1134"/>
      <c r="M9" s="1135"/>
      <c r="N9" s="1135"/>
      <c r="O9" s="1135"/>
      <c r="P9" s="3151" t="s">
        <v>2556</v>
      </c>
      <c r="Q9" s="1798" t="str">
        <f t="shared" ref="Q9:Q14" si="6">B9</f>
        <v>用途</v>
      </c>
      <c r="R9" s="770" t="s">
        <v>17</v>
      </c>
      <c r="S9" s="771">
        <f t="shared" si="0"/>
        <v>100</v>
      </c>
      <c r="T9" s="770" t="s">
        <v>17</v>
      </c>
      <c r="U9" s="771">
        <f t="shared" si="1"/>
        <v>100</v>
      </c>
      <c r="V9" s="770" t="s">
        <v>17</v>
      </c>
      <c r="W9" s="771">
        <f t="shared" si="2"/>
        <v>100</v>
      </c>
      <c r="X9" s="772"/>
      <c r="Y9" s="2999" t="s">
        <v>2557</v>
      </c>
      <c r="Z9" s="55" t="str">
        <f t="shared" ref="Z9:Z14" si="7">Q9</f>
        <v>用途</v>
      </c>
      <c r="AA9" s="773">
        <f t="shared" si="3"/>
        <v>1</v>
      </c>
      <c r="AB9" s="773">
        <f t="shared" si="4"/>
        <v>1</v>
      </c>
      <c r="AC9" s="773">
        <f t="shared" si="5"/>
        <v>1</v>
      </c>
    </row>
    <row r="10" spans="1:29" s="427" customFormat="1" ht="27.75" thickBot="1">
      <c r="A10" s="641"/>
      <c r="B10" s="642" t="s">
        <v>2558</v>
      </c>
      <c r="C10" s="423" t="s">
        <v>3191</v>
      </c>
      <c r="D10" s="135">
        <v>100</v>
      </c>
      <c r="E10" s="423" t="s">
        <v>3191</v>
      </c>
      <c r="F10" s="135">
        <f>SUMIF(55:55,E10,56:56)-SUMIF(55:55,C10,56:56)+100</f>
        <v>100</v>
      </c>
      <c r="G10" s="424" t="s">
        <v>3191</v>
      </c>
      <c r="H10" s="135">
        <f>SUMIF(55:55,G10,56:56)-SUMIF(55:55,C10,56:56)+100</f>
        <v>100</v>
      </c>
      <c r="I10" s="423" t="s">
        <v>3191</v>
      </c>
      <c r="J10" s="135">
        <f>SUMIF(55:55,I10,56:56)-SUMIF(55:55,C10,56:56)+100</f>
        <v>100</v>
      </c>
      <c r="K10" s="612"/>
      <c r="L10" s="1137"/>
      <c r="M10" s="1138"/>
      <c r="N10" s="1138"/>
      <c r="O10" s="1138"/>
      <c r="P10" s="3151"/>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hidden="1">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0"/>
      <c r="M11" s="1133"/>
      <c r="N11" s="1133"/>
      <c r="O11" s="1133"/>
      <c r="P11" s="3151"/>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6" customFormat="1" ht="15" hidden="1">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4"/>
      <c r="M12" s="1135"/>
      <c r="N12" s="1135"/>
      <c r="O12" s="1135"/>
      <c r="P12" s="3151"/>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hidden="1"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2"/>
      <c r="M13" s="1133"/>
      <c r="N13" s="1133"/>
      <c r="O13" s="1133"/>
      <c r="P13" s="3151"/>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71.25">
      <c r="A14" s="401" t="s">
        <v>2560</v>
      </c>
      <c r="B14" s="629" t="s">
        <v>2710</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53" t="s">
        <v>2561</v>
      </c>
      <c r="Q14" s="1813" t="str">
        <f t="shared" si="6"/>
        <v>交通便捷度</v>
      </c>
      <c r="R14" s="774" t="s">
        <v>17</v>
      </c>
      <c r="S14" s="775">
        <f t="shared" si="0"/>
        <v>100</v>
      </c>
      <c r="T14" s="774" t="s">
        <v>17</v>
      </c>
      <c r="U14" s="775">
        <f t="shared" si="1"/>
        <v>100</v>
      </c>
      <c r="V14" s="774" t="s">
        <v>17</v>
      </c>
      <c r="W14" s="775">
        <f t="shared" si="2"/>
        <v>100</v>
      </c>
      <c r="X14" s="1816"/>
      <c r="Y14" s="3153" t="s">
        <v>2561</v>
      </c>
      <c r="Z14" s="1817" t="str">
        <f t="shared" si="7"/>
        <v>交通便捷度</v>
      </c>
      <c r="AA14" s="1814">
        <f t="shared" si="3"/>
        <v>1</v>
      </c>
      <c r="AB14" s="1814">
        <f t="shared" si="4"/>
        <v>1</v>
      </c>
      <c r="AC14" s="1814">
        <f t="shared" si="5"/>
        <v>1</v>
      </c>
    </row>
    <row r="15" spans="1:29" ht="15">
      <c r="A15" s="404"/>
      <c r="B15" s="647"/>
      <c r="C15" s="447" t="s">
        <v>3109</v>
      </c>
      <c r="D15" s="448"/>
      <c r="E15" s="447" t="s">
        <v>3109</v>
      </c>
      <c r="F15" s="449"/>
      <c r="G15" s="447" t="s">
        <v>3109</v>
      </c>
      <c r="H15" s="450"/>
      <c r="I15" s="447" t="s">
        <v>3109</v>
      </c>
      <c r="J15" s="448"/>
      <c r="K15" s="615"/>
      <c r="L15" s="1142"/>
      <c r="M15" s="1133"/>
      <c r="N15" s="1133"/>
      <c r="O15" s="1133"/>
      <c r="P15" s="3154"/>
      <c r="Q15" s="1813"/>
      <c r="R15" s="774"/>
      <c r="S15" s="775"/>
      <c r="T15" s="774"/>
      <c r="U15" s="775"/>
      <c r="V15" s="774"/>
      <c r="W15" s="775"/>
      <c r="X15" s="1816"/>
      <c r="Y15" s="3154"/>
      <c r="Z15" s="1817"/>
      <c r="AA15" s="1814">
        <v>1</v>
      </c>
      <c r="AB15" s="1814">
        <v>1</v>
      </c>
      <c r="AC15" s="1814">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54"/>
      <c r="Q16" s="1813" t="str">
        <f>B16</f>
        <v>公共配套设施</v>
      </c>
      <c r="R16" s="774" t="s">
        <v>17</v>
      </c>
      <c r="S16" s="775">
        <f>F16</f>
        <v>100</v>
      </c>
      <c r="T16" s="774" t="s">
        <v>17</v>
      </c>
      <c r="U16" s="775">
        <f>H16</f>
        <v>100</v>
      </c>
      <c r="V16" s="774" t="s">
        <v>17</v>
      </c>
      <c r="W16" s="775">
        <f>J16</f>
        <v>100</v>
      </c>
      <c r="X16" s="1816"/>
      <c r="Y16" s="3154"/>
      <c r="Z16" s="1817" t="str">
        <f>Q16</f>
        <v>公共配套设施</v>
      </c>
      <c r="AA16" s="1814">
        <f t="shared" si="3"/>
        <v>1</v>
      </c>
      <c r="AB16" s="1814">
        <f t="shared" si="4"/>
        <v>1</v>
      </c>
      <c r="AC16" s="1814">
        <f t="shared" si="5"/>
        <v>1</v>
      </c>
    </row>
    <row r="17" spans="1:29" ht="15">
      <c r="A17" s="404"/>
      <c r="B17" s="632"/>
      <c r="C17" s="2609" t="s">
        <v>3108</v>
      </c>
      <c r="D17" s="448"/>
      <c r="E17" s="447" t="s">
        <v>3108</v>
      </c>
      <c r="F17" s="449"/>
      <c r="G17" s="447" t="s">
        <v>3108</v>
      </c>
      <c r="H17" s="448"/>
      <c r="I17" s="447" t="s">
        <v>3108</v>
      </c>
      <c r="J17" s="448"/>
      <c r="K17" s="615"/>
      <c r="L17" s="1142"/>
      <c r="M17" s="1133"/>
      <c r="N17" s="1133"/>
      <c r="O17" s="1133"/>
      <c r="P17" s="3154"/>
      <c r="Q17" s="1813"/>
      <c r="R17" s="774"/>
      <c r="S17" s="775"/>
      <c r="T17" s="774"/>
      <c r="U17" s="775"/>
      <c r="V17" s="774"/>
      <c r="W17" s="775"/>
      <c r="X17" s="1816"/>
      <c r="Y17" s="3154"/>
      <c r="Z17" s="1817"/>
      <c r="AA17" s="1814">
        <v>1</v>
      </c>
      <c r="AB17" s="1814">
        <v>1</v>
      </c>
      <c r="AC17" s="1814">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54"/>
      <c r="Q18" s="1813" t="str">
        <f>B18</f>
        <v>基础设施水平</v>
      </c>
      <c r="R18" s="774" t="s">
        <v>17</v>
      </c>
      <c r="S18" s="775">
        <f>F18</f>
        <v>100</v>
      </c>
      <c r="T18" s="774" t="s">
        <v>17</v>
      </c>
      <c r="U18" s="775">
        <f>H18</f>
        <v>100</v>
      </c>
      <c r="V18" s="774" t="s">
        <v>17</v>
      </c>
      <c r="W18" s="775">
        <f>J18</f>
        <v>100</v>
      </c>
      <c r="X18" s="1816"/>
      <c r="Y18" s="3154"/>
      <c r="Z18" s="1817" t="str">
        <f>Q18</f>
        <v>基础设施水平</v>
      </c>
      <c r="AA18" s="1814">
        <f t="shared" ref="AA18" si="8">D18/F18</f>
        <v>1</v>
      </c>
      <c r="AB18" s="1814">
        <f t="shared" ref="AB18" si="9">D18/H18</f>
        <v>1</v>
      </c>
      <c r="AC18" s="1814">
        <f t="shared" ref="AC18" si="10">D18/J18</f>
        <v>1</v>
      </c>
    </row>
    <row r="19" spans="1:29" ht="15">
      <c r="A19" s="404"/>
      <c r="B19" s="633"/>
      <c r="C19" s="2609" t="s">
        <v>3110</v>
      </c>
      <c r="D19" s="450"/>
      <c r="E19" s="2609" t="s">
        <v>3110</v>
      </c>
      <c r="F19" s="453"/>
      <c r="G19" s="2609" t="s">
        <v>3110</v>
      </c>
      <c r="H19" s="448"/>
      <c r="I19" s="447" t="s">
        <v>3110</v>
      </c>
      <c r="J19" s="448"/>
      <c r="K19" s="1385"/>
      <c r="L19" s="1142"/>
      <c r="M19" s="1133"/>
      <c r="N19" s="1133"/>
      <c r="O19" s="1133"/>
      <c r="P19" s="3154"/>
      <c r="Q19" s="1813"/>
      <c r="R19" s="774"/>
      <c r="S19" s="775"/>
      <c r="T19" s="774"/>
      <c r="U19" s="775"/>
      <c r="V19" s="774"/>
      <c r="W19" s="775"/>
      <c r="X19" s="1816"/>
      <c r="Y19" s="3154"/>
      <c r="Z19" s="1817"/>
      <c r="AA19" s="1814">
        <v>1</v>
      </c>
      <c r="AB19" s="1814">
        <v>1</v>
      </c>
      <c r="AC19" s="1814">
        <v>1</v>
      </c>
    </row>
    <row r="20" spans="1:29" ht="42.75">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54"/>
      <c r="Q20" s="1813" t="str">
        <f>B20</f>
        <v>自然及人文环境</v>
      </c>
      <c r="R20" s="774" t="s">
        <v>17</v>
      </c>
      <c r="S20" s="775">
        <f>F20</f>
        <v>100</v>
      </c>
      <c r="T20" s="774" t="s">
        <v>17</v>
      </c>
      <c r="U20" s="775">
        <f>H20</f>
        <v>100</v>
      </c>
      <c r="V20" s="774" t="s">
        <v>17</v>
      </c>
      <c r="W20" s="775">
        <f>J20</f>
        <v>100</v>
      </c>
      <c r="X20" s="1816"/>
      <c r="Y20" s="3154"/>
      <c r="Z20" s="1817" t="str">
        <f>Q20</f>
        <v>自然及人文环境</v>
      </c>
      <c r="AA20" s="1814">
        <f t="shared" si="3"/>
        <v>1</v>
      </c>
      <c r="AB20" s="1814">
        <f t="shared" si="4"/>
        <v>1</v>
      </c>
      <c r="AC20" s="1814">
        <f t="shared" si="5"/>
        <v>1</v>
      </c>
    </row>
    <row r="21" spans="1:29" ht="15.75" thickBot="1">
      <c r="A21" s="404"/>
      <c r="B21" s="632"/>
      <c r="C21" s="447" t="s">
        <v>3109</v>
      </c>
      <c r="D21" s="448"/>
      <c r="E21" s="447" t="s">
        <v>3109</v>
      </c>
      <c r="F21" s="449"/>
      <c r="G21" s="447" t="s">
        <v>3109</v>
      </c>
      <c r="H21" s="448"/>
      <c r="I21" s="447" t="s">
        <v>3108</v>
      </c>
      <c r="J21" s="448"/>
      <c r="K21" s="615"/>
      <c r="L21" s="1142"/>
      <c r="M21" s="1133"/>
      <c r="N21" s="1133"/>
      <c r="O21" s="1133"/>
      <c r="P21" s="3154"/>
      <c r="Q21" s="1813"/>
      <c r="R21" s="774"/>
      <c r="S21" s="775"/>
      <c r="T21" s="774"/>
      <c r="U21" s="775"/>
      <c r="V21" s="774"/>
      <c r="W21" s="775"/>
      <c r="X21" s="1816"/>
      <c r="Y21" s="3154"/>
      <c r="Z21" s="1817"/>
      <c r="AA21" s="1814">
        <v>1</v>
      </c>
      <c r="AB21" s="1814">
        <v>1</v>
      </c>
      <c r="AC21" s="1814">
        <v>1</v>
      </c>
    </row>
    <row r="22" spans="1:29" ht="15.75" hidden="1" thickBot="1">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54"/>
      <c r="Q22" s="1813" t="str">
        <f>B22</f>
        <v>楼层</v>
      </c>
      <c r="R22" s="774" t="s">
        <v>17</v>
      </c>
      <c r="S22" s="775">
        <f>F22</f>
        <v>100</v>
      </c>
      <c r="T22" s="774" t="s">
        <v>17</v>
      </c>
      <c r="U22" s="775">
        <f>H22</f>
        <v>100</v>
      </c>
      <c r="V22" s="774" t="s">
        <v>17</v>
      </c>
      <c r="W22" s="775">
        <f>J22</f>
        <v>100</v>
      </c>
      <c r="X22" s="1816"/>
      <c r="Y22" s="3154"/>
      <c r="Z22" s="1817" t="str">
        <f>Q22</f>
        <v>楼层</v>
      </c>
      <c r="AA22" s="1814">
        <f t="shared" si="3"/>
        <v>1</v>
      </c>
      <c r="AB22" s="1814">
        <f t="shared" si="4"/>
        <v>1</v>
      </c>
      <c r="AC22" s="1814">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54"/>
      <c r="Q23" s="1813">
        <f>B23</f>
        <v>111</v>
      </c>
      <c r="R23" s="774" t="s">
        <v>17</v>
      </c>
      <c r="S23" s="775">
        <f>F23</f>
        <v>100</v>
      </c>
      <c r="T23" s="774" t="s">
        <v>17</v>
      </c>
      <c r="U23" s="775">
        <f>H23</f>
        <v>100</v>
      </c>
      <c r="V23" s="774" t="s">
        <v>17</v>
      </c>
      <c r="W23" s="775">
        <f>J23</f>
        <v>100</v>
      </c>
      <c r="X23" s="1816"/>
      <c r="Y23" s="3154"/>
      <c r="Z23" s="1817">
        <f>Q23</f>
        <v>111</v>
      </c>
      <c r="AA23" s="1814">
        <f t="shared" si="3"/>
        <v>1</v>
      </c>
      <c r="AB23" s="1814">
        <f t="shared" si="4"/>
        <v>1</v>
      </c>
      <c r="AC23" s="1814">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54"/>
      <c r="Q24" s="1813">
        <f t="shared" ref="Q24:Q36" si="11">B24</f>
        <v>111</v>
      </c>
      <c r="R24" s="774" t="s">
        <v>17</v>
      </c>
      <c r="S24" s="775">
        <f>F24</f>
        <v>100</v>
      </c>
      <c r="T24" s="774" t="s">
        <v>17</v>
      </c>
      <c r="U24" s="775">
        <f>H24</f>
        <v>100</v>
      </c>
      <c r="V24" s="774" t="s">
        <v>17</v>
      </c>
      <c r="W24" s="775">
        <f>J24</f>
        <v>100</v>
      </c>
      <c r="X24" s="1816"/>
      <c r="Y24" s="3154"/>
      <c r="Z24" s="1817">
        <f>Q24</f>
        <v>111</v>
      </c>
      <c r="AA24" s="1814">
        <f t="shared" si="3"/>
        <v>1</v>
      </c>
      <c r="AB24" s="1814">
        <f t="shared" si="4"/>
        <v>1</v>
      </c>
      <c r="AC24" s="1814">
        <f t="shared" si="5"/>
        <v>1</v>
      </c>
    </row>
    <row r="25" spans="1:29" s="116"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54"/>
      <c r="Q25" s="1798">
        <f t="shared" si="11"/>
        <v>111</v>
      </c>
      <c r="R25" s="770" t="s">
        <v>17</v>
      </c>
      <c r="S25" s="771">
        <f>F25</f>
        <v>100</v>
      </c>
      <c r="T25" s="770" t="s">
        <v>17</v>
      </c>
      <c r="U25" s="771">
        <f>H25</f>
        <v>100</v>
      </c>
      <c r="V25" s="770" t="s">
        <v>17</v>
      </c>
      <c r="W25" s="771">
        <f>J25</f>
        <v>100</v>
      </c>
      <c r="X25" s="772"/>
      <c r="Y25" s="3154"/>
      <c r="Z25" s="55">
        <f>Q25</f>
        <v>111</v>
      </c>
      <c r="AA25" s="1814">
        <f>D25/F25</f>
        <v>1</v>
      </c>
      <c r="AB25" s="1814">
        <f>D25/H25</f>
        <v>1</v>
      </c>
      <c r="AC25" s="1814">
        <f>D25/J25</f>
        <v>1</v>
      </c>
    </row>
    <row r="26" spans="1:29" ht="15">
      <c r="A26" s="652" t="s">
        <v>2564</v>
      </c>
      <c r="B26" s="69" t="s">
        <v>2713</v>
      </c>
      <c r="C26" s="2695" t="str">
        <f>B1</f>
        <v>车库</v>
      </c>
      <c r="D26" s="448">
        <v>100</v>
      </c>
      <c r="E26" s="447" t="s">
        <v>3076</v>
      </c>
      <c r="F26" s="449">
        <f>SUMIF(79:79,E26,80:80)-SUMIF(79:79,C26,80:80)+100</f>
        <v>100</v>
      </c>
      <c r="G26" s="447" t="s">
        <v>3076</v>
      </c>
      <c r="H26" s="448">
        <f>SUMIF(79:79,G26,80:80)-SUMIF(79:79,C26,80:80)+100</f>
        <v>100</v>
      </c>
      <c r="I26" s="447" t="s">
        <v>3076</v>
      </c>
      <c r="J26" s="448">
        <f>SUMIF(79:79,I26,80:80)-SUMIF(79:79,C26,80:80)+100</f>
        <v>100</v>
      </c>
      <c r="K26" s="612"/>
      <c r="L26" s="1142"/>
      <c r="M26" s="1133"/>
      <c r="N26" s="1133"/>
      <c r="O26" s="1133"/>
      <c r="P26" s="3155"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56" t="s">
        <v>2566</v>
      </c>
      <c r="Z26" s="1817" t="str">
        <f t="shared" ref="Z26:Z36" si="15">Q26</f>
        <v>配套类型</v>
      </c>
      <c r="AA26" s="1814">
        <f t="shared" si="3"/>
        <v>1</v>
      </c>
      <c r="AB26" s="1814">
        <f t="shared" si="4"/>
        <v>1</v>
      </c>
      <c r="AC26" s="1814">
        <f t="shared" si="5"/>
        <v>1</v>
      </c>
    </row>
    <row r="27" spans="1:29" s="471" customFormat="1" ht="15">
      <c r="A27" s="653"/>
      <c r="B27" s="654" t="s">
        <v>2714</v>
      </c>
      <c r="C27" s="655" t="s">
        <v>3195</v>
      </c>
      <c r="D27" s="135">
        <v>100</v>
      </c>
      <c r="E27" s="655" t="s">
        <v>3210</v>
      </c>
      <c r="F27" s="461">
        <f>SUMIF(81:81,E27,82:82)-SUMIF(81:81,C27,82:82)+100</f>
        <v>98</v>
      </c>
      <c r="G27" s="655" t="s">
        <v>3195</v>
      </c>
      <c r="H27" s="435">
        <f>SUMIF(81:81,G27,82:82)-SUMIF(81:81,C27,82:82)+100</f>
        <v>100</v>
      </c>
      <c r="I27" s="655" t="s">
        <v>3211</v>
      </c>
      <c r="J27" s="435">
        <f>SUMIF(81:81,I27,82:82)-SUMIF(81:81,C27,82:82)+100</f>
        <v>99</v>
      </c>
      <c r="K27" s="613"/>
      <c r="L27" s="1140"/>
      <c r="M27" s="1143"/>
      <c r="N27" s="1143"/>
      <c r="O27" s="1143"/>
      <c r="P27" s="3156"/>
      <c r="Q27" s="776" t="str">
        <f t="shared" si="11"/>
        <v>项目停车位配比</v>
      </c>
      <c r="R27" s="777" t="s">
        <v>17</v>
      </c>
      <c r="S27" s="778">
        <f t="shared" si="12"/>
        <v>98</v>
      </c>
      <c r="T27" s="777" t="s">
        <v>17</v>
      </c>
      <c r="U27" s="778">
        <f t="shared" si="13"/>
        <v>100</v>
      </c>
      <c r="V27" s="777" t="s">
        <v>17</v>
      </c>
      <c r="W27" s="778">
        <f t="shared" si="14"/>
        <v>99</v>
      </c>
      <c r="X27" s="779"/>
      <c r="Y27" s="3156"/>
      <c r="Z27" s="780" t="str">
        <f t="shared" si="15"/>
        <v>项目停车位配比</v>
      </c>
      <c r="AA27" s="1814">
        <f t="shared" si="3"/>
        <v>1.0204081632653061</v>
      </c>
      <c r="AB27" s="1814">
        <f t="shared" si="4"/>
        <v>1</v>
      </c>
      <c r="AC27" s="1814">
        <f t="shared" si="5"/>
        <v>1.0101010101010102</v>
      </c>
    </row>
    <row r="28" spans="1:29" ht="15">
      <c r="A28" s="656"/>
      <c r="B28" s="654" t="s">
        <v>2715</v>
      </c>
      <c r="C28" s="460" t="s">
        <v>3175</v>
      </c>
      <c r="D28" s="435">
        <v>100</v>
      </c>
      <c r="E28" s="460" t="s">
        <v>3175</v>
      </c>
      <c r="F28" s="461">
        <f>SUMIF(83:83,E28,84:84)-SUMIF(83:83,C28,84:84)+100</f>
        <v>100</v>
      </c>
      <c r="G28" s="460" t="s">
        <v>3175</v>
      </c>
      <c r="H28" s="435">
        <f>SUMIF(83:83,G28,84:84)-SUMIF(83:83,C28,84:84)+100</f>
        <v>100</v>
      </c>
      <c r="I28" s="460" t="s">
        <v>3175</v>
      </c>
      <c r="J28" s="435">
        <f>SUMIF(83:83,I28,84:84)-SUMIF(83:83,C28,84:84)+100</f>
        <v>100</v>
      </c>
      <c r="K28" s="612">
        <v>3</v>
      </c>
      <c r="L28" s="1142"/>
      <c r="M28" s="1133"/>
      <c r="N28" s="1133"/>
      <c r="O28" s="1133"/>
      <c r="P28" s="3156"/>
      <c r="Q28" s="1813" t="str">
        <f t="shared" si="11"/>
        <v>公共部分装修</v>
      </c>
      <c r="R28" s="774" t="s">
        <v>17</v>
      </c>
      <c r="S28" s="775">
        <f t="shared" si="12"/>
        <v>100</v>
      </c>
      <c r="T28" s="774" t="s">
        <v>17</v>
      </c>
      <c r="U28" s="775">
        <f t="shared" si="13"/>
        <v>100</v>
      </c>
      <c r="V28" s="774" t="s">
        <v>17</v>
      </c>
      <c r="W28" s="775">
        <f t="shared" si="14"/>
        <v>100</v>
      </c>
      <c r="X28" s="1816"/>
      <c r="Y28" s="3156"/>
      <c r="Z28" s="1817" t="str">
        <f t="shared" si="15"/>
        <v>公共部分装修</v>
      </c>
      <c r="AA28" s="1814">
        <f t="shared" si="3"/>
        <v>1</v>
      </c>
      <c r="AB28" s="1814">
        <f t="shared" si="4"/>
        <v>1</v>
      </c>
      <c r="AC28" s="1814">
        <f t="shared" si="5"/>
        <v>1</v>
      </c>
    </row>
    <row r="29" spans="1:29" ht="15" hidden="1">
      <c r="A29" s="656"/>
      <c r="B29" s="654" t="s">
        <v>2716</v>
      </c>
      <c r="C29" s="469">
        <v>100</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42"/>
      <c r="M29" s="1133"/>
      <c r="N29" s="1133"/>
      <c r="O29" s="1133"/>
      <c r="P29" s="3156"/>
      <c r="Q29" s="1813" t="str">
        <f t="shared" si="11"/>
        <v>成新率</v>
      </c>
      <c r="R29" s="774" t="s">
        <v>17</v>
      </c>
      <c r="S29" s="775">
        <f t="shared" si="12"/>
        <v>100</v>
      </c>
      <c r="T29" s="774" t="s">
        <v>17</v>
      </c>
      <c r="U29" s="775">
        <f t="shared" si="13"/>
        <v>100</v>
      </c>
      <c r="V29" s="774" t="s">
        <v>17</v>
      </c>
      <c r="W29" s="775">
        <f t="shared" si="14"/>
        <v>100</v>
      </c>
      <c r="X29" s="1816"/>
      <c r="Y29" s="3156"/>
      <c r="Z29" s="1817" t="str">
        <f t="shared" si="15"/>
        <v>成新率</v>
      </c>
      <c r="AA29" s="1814">
        <f t="shared" si="3"/>
        <v>1</v>
      </c>
      <c r="AB29" s="1814">
        <f t="shared" si="4"/>
        <v>1</v>
      </c>
      <c r="AC29" s="1814">
        <f t="shared" si="5"/>
        <v>1</v>
      </c>
    </row>
    <row r="30" spans="1:29" ht="15">
      <c r="A30" s="656"/>
      <c r="B30" s="654" t="s">
        <v>2717</v>
      </c>
      <c r="C30" s="657" t="s">
        <v>3178</v>
      </c>
      <c r="D30" s="435">
        <v>100</v>
      </c>
      <c r="E30" s="657" t="s">
        <v>3178</v>
      </c>
      <c r="F30" s="461">
        <f>SUMIF(88:88,E30,89:89)-SUMIF(88:88,C30,89:89)+100</f>
        <v>100</v>
      </c>
      <c r="G30" s="657" t="s">
        <v>3178</v>
      </c>
      <c r="H30" s="435">
        <f>SUMIF(88:88,E30,89:89)-SUMIF(88:88,C30,89:89)+100</f>
        <v>100</v>
      </c>
      <c r="I30" s="657" t="s">
        <v>3178</v>
      </c>
      <c r="J30" s="435">
        <f>SUMIF(88:88,E30,89:89)-SUMIF(88:88,C30,89:89)+100</f>
        <v>100</v>
      </c>
      <c r="K30" s="612"/>
      <c r="L30" s="1142"/>
      <c r="M30" s="1133"/>
      <c r="N30" s="1133"/>
      <c r="O30" s="1133"/>
      <c r="P30" s="3156"/>
      <c r="Q30" s="1813" t="str">
        <f t="shared" si="11"/>
        <v>物业等级</v>
      </c>
      <c r="R30" s="774" t="s">
        <v>17</v>
      </c>
      <c r="S30" s="775">
        <f t="shared" si="12"/>
        <v>100</v>
      </c>
      <c r="T30" s="774" t="s">
        <v>17</v>
      </c>
      <c r="U30" s="775">
        <f t="shared" si="13"/>
        <v>100</v>
      </c>
      <c r="V30" s="774" t="s">
        <v>17</v>
      </c>
      <c r="W30" s="775">
        <f t="shared" si="14"/>
        <v>100</v>
      </c>
      <c r="X30" s="1816"/>
      <c r="Y30" s="3156"/>
      <c r="Z30" s="1817" t="str">
        <f t="shared" si="15"/>
        <v>物业等级</v>
      </c>
      <c r="AA30" s="1814">
        <f t="shared" si="3"/>
        <v>1</v>
      </c>
      <c r="AB30" s="1814">
        <f t="shared" si="4"/>
        <v>1</v>
      </c>
      <c r="AC30" s="1814">
        <f t="shared" si="5"/>
        <v>1</v>
      </c>
    </row>
    <row r="31" spans="1:29" s="116" customFormat="1" ht="15">
      <c r="A31" s="658"/>
      <c r="B31" s="654" t="s">
        <v>2718</v>
      </c>
      <c r="C31" s="469">
        <v>50</v>
      </c>
      <c r="D31" s="135">
        <v>100</v>
      </c>
      <c r="E31" s="469">
        <v>30</v>
      </c>
      <c r="F31" s="461">
        <f>LOOKUP(E31,91:91,92:92)-LOOKUP(C31,91:91,92:92)+100</f>
        <v>95</v>
      </c>
      <c r="G31" s="469">
        <v>30</v>
      </c>
      <c r="H31" s="435">
        <f>LOOKUP(G31,91:91,92:92)-LOOKUP(C31,91:91,92:92)+100</f>
        <v>95</v>
      </c>
      <c r="I31" s="469">
        <v>30</v>
      </c>
      <c r="J31" s="435">
        <f>LOOKUP(I31,91:91,92:92)-LOOKUP(C31,91:91,92:92)+100</f>
        <v>95</v>
      </c>
      <c r="K31" s="612"/>
      <c r="L31" s="1134"/>
      <c r="M31" s="1135"/>
      <c r="N31" s="1135"/>
      <c r="O31" s="1135"/>
      <c r="P31" s="3156"/>
      <c r="Q31" s="1798" t="str">
        <f t="shared" si="11"/>
        <v>停车位面积</v>
      </c>
      <c r="R31" s="770" t="s">
        <v>17</v>
      </c>
      <c r="S31" s="771">
        <f t="shared" si="12"/>
        <v>95</v>
      </c>
      <c r="T31" s="770" t="s">
        <v>17</v>
      </c>
      <c r="U31" s="771">
        <f t="shared" si="13"/>
        <v>95</v>
      </c>
      <c r="V31" s="770" t="s">
        <v>17</v>
      </c>
      <c r="W31" s="771">
        <f t="shared" si="14"/>
        <v>95</v>
      </c>
      <c r="X31" s="772"/>
      <c r="Y31" s="3156"/>
      <c r="Z31" s="55" t="str">
        <f t="shared" si="15"/>
        <v>停车位面积</v>
      </c>
      <c r="AA31" s="773">
        <f t="shared" si="3"/>
        <v>1.0526315789473684</v>
      </c>
      <c r="AB31" s="773">
        <f t="shared" si="4"/>
        <v>1.0526315789473684</v>
      </c>
      <c r="AC31" s="773">
        <f t="shared" si="5"/>
        <v>1.0526315789473684</v>
      </c>
    </row>
    <row r="32" spans="1:29" ht="15">
      <c r="A32" s="656"/>
      <c r="B32" s="654" t="s">
        <v>2719</v>
      </c>
      <c r="C32" s="460" t="s">
        <v>3201</v>
      </c>
      <c r="D32" s="435">
        <v>100</v>
      </c>
      <c r="E32" s="460" t="s">
        <v>3201</v>
      </c>
      <c r="F32" s="461">
        <f>SUMIF(93:93,E32,94:94)-SUMIF(93:93,C32,94:94)+100</f>
        <v>100</v>
      </c>
      <c r="G32" s="460" t="s">
        <v>3201</v>
      </c>
      <c r="H32" s="435">
        <f>SUMIF(93:93,G32,94:94)-SUMIF(93:93,C32,94:94)+100</f>
        <v>100</v>
      </c>
      <c r="I32" s="460" t="s">
        <v>3201</v>
      </c>
      <c r="J32" s="435">
        <f>SUMIF(93:93,I32,94:94)-SUMIF(93:93,C32,94:94)+100</f>
        <v>100</v>
      </c>
      <c r="K32" s="612"/>
      <c r="L32" s="1142"/>
      <c r="M32" s="1133"/>
      <c r="N32" s="1133"/>
      <c r="O32" s="1133"/>
      <c r="P32" s="3156" t="s">
        <v>2566</v>
      </c>
      <c r="Q32" s="1813" t="str">
        <f t="shared" si="11"/>
        <v>车位类型</v>
      </c>
      <c r="R32" s="774" t="s">
        <v>17</v>
      </c>
      <c r="S32" s="775">
        <f t="shared" si="12"/>
        <v>100</v>
      </c>
      <c r="T32" s="774" t="s">
        <v>17</v>
      </c>
      <c r="U32" s="775">
        <f t="shared" si="13"/>
        <v>100</v>
      </c>
      <c r="V32" s="774" t="s">
        <v>17</v>
      </c>
      <c r="W32" s="775">
        <f t="shared" si="14"/>
        <v>100</v>
      </c>
      <c r="X32" s="1816"/>
      <c r="Y32" s="3156" t="s">
        <v>2566</v>
      </c>
      <c r="Z32" s="1817" t="str">
        <f t="shared" si="15"/>
        <v>车位类型</v>
      </c>
      <c r="AA32" s="1814">
        <f t="shared" si="3"/>
        <v>1</v>
      </c>
      <c r="AB32" s="1814">
        <f t="shared" si="4"/>
        <v>1</v>
      </c>
      <c r="AC32" s="1814">
        <f t="shared" si="5"/>
        <v>1</v>
      </c>
    </row>
    <row r="33" spans="1:29" ht="15.75" thickBot="1">
      <c r="A33" s="656"/>
      <c r="B33" s="654" t="s">
        <v>2720</v>
      </c>
      <c r="C33" s="460" t="s">
        <v>3061</v>
      </c>
      <c r="D33" s="435">
        <v>100</v>
      </c>
      <c r="E33" s="460" t="s">
        <v>3061</v>
      </c>
      <c r="F33" s="461">
        <f>SUMIF(95:95,E33,96:96)-SUMIF(95:95,C33,96:96)+100</f>
        <v>100</v>
      </c>
      <c r="G33" s="460" t="s">
        <v>3061</v>
      </c>
      <c r="H33" s="435">
        <f>SUMIF(95:95,G33,96:96)-SUMIF(95:95,C33,96:96)+100</f>
        <v>100</v>
      </c>
      <c r="I33" s="460" t="s">
        <v>3061</v>
      </c>
      <c r="J33" s="435">
        <f>SUMIF(95:95,I33,96:96)-SUMIF(95:95,C33,96:96)+100</f>
        <v>100</v>
      </c>
      <c r="K33" s="612"/>
      <c r="L33" s="1142"/>
      <c r="M33" s="1133"/>
      <c r="N33" s="1133"/>
      <c r="O33" s="1133"/>
      <c r="P33" s="3156"/>
      <c r="Q33" s="1813" t="str">
        <f t="shared" si="11"/>
        <v>是否直接入户</v>
      </c>
      <c r="R33" s="774" t="s">
        <v>17</v>
      </c>
      <c r="S33" s="775">
        <f t="shared" si="12"/>
        <v>100</v>
      </c>
      <c r="T33" s="774" t="s">
        <v>17</v>
      </c>
      <c r="U33" s="775">
        <f t="shared" si="13"/>
        <v>100</v>
      </c>
      <c r="V33" s="774" t="s">
        <v>17</v>
      </c>
      <c r="W33" s="775">
        <f t="shared" si="14"/>
        <v>100</v>
      </c>
      <c r="X33" s="1816"/>
      <c r="Y33" s="3156"/>
      <c r="Z33" s="1817" t="str">
        <f t="shared" si="15"/>
        <v>是否直接入户</v>
      </c>
      <c r="AA33" s="1814">
        <f t="shared" si="3"/>
        <v>1</v>
      </c>
      <c r="AB33" s="1814">
        <f t="shared" si="4"/>
        <v>1</v>
      </c>
      <c r="AC33" s="1814">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56"/>
      <c r="Q34" s="1813">
        <f t="shared" si="11"/>
        <v>111</v>
      </c>
      <c r="R34" s="774" t="s">
        <v>17</v>
      </c>
      <c r="S34" s="775">
        <f t="shared" si="12"/>
        <v>100</v>
      </c>
      <c r="T34" s="774" t="s">
        <v>17</v>
      </c>
      <c r="U34" s="775">
        <f t="shared" si="13"/>
        <v>100</v>
      </c>
      <c r="V34" s="774" t="s">
        <v>17</v>
      </c>
      <c r="W34" s="775">
        <f t="shared" si="14"/>
        <v>100</v>
      </c>
      <c r="X34" s="1816"/>
      <c r="Y34" s="3156"/>
      <c r="Z34" s="1817">
        <f t="shared" si="15"/>
        <v>111</v>
      </c>
      <c r="AA34" s="1814">
        <f t="shared" si="3"/>
        <v>1</v>
      </c>
      <c r="AB34" s="1814">
        <f t="shared" si="4"/>
        <v>1</v>
      </c>
      <c r="AC34" s="1814">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56"/>
      <c r="Q35" s="776">
        <f t="shared" si="11"/>
        <v>111</v>
      </c>
      <c r="R35" s="777" t="s">
        <v>17</v>
      </c>
      <c r="S35" s="778">
        <f t="shared" si="12"/>
        <v>100</v>
      </c>
      <c r="T35" s="777" t="s">
        <v>17</v>
      </c>
      <c r="U35" s="778">
        <f t="shared" si="13"/>
        <v>100</v>
      </c>
      <c r="V35" s="777" t="s">
        <v>17</v>
      </c>
      <c r="W35" s="778">
        <f t="shared" si="14"/>
        <v>100</v>
      </c>
      <c r="X35" s="779"/>
      <c r="Y35" s="3156"/>
      <c r="Z35" s="780">
        <f t="shared" si="15"/>
        <v>111</v>
      </c>
      <c r="AA35" s="1814">
        <f t="shared" si="3"/>
        <v>1</v>
      </c>
      <c r="AB35" s="1814">
        <f t="shared" si="4"/>
        <v>1</v>
      </c>
      <c r="AC35" s="1814">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56"/>
      <c r="Q36" s="1813">
        <f t="shared" si="11"/>
        <v>111</v>
      </c>
      <c r="R36" s="774" t="s">
        <v>17</v>
      </c>
      <c r="S36" s="775">
        <f t="shared" si="12"/>
        <v>100</v>
      </c>
      <c r="T36" s="774" t="s">
        <v>17</v>
      </c>
      <c r="U36" s="775">
        <f t="shared" si="13"/>
        <v>100</v>
      </c>
      <c r="V36" s="774" t="s">
        <v>17</v>
      </c>
      <c r="W36" s="775">
        <f t="shared" si="14"/>
        <v>100</v>
      </c>
      <c r="X36" s="1816"/>
      <c r="Y36" s="3156"/>
      <c r="Z36" s="1817">
        <f t="shared" si="15"/>
        <v>111</v>
      </c>
      <c r="AA36" s="1814">
        <f t="shared" si="3"/>
        <v>1</v>
      </c>
      <c r="AB36" s="1814">
        <f t="shared" si="4"/>
        <v>1</v>
      </c>
      <c r="AC36" s="1814">
        <f t="shared" si="5"/>
        <v>1</v>
      </c>
    </row>
    <row r="37" spans="1:29" ht="15">
      <c r="A37" s="479" t="s">
        <v>2721</v>
      </c>
      <c r="B37" s="2696" t="s">
        <v>2722</v>
      </c>
      <c r="C37" s="1409" t="s">
        <v>1</v>
      </c>
      <c r="D37" s="1410"/>
      <c r="E37" s="1411">
        <f>ROUND(150000*0.98,0)</f>
        <v>147000</v>
      </c>
      <c r="F37" s="1412"/>
      <c r="G37" s="1413">
        <f>ROUND(152000*0.98,0)</f>
        <v>148960</v>
      </c>
      <c r="H37" s="1414"/>
      <c r="I37" s="1411">
        <f>ROUND(145000*0.99,0)</f>
        <v>143550</v>
      </c>
      <c r="J37" s="1414"/>
      <c r="K37" s="619"/>
      <c r="L37" s="1145"/>
      <c r="M37" s="1146"/>
      <c r="N37" s="1133"/>
      <c r="O37" s="1146"/>
      <c r="P37" s="3151" t="str">
        <f>A37</f>
        <v>成交单价</v>
      </c>
      <c r="Q37" s="3151"/>
      <c r="R37" s="3215">
        <f>E37</f>
        <v>147000</v>
      </c>
      <c r="S37" s="3215"/>
      <c r="T37" s="3215">
        <f>G37</f>
        <v>148960</v>
      </c>
      <c r="U37" s="3215"/>
      <c r="V37" s="3215">
        <f>I37</f>
        <v>143550</v>
      </c>
      <c r="W37" s="3215"/>
      <c r="X37" s="759"/>
      <c r="Y37" s="781"/>
      <c r="Z37" s="759"/>
      <c r="AA37" s="759"/>
      <c r="AB37" s="759"/>
      <c r="AC37" s="759"/>
    </row>
    <row r="38" spans="1:29" ht="15.75" thickBot="1">
      <c r="A38" s="486" t="s">
        <v>2723</v>
      </c>
      <c r="B38" s="487" t="str">
        <f>B37</f>
        <v>元/车位</v>
      </c>
      <c r="C38" s="1415">
        <f>R39</f>
        <v>155776</v>
      </c>
      <c r="D38" s="1416"/>
      <c r="E38" s="1417">
        <f>R38</f>
        <v>157895</v>
      </c>
      <c r="F38" s="1417"/>
      <c r="G38" s="1415">
        <f>T38</f>
        <v>156800</v>
      </c>
      <c r="H38" s="1416"/>
      <c r="I38" s="1417">
        <f>V38</f>
        <v>152632</v>
      </c>
      <c r="J38" s="1416"/>
      <c r="K38" s="620"/>
      <c r="L38" s="1145"/>
      <c r="M38" s="1146"/>
      <c r="N38" s="1146"/>
      <c r="O38" s="1146"/>
      <c r="P38" s="3151" t="str">
        <f>A38</f>
        <v>比较价值（元/平方米）</v>
      </c>
      <c r="Q38" s="3151"/>
      <c r="R38" s="3215">
        <f>IF(F1="售价",ROUND(PRODUCT(R37,AA7:AA36),0),ROUND(PRODUCT(R37,AA7:AA36),1))</f>
        <v>157895</v>
      </c>
      <c r="S38" s="3215"/>
      <c r="T38" s="3215">
        <f>IF(F1="售价",ROUND(PRODUCT(T37,AB7:AB36),0),ROUND(PRODUCT(T37,AB7:AB36),1))</f>
        <v>156800</v>
      </c>
      <c r="U38" s="3215"/>
      <c r="V38" s="3215">
        <f>IF(F1="售价",ROUND(PRODUCT(V37,AC7:AC36),0),ROUND(PRODUCT(V37,AC7:AC36),1))</f>
        <v>152632</v>
      </c>
      <c r="W38" s="3215"/>
      <c r="X38" s="759"/>
      <c r="Y38" s="759"/>
      <c r="Z38" s="759"/>
      <c r="AA38" s="759"/>
      <c r="AB38" s="759"/>
      <c r="AC38" s="759"/>
    </row>
    <row r="39" spans="1:29" ht="15.75" thickBot="1">
      <c r="A39" s="492" t="s">
        <v>2724</v>
      </c>
      <c r="B39" s="493"/>
      <c r="C39" s="1419">
        <f>R39</f>
        <v>155776</v>
      </c>
      <c r="D39" s="1419"/>
      <c r="E39" s="1419"/>
      <c r="F39" s="1419"/>
      <c r="G39" s="1419"/>
      <c r="H39" s="1419"/>
      <c r="I39" s="1419"/>
      <c r="J39" s="1419"/>
      <c r="K39" s="621"/>
      <c r="L39" s="1145"/>
      <c r="M39" s="1146"/>
      <c r="N39" s="1146"/>
      <c r="O39" s="1146"/>
      <c r="P39" s="3145" t="str">
        <f>A39</f>
        <v>估价对象XX用房的比较价值（楼面单价，元/平方米）</v>
      </c>
      <c r="Q39" s="3146"/>
      <c r="R39" s="3214">
        <f>IF(F1="售价",ROUND(AVERAGE(R38:V38),0),ROUND(AVERAGE(R38:V38),1))</f>
        <v>155776</v>
      </c>
      <c r="S39" s="3214"/>
      <c r="T39" s="3214"/>
      <c r="U39" s="3214"/>
      <c r="V39" s="3214"/>
      <c r="W39" s="3214"/>
      <c r="X39" s="759"/>
      <c r="Y39" s="759"/>
      <c r="Z39" s="759"/>
      <c r="AA39" s="759"/>
      <c r="AB39" s="759"/>
      <c r="AC39" s="759"/>
    </row>
    <row r="40" spans="1:29">
      <c r="A40" s="1146"/>
      <c r="B40" s="1146"/>
      <c r="C40" s="1146"/>
      <c r="D40" s="1146"/>
      <c r="E40" s="1146"/>
      <c r="F40" s="1146"/>
      <c r="G40" s="1149"/>
      <c r="H40" s="1146"/>
      <c r="I40" s="1146"/>
      <c r="J40" s="1146"/>
      <c r="K40" s="1108"/>
      <c r="L40" s="1109"/>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8"/>
      <c r="L41" s="1109"/>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2725</v>
      </c>
      <c r="D42" s="498"/>
      <c r="E42" s="499">
        <f>IF(E37&lt;E38,E38/E37-1,E37/E38-1)</f>
        <v>7.4115646258503309E-2</v>
      </c>
      <c r="F42" s="500" t="str">
        <f>IF(OR(E42&gt;=0.3,E42&lt;=-0.3),"超过30%","")</f>
        <v/>
      </c>
      <c r="G42" s="499">
        <f>IF(G37&lt;G38,G38/G37-1,G37/G38-1)</f>
        <v>5.2631578947368363E-2</v>
      </c>
      <c r="H42" s="500" t="str">
        <f>IF(OR(G42&gt;=0.3,G42&lt;=-0.3),"超过30%","")</f>
        <v/>
      </c>
      <c r="I42" s="499">
        <f>IF(I37&lt;I38,I38/I37-1,I37/I38-1)</f>
        <v>6.3267154301636985E-2</v>
      </c>
      <c r="J42" s="500" t="str">
        <f>IF(OR(I42&gt;=0.3,I42&lt;=-0.3),"超过30%","")</f>
        <v/>
      </c>
      <c r="K42" s="1108"/>
      <c r="L42" s="1109"/>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2726</v>
      </c>
      <c r="D43" s="501"/>
      <c r="E43" s="499">
        <f>IF(E38&lt;G38,G38/E38-1,E38/G38-1)</f>
        <v>6.9834183673469497E-3</v>
      </c>
      <c r="F43" s="500" t="str">
        <f>IF(OR(E43&gt;=0.2,E43&lt;=-0.2),"超过20%","")</f>
        <v/>
      </c>
      <c r="G43" s="499">
        <f>IF(G38&lt;I38,I38/G38-1,G38/I38-1)</f>
        <v>2.7307510875832053E-2</v>
      </c>
      <c r="H43" s="500" t="str">
        <f>IF(OR(G43&gt;=0.2,G43&lt;=-0.2),"超过20%","")</f>
        <v/>
      </c>
      <c r="I43" s="499">
        <f>IF(I38&lt;E38,E38/I38-1,I38/E38-1)</f>
        <v>3.4481629016195781E-2</v>
      </c>
      <c r="J43" s="500" t="str">
        <f>IF(OR(I43&gt;=0.2,I43&lt;=-0.2),"超过20%","")</f>
        <v/>
      </c>
      <c r="K43" s="1108"/>
      <c r="L43" s="1109"/>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2727</v>
      </c>
      <c r="D44" s="501"/>
      <c r="E44" s="499">
        <f>IF(E37&lt;G37,G37/E37-1,E37/G37-1)</f>
        <v>1.3333333333333419E-2</v>
      </c>
      <c r="F44" s="500" t="str">
        <f>IF(OR(E44&gt;=0.3,E44&lt;=-0.3),"超过30%","")</f>
        <v/>
      </c>
      <c r="G44" s="499">
        <f>IF(G37&lt;I37,I37/G37-1,G37/I37-1)</f>
        <v>3.7687216997561723E-2</v>
      </c>
      <c r="H44" s="500" t="str">
        <f>IF(OR(G44&gt;=0.3,G44&lt;=-0.3),"超过30%","")</f>
        <v/>
      </c>
      <c r="I44" s="499">
        <f>IF(I37&lt;E37,E37/I37-1,I37/E37-1)</f>
        <v>2.4033437826541215E-2</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8"/>
      <c r="L46" s="1109"/>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2729</v>
      </c>
      <c r="B48" s="506"/>
      <c r="C48" s="1577" t="str">
        <f>YEAR(C7)&amp;"-"&amp;MONTH(C7)</f>
        <v>2017-10</v>
      </c>
      <c r="D48" s="1578">
        <f>EDATE(C48,-1)</f>
        <v>42979</v>
      </c>
      <c r="E48" s="1578">
        <f t="shared" ref="E48:O48" si="16">EDATE(D48,-1)</f>
        <v>42948</v>
      </c>
      <c r="F48" s="1578">
        <f t="shared" si="16"/>
        <v>42917</v>
      </c>
      <c r="G48" s="1578">
        <f t="shared" si="16"/>
        <v>42887</v>
      </c>
      <c r="H48" s="1578">
        <f t="shared" si="16"/>
        <v>42856</v>
      </c>
      <c r="I48" s="1578">
        <f t="shared" si="16"/>
        <v>42826</v>
      </c>
      <c r="J48" s="1578">
        <f t="shared" si="16"/>
        <v>42795</v>
      </c>
      <c r="K48" s="1578">
        <f t="shared" si="16"/>
        <v>42767</v>
      </c>
      <c r="L48" s="1578">
        <f t="shared" si="16"/>
        <v>42736</v>
      </c>
      <c r="M48" s="1578">
        <f t="shared" si="16"/>
        <v>42705</v>
      </c>
      <c r="N48" s="1578">
        <f t="shared" si="16"/>
        <v>42675</v>
      </c>
      <c r="O48" s="1578">
        <f t="shared" si="16"/>
        <v>42644</v>
      </c>
      <c r="P48" s="1440"/>
      <c r="Q48" s="1441"/>
      <c r="R48" s="1441"/>
      <c r="S48" s="1441"/>
      <c r="T48" s="1441"/>
      <c r="U48" s="1441"/>
      <c r="V48" s="1441"/>
      <c r="W48" s="1441"/>
      <c r="X48" s="1441"/>
      <c r="Y48" s="1441"/>
      <c r="Z48" s="1441"/>
      <c r="AA48" s="1441"/>
      <c r="AB48" s="1441"/>
      <c r="AC48" s="1441"/>
    </row>
    <row r="49" spans="1:29" s="116"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6"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6" customFormat="1" ht="15">
      <c r="A51" s="521" t="s">
        <v>2551</v>
      </c>
      <c r="B51" s="510"/>
      <c r="C51" s="522" t="s">
        <v>2653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6"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2589</v>
      </c>
      <c r="B53" s="528" t="s">
        <v>2555</v>
      </c>
      <c r="C53" s="529" t="str">
        <f>C9</f>
        <v>地下车库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hidden="1"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hidden="1"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hidden="1"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hidden="1"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hidden="1"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hidden="1"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2604</v>
      </c>
      <c r="C65" s="578" t="s">
        <v>2598</v>
      </c>
      <c r="D65" s="578" t="s">
        <v>2599</v>
      </c>
      <c r="E65" s="578" t="s">
        <v>2600</v>
      </c>
      <c r="F65" s="578" t="s">
        <v>2601</v>
      </c>
      <c r="G65" s="578" t="s">
        <v>2602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2690</v>
      </c>
      <c r="C67" s="660" t="s">
        <v>2676</v>
      </c>
      <c r="D67" s="660" t="s">
        <v>2677</v>
      </c>
      <c r="E67" s="660" t="s">
        <v>2678</v>
      </c>
      <c r="F67" s="660" t="s">
        <v>2679</v>
      </c>
      <c r="G67" s="660" t="s">
        <v>2680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2610</v>
      </c>
      <c r="C69" s="578" t="s">
        <v>2598</v>
      </c>
      <c r="D69" s="578" t="s">
        <v>2599</v>
      </c>
      <c r="E69" s="578" t="s">
        <v>2600</v>
      </c>
      <c r="F69" s="578" t="s">
        <v>2601</v>
      </c>
      <c r="G69" s="578" t="s">
        <v>2602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hidden="1" thickTop="1">
      <c r="A71" s="534"/>
      <c r="B71" s="538" t="s">
        <v>2730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hidden="1"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6" customFormat="1" ht="15.75" hidden="1"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6" customFormat="1" ht="15.75" hidden="1"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6" customFormat="1" ht="15.75" hidden="1"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6" customFormat="1" ht="15.75" hidden="1"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hidden="1"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hidden="1"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t="str">
        <f>C26</f>
        <v>车库</v>
      </c>
      <c r="D79" s="2937" t="s">
        <v>3192</v>
      </c>
      <c r="E79" s="2937" t="s">
        <v>3193</v>
      </c>
      <c r="F79" s="2937" t="s">
        <v>3194</v>
      </c>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2732</v>
      </c>
      <c r="C81" s="661" t="s">
        <v>3195</v>
      </c>
      <c r="D81" s="661" t="s">
        <v>3211</v>
      </c>
      <c r="E81" s="661" t="s">
        <v>3210</v>
      </c>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v>100</v>
      </c>
      <c r="D82" s="536">
        <v>99</v>
      </c>
      <c r="E82" s="536">
        <v>98</v>
      </c>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2617</v>
      </c>
      <c r="C83" s="2938" t="s">
        <v>3196</v>
      </c>
      <c r="D83" s="2938" t="s">
        <v>3197</v>
      </c>
      <c r="E83" s="2939" t="s">
        <v>3198</v>
      </c>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2734</v>
      </c>
      <c r="C88" s="2937" t="s">
        <v>3199</v>
      </c>
      <c r="D88" s="2937" t="s">
        <v>3200</v>
      </c>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2735</v>
      </c>
      <c r="C90" s="578" t="str">
        <f>C91&amp;"(含)"&amp;"-"&amp;D91</f>
        <v>0(含)-30</v>
      </c>
      <c r="D90" s="578" t="str">
        <f t="shared" ref="D90:L90" si="21">D91&amp;"(含)"&amp;"-"&amp;E91</f>
        <v>30(含)-50</v>
      </c>
      <c r="E90" s="578" t="str">
        <f t="shared" si="21"/>
        <v>50(含)-80</v>
      </c>
      <c r="F90" s="578" t="str">
        <f t="shared" si="21"/>
        <v>80(含)-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v>0</v>
      </c>
      <c r="D91" s="595">
        <v>30</v>
      </c>
      <c r="E91" s="595">
        <v>50</v>
      </c>
      <c r="F91" s="595">
        <v>80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v>100</v>
      </c>
      <c r="D92" s="536">
        <v>105</v>
      </c>
      <c r="E92" s="536">
        <v>110</v>
      </c>
      <c r="F92" s="536">
        <v>115</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2736</v>
      </c>
      <c r="C93" s="2938" t="s">
        <v>3202</v>
      </c>
      <c r="D93" s="2938" t="s">
        <v>3203</v>
      </c>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2737</v>
      </c>
      <c r="C95" s="2937" t="s">
        <v>3204</v>
      </c>
      <c r="D95" s="2937" t="s">
        <v>3205</v>
      </c>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hidden="1"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hidden="1"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hidden="1"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hidden="1"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hidden="1"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hidden="1"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5"/>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0" t="e">
        <f ca="1">IF(C2="——",ROUND(C37*D3/10000,0),ROUND(C37*D3/10000,0)-D2)</f>
        <v>#DIV/0!</v>
      </c>
      <c r="C2" s="2587"/>
      <c r="D2" s="1126" t="e">
        <f ca="1">SUMIF(INDIRECT("'"&amp;F2&amp;"'"&amp;"!A:A"),"承租人权益价值",INDIRECT("'"&amp;F2&amp;"'"&amp;"!c:c"))</f>
        <v>#REF!</v>
      </c>
      <c r="E2" s="2588" t="s">
        <v>2332</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148" t="s">
        <v>2647</v>
      </c>
      <c r="D4" s="3161"/>
      <c r="E4" s="3162" t="s">
        <v>2648</v>
      </c>
      <c r="F4" s="3163"/>
      <c r="G4" s="3148" t="s">
        <v>2649</v>
      </c>
      <c r="H4" s="3161"/>
      <c r="I4" s="3148" t="s">
        <v>2650</v>
      </c>
      <c r="J4" s="3161"/>
      <c r="K4" s="610" t="s">
        <v>2651</v>
      </c>
      <c r="L4" s="1132"/>
      <c r="M4" s="1133"/>
      <c r="N4" s="1133"/>
      <c r="O4" s="1133"/>
      <c r="P4" s="3164" t="s">
        <v>2652</v>
      </c>
      <c r="Q4" s="3165"/>
      <c r="R4" s="3170" t="s">
        <v>2648</v>
      </c>
      <c r="S4" s="3171"/>
      <c r="T4" s="3170" t="s">
        <v>2649</v>
      </c>
      <c r="U4" s="3171"/>
      <c r="V4" s="3157" t="s">
        <v>2650</v>
      </c>
      <c r="W4" s="3157"/>
      <c r="X4" s="1816"/>
      <c r="Y4" s="3170" t="s">
        <v>2652</v>
      </c>
      <c r="Z4" s="3171"/>
      <c r="AA4" s="3158" t="s">
        <v>2648</v>
      </c>
      <c r="AB4" s="3159" t="s">
        <v>2649</v>
      </c>
      <c r="AC4" s="3158" t="s">
        <v>2650</v>
      </c>
    </row>
    <row r="5" spans="1:29" ht="15">
      <c r="A5" s="404"/>
      <c r="B5" s="405"/>
      <c r="C5" s="3222" t="s">
        <v>2543</v>
      </c>
      <c r="D5" s="3179"/>
      <c r="E5" s="3225" t="s">
        <v>2544</v>
      </c>
      <c r="F5" s="3186"/>
      <c r="G5" s="3222" t="s">
        <v>2545</v>
      </c>
      <c r="H5" s="3179"/>
      <c r="I5" s="3222" t="s">
        <v>2546</v>
      </c>
      <c r="J5" s="3179"/>
      <c r="K5" s="610"/>
      <c r="L5" s="1132"/>
      <c r="M5" s="1133"/>
      <c r="N5" s="1133"/>
      <c r="O5" s="1133"/>
      <c r="P5" s="3166"/>
      <c r="Q5" s="3167"/>
      <c r="R5" s="3172"/>
      <c r="S5" s="3173"/>
      <c r="T5" s="3172"/>
      <c r="U5" s="3173"/>
      <c r="V5" s="3157"/>
      <c r="W5" s="3157"/>
      <c r="X5" s="1816"/>
      <c r="Y5" s="3172"/>
      <c r="Z5" s="3173"/>
      <c r="AA5" s="3159"/>
      <c r="AB5" s="3159"/>
      <c r="AC5" s="3159"/>
    </row>
    <row r="6" spans="1:29" ht="15.75" thickBot="1">
      <c r="A6" s="406"/>
      <c r="B6" s="407"/>
      <c r="C6" s="3223" t="s">
        <v>2547</v>
      </c>
      <c r="D6" s="3177"/>
      <c r="E6" s="3224" t="s">
        <v>2547</v>
      </c>
      <c r="F6" s="3184"/>
      <c r="G6" s="3223" t="s">
        <v>2547</v>
      </c>
      <c r="H6" s="3177"/>
      <c r="I6" s="3223" t="s">
        <v>2547</v>
      </c>
      <c r="J6" s="3177"/>
      <c r="K6" s="610" t="s">
        <v>2548</v>
      </c>
      <c r="L6" s="1132"/>
      <c r="M6" s="1133"/>
      <c r="N6" s="1133"/>
      <c r="O6" s="1133"/>
      <c r="P6" s="3168"/>
      <c r="Q6" s="3169"/>
      <c r="R6" s="3172"/>
      <c r="S6" s="3173"/>
      <c r="T6" s="3174"/>
      <c r="U6" s="3175"/>
      <c r="V6" s="3157"/>
      <c r="W6" s="3157"/>
      <c r="X6" s="1816"/>
      <c r="Y6" s="3174"/>
      <c r="Z6" s="3175"/>
      <c r="AA6" s="3160"/>
      <c r="AB6" s="3160"/>
      <c r="AC6" s="3160"/>
    </row>
    <row r="7" spans="1:29" s="116" customFormat="1" ht="15.75" thickBot="1">
      <c r="A7" s="408" t="s">
        <v>2549</v>
      </c>
      <c r="B7" s="409"/>
      <c r="C7" s="410">
        <f>'数据-取费表'!B2</f>
        <v>43025</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80" t="s">
        <v>2550</v>
      </c>
      <c r="Q7" s="3182"/>
      <c r="R7" s="770" t="s">
        <v>17</v>
      </c>
      <c r="S7" s="771">
        <f t="shared" ref="S7:S14" si="0">F7</f>
        <v>0</v>
      </c>
      <c r="T7" s="770" t="s">
        <v>17</v>
      </c>
      <c r="U7" s="771">
        <f t="shared" ref="U7:U14" si="1">H7</f>
        <v>0</v>
      </c>
      <c r="V7" s="770" t="s">
        <v>17</v>
      </c>
      <c r="W7" s="771">
        <f t="shared" ref="W7:W14" si="2">J7</f>
        <v>0</v>
      </c>
      <c r="X7" s="772"/>
      <c r="Y7" s="3180" t="s">
        <v>2550</v>
      </c>
      <c r="Z7" s="3181"/>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0" t="s">
        <v>2553</v>
      </c>
      <c r="Q8" s="3181"/>
      <c r="R8" s="770" t="s">
        <v>17</v>
      </c>
      <c r="S8" s="771">
        <f t="shared" si="0"/>
        <v>0</v>
      </c>
      <c r="T8" s="770" t="s">
        <v>17</v>
      </c>
      <c r="U8" s="771">
        <f t="shared" si="1"/>
        <v>0</v>
      </c>
      <c r="V8" s="770" t="s">
        <v>17</v>
      </c>
      <c r="W8" s="771">
        <f t="shared" si="2"/>
        <v>0</v>
      </c>
      <c r="X8" s="772"/>
      <c r="Y8" s="3180" t="s">
        <v>2553</v>
      </c>
      <c r="Z8" s="3181"/>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4"/>
      <c r="M9" s="1135"/>
      <c r="N9" s="1135"/>
      <c r="O9" s="1136"/>
      <c r="P9" s="3151" t="s">
        <v>2556</v>
      </c>
      <c r="Q9" s="1798" t="str">
        <f t="shared" ref="Q9:Q14" si="6">B9</f>
        <v>用途</v>
      </c>
      <c r="R9" s="770" t="s">
        <v>17</v>
      </c>
      <c r="S9" s="771">
        <f t="shared" si="0"/>
        <v>100</v>
      </c>
      <c r="T9" s="770" t="s">
        <v>17</v>
      </c>
      <c r="U9" s="771">
        <f t="shared" si="1"/>
        <v>100</v>
      </c>
      <c r="V9" s="770" t="s">
        <v>17</v>
      </c>
      <c r="W9" s="771">
        <f t="shared" si="2"/>
        <v>100</v>
      </c>
      <c r="X9" s="772"/>
      <c r="Y9" s="2999" t="s">
        <v>2557</v>
      </c>
      <c r="Z9" s="55"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7"/>
      <c r="M10" s="1138"/>
      <c r="N10" s="1138"/>
      <c r="O10" s="1139"/>
      <c r="P10" s="3151"/>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1">
        <v>111</v>
      </c>
      <c r="C11" s="432"/>
      <c r="D11" s="135">
        <v>100</v>
      </c>
      <c r="E11" s="469"/>
      <c r="F11" s="425">
        <f>SUMIF(55:55,E11,56:56)-SUMIF(55:55,C11,56:56)+100</f>
        <v>100</v>
      </c>
      <c r="G11" s="469"/>
      <c r="H11" s="135">
        <f>SUMIF(55:55,G11,56:56)-SUMIF(55:55,C11,56:56)+100</f>
        <v>100</v>
      </c>
      <c r="I11" s="469"/>
      <c r="J11" s="135">
        <f>SUMIF(55:55,I11,56:56)-SUMIF(55:55,C11,56:56)+100</f>
        <v>100</v>
      </c>
      <c r="K11" s="613"/>
      <c r="L11" s="1140"/>
      <c r="M11" s="1133"/>
      <c r="N11" s="1133"/>
      <c r="O11" s="1141"/>
      <c r="P11" s="3151"/>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6" customFormat="1" ht="15">
      <c r="A12" s="431"/>
      <c r="B12" s="2601">
        <v>111</v>
      </c>
      <c r="C12" s="432"/>
      <c r="D12" s="433">
        <v>100</v>
      </c>
      <c r="E12" s="469"/>
      <c r="F12" s="425">
        <f>SUMIF(57:57,E12,58:58)-SUMIF(57:57,C12,58:58)+100</f>
        <v>100</v>
      </c>
      <c r="G12" s="469"/>
      <c r="H12" s="135">
        <f>SUMIF(57:57,G12,58:58)-SUMIF(57:57,C12,58:58)+100</f>
        <v>100</v>
      </c>
      <c r="I12" s="469"/>
      <c r="J12" s="135">
        <f>SUMIF(57:57,I12,58:58)-SUMIF(57:57,C12,58:58)+100</f>
        <v>100</v>
      </c>
      <c r="K12" s="613"/>
      <c r="L12" s="1134"/>
      <c r="M12" s="1135"/>
      <c r="N12" s="1135"/>
      <c r="O12" s="1136"/>
      <c r="P12" s="3151"/>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51"/>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40" t="s">
        <v>2560</v>
      </c>
      <c r="B14" s="68" t="s">
        <v>2710</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53" t="s">
        <v>2561</v>
      </c>
      <c r="Q14" s="1813" t="str">
        <f t="shared" si="6"/>
        <v>交通便捷度</v>
      </c>
      <c r="R14" s="774" t="s">
        <v>17</v>
      </c>
      <c r="S14" s="775">
        <f t="shared" si="0"/>
        <v>100</v>
      </c>
      <c r="T14" s="774" t="s">
        <v>17</v>
      </c>
      <c r="U14" s="775">
        <f t="shared" si="1"/>
        <v>100</v>
      </c>
      <c r="V14" s="774" t="s">
        <v>17</v>
      </c>
      <c r="W14" s="775">
        <f t="shared" si="2"/>
        <v>100</v>
      </c>
      <c r="X14" s="1816"/>
      <c r="Y14" s="315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54"/>
      <c r="Q15" s="1813"/>
      <c r="R15" s="774"/>
      <c r="S15" s="775"/>
      <c r="T15" s="774"/>
      <c r="U15" s="775"/>
      <c r="V15" s="774"/>
      <c r="W15" s="775"/>
      <c r="X15" s="1816"/>
      <c r="Y15" s="3154"/>
      <c r="Z15" s="1817"/>
      <c r="AA15" s="1814">
        <v>1</v>
      </c>
      <c r="AB15" s="1814">
        <v>1</v>
      </c>
      <c r="AC15" s="1814">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54"/>
      <c r="Q16" s="1813" t="str">
        <f>B16</f>
        <v>公共配套设施</v>
      </c>
      <c r="R16" s="774" t="s">
        <v>17</v>
      </c>
      <c r="S16" s="775">
        <f>F16</f>
        <v>100</v>
      </c>
      <c r="T16" s="774" t="s">
        <v>17</v>
      </c>
      <c r="U16" s="775">
        <f>H16</f>
        <v>100</v>
      </c>
      <c r="V16" s="774" t="s">
        <v>17</v>
      </c>
      <c r="W16" s="775">
        <f>J16</f>
        <v>100</v>
      </c>
      <c r="X16" s="1816"/>
      <c r="Y16" s="3154"/>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2"/>
      <c r="M17" s="1133"/>
      <c r="N17" s="1133"/>
      <c r="O17" s="1141"/>
      <c r="P17" s="3154"/>
      <c r="Q17" s="1813"/>
      <c r="R17" s="774"/>
      <c r="S17" s="775"/>
      <c r="T17" s="774"/>
      <c r="U17" s="775"/>
      <c r="V17" s="774"/>
      <c r="W17" s="775"/>
      <c r="X17" s="1816"/>
      <c r="Y17" s="3154"/>
      <c r="Z17" s="1817"/>
      <c r="AA17" s="1814">
        <v>1</v>
      </c>
      <c r="AB17" s="1814">
        <v>1</v>
      </c>
      <c r="AC17" s="1814">
        <v>1</v>
      </c>
    </row>
    <row r="18" spans="1:29" ht="28.5">
      <c r="A18" s="428"/>
      <c r="B18" s="1386"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54"/>
      <c r="Q18" s="1813" t="str">
        <f>B18</f>
        <v>基础设施水平</v>
      </c>
      <c r="R18" s="774" t="s">
        <v>17</v>
      </c>
      <c r="S18" s="775">
        <f>F18</f>
        <v>100</v>
      </c>
      <c r="T18" s="774" t="s">
        <v>17</v>
      </c>
      <c r="U18" s="775">
        <f>H18</f>
        <v>100</v>
      </c>
      <c r="V18" s="774" t="s">
        <v>17</v>
      </c>
      <c r="W18" s="775">
        <f>J18</f>
        <v>100</v>
      </c>
      <c r="X18" s="1816"/>
      <c r="Y18" s="3154"/>
      <c r="Z18" s="1817" t="str">
        <f>Q18</f>
        <v>基础设施水平</v>
      </c>
      <c r="AA18" s="1814">
        <f t="shared" ref="AA18" si="8">D18/F18</f>
        <v>1</v>
      </c>
      <c r="AB18" s="1814">
        <f t="shared" ref="AB18" si="9">D18/H18</f>
        <v>1</v>
      </c>
      <c r="AC18" s="1814">
        <f t="shared" ref="AC18" si="10">D18/J18</f>
        <v>1</v>
      </c>
    </row>
    <row r="19" spans="1:29" ht="15">
      <c r="A19" s="428"/>
      <c r="B19" s="1386"/>
      <c r="C19" s="2609"/>
      <c r="D19" s="450"/>
      <c r="E19" s="2609"/>
      <c r="F19" s="453"/>
      <c r="G19" s="2609"/>
      <c r="H19" s="448"/>
      <c r="I19" s="447"/>
      <c r="J19" s="448"/>
      <c r="K19" s="1385"/>
      <c r="L19" s="1142"/>
      <c r="M19" s="1133"/>
      <c r="N19" s="1133"/>
      <c r="O19" s="1141"/>
      <c r="P19" s="3154"/>
      <c r="Q19" s="1813"/>
      <c r="R19" s="774"/>
      <c r="S19" s="775"/>
      <c r="T19" s="774"/>
      <c r="U19" s="775"/>
      <c r="V19" s="774"/>
      <c r="W19" s="775"/>
      <c r="X19" s="1816"/>
      <c r="Y19" s="3154"/>
      <c r="Z19" s="1817"/>
      <c r="AA19" s="1814">
        <v>1</v>
      </c>
      <c r="AB19" s="1814">
        <v>1</v>
      </c>
      <c r="AC19" s="1814">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54"/>
      <c r="Q20" s="1813" t="str">
        <f>B20</f>
        <v>自然及人文环境</v>
      </c>
      <c r="R20" s="774" t="s">
        <v>17</v>
      </c>
      <c r="S20" s="775">
        <f>F20</f>
        <v>100</v>
      </c>
      <c r="T20" s="774" t="s">
        <v>17</v>
      </c>
      <c r="U20" s="775">
        <f>H20</f>
        <v>100</v>
      </c>
      <c r="V20" s="774" t="s">
        <v>17</v>
      </c>
      <c r="W20" s="775">
        <f>J20</f>
        <v>100</v>
      </c>
      <c r="X20" s="1816"/>
      <c r="Y20" s="315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54"/>
      <c r="Q21" s="1813"/>
      <c r="R21" s="774"/>
      <c r="S21" s="775"/>
      <c r="T21" s="774"/>
      <c r="U21" s="775"/>
      <c r="V21" s="774"/>
      <c r="W21" s="775"/>
      <c r="X21" s="1816"/>
      <c r="Y21" s="315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54"/>
      <c r="Q22" s="1813" t="str">
        <f>B22</f>
        <v>楼层</v>
      </c>
      <c r="R22" s="774" t="s">
        <v>17</v>
      </c>
      <c r="S22" s="775">
        <f>F22</f>
        <v>100</v>
      </c>
      <c r="T22" s="774" t="s">
        <v>17</v>
      </c>
      <c r="U22" s="775">
        <f>H22</f>
        <v>100</v>
      </c>
      <c r="V22" s="774" t="s">
        <v>17</v>
      </c>
      <c r="W22" s="775">
        <f>J22</f>
        <v>100</v>
      </c>
      <c r="X22" s="1816"/>
      <c r="Y22" s="3154"/>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54"/>
      <c r="Q23" s="1813">
        <f>B23</f>
        <v>111</v>
      </c>
      <c r="R23" s="774" t="s">
        <v>17</v>
      </c>
      <c r="S23" s="775">
        <f>F23</f>
        <v>100</v>
      </c>
      <c r="T23" s="774" t="s">
        <v>17</v>
      </c>
      <c r="U23" s="775">
        <f>H23</f>
        <v>100</v>
      </c>
      <c r="V23" s="774" t="s">
        <v>17</v>
      </c>
      <c r="W23" s="775">
        <f>J23</f>
        <v>100</v>
      </c>
      <c r="X23" s="1816"/>
      <c r="Y23" s="3154"/>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54"/>
      <c r="Q24" s="1813">
        <f t="shared" ref="Q24:Q34" si="11">B24</f>
        <v>111</v>
      </c>
      <c r="R24" s="774" t="s">
        <v>17</v>
      </c>
      <c r="S24" s="775">
        <f>F24</f>
        <v>100</v>
      </c>
      <c r="T24" s="774" t="s">
        <v>17</v>
      </c>
      <c r="U24" s="775">
        <f>H24</f>
        <v>100</v>
      </c>
      <c r="V24" s="774" t="s">
        <v>17</v>
      </c>
      <c r="W24" s="775">
        <f>J24</f>
        <v>100</v>
      </c>
      <c r="X24" s="1816"/>
      <c r="Y24" s="3154"/>
      <c r="Z24" s="1817">
        <f>Q24</f>
        <v>111</v>
      </c>
      <c r="AA24" s="1814">
        <f t="shared" si="3"/>
        <v>1</v>
      </c>
      <c r="AB24" s="1814">
        <f t="shared" si="4"/>
        <v>1</v>
      </c>
      <c r="AC24" s="1814">
        <f t="shared" si="5"/>
        <v>1</v>
      </c>
    </row>
    <row r="25" spans="1:29" s="116"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54"/>
      <c r="Q25" s="1798">
        <f t="shared" si="11"/>
        <v>111</v>
      </c>
      <c r="R25" s="770" t="s">
        <v>17</v>
      </c>
      <c r="S25" s="771">
        <f>F25</f>
        <v>100</v>
      </c>
      <c r="T25" s="770" t="s">
        <v>17</v>
      </c>
      <c r="U25" s="771">
        <f>H25</f>
        <v>100</v>
      </c>
      <c r="V25" s="770" t="s">
        <v>17</v>
      </c>
      <c r="W25" s="771">
        <f>J25</f>
        <v>100</v>
      </c>
      <c r="X25" s="772"/>
      <c r="Y25" s="3154"/>
      <c r="Z25" s="55">
        <f>Q25</f>
        <v>111</v>
      </c>
      <c r="AA25" s="1814">
        <f>D25/F25</f>
        <v>1</v>
      </c>
      <c r="AB25" s="1814">
        <f>D25/H25</f>
        <v>1</v>
      </c>
      <c r="AC25" s="1814">
        <f>D25/J25</f>
        <v>1</v>
      </c>
    </row>
    <row r="26" spans="1:29" ht="15">
      <c r="A26" s="466" t="s">
        <v>2564</v>
      </c>
      <c r="B26" s="70" t="s">
        <v>2715</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155"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56"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56"/>
      <c r="Q27" s="776" t="str">
        <f t="shared" si="11"/>
        <v>成新率</v>
      </c>
      <c r="R27" s="777" t="s">
        <v>17</v>
      </c>
      <c r="S27" s="778" t="e">
        <f t="shared" si="12"/>
        <v>#N/A</v>
      </c>
      <c r="T27" s="777" t="s">
        <v>17</v>
      </c>
      <c r="U27" s="778" t="e">
        <f t="shared" si="13"/>
        <v>#N/A</v>
      </c>
      <c r="V27" s="777" t="s">
        <v>17</v>
      </c>
      <c r="W27" s="778" t="e">
        <f t="shared" si="14"/>
        <v>#N/A</v>
      </c>
      <c r="X27" s="779"/>
      <c r="Y27" s="3156"/>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56"/>
      <c r="Q28" s="1813" t="str">
        <f t="shared" si="11"/>
        <v>物业等级</v>
      </c>
      <c r="R28" s="774" t="s">
        <v>17</v>
      </c>
      <c r="S28" s="775">
        <f t="shared" si="12"/>
        <v>100</v>
      </c>
      <c r="T28" s="774" t="s">
        <v>17</v>
      </c>
      <c r="U28" s="775">
        <f t="shared" si="13"/>
        <v>100</v>
      </c>
      <c r="V28" s="774" t="s">
        <v>17</v>
      </c>
      <c r="W28" s="775">
        <f t="shared" si="14"/>
        <v>100</v>
      </c>
      <c r="X28" s="1816"/>
      <c r="Y28" s="3156"/>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56"/>
      <c r="Q29" s="1813" t="str">
        <f t="shared" si="11"/>
        <v>有无电梯</v>
      </c>
      <c r="R29" s="774" t="s">
        <v>17</v>
      </c>
      <c r="S29" s="775">
        <f t="shared" si="12"/>
        <v>100</v>
      </c>
      <c r="T29" s="774" t="s">
        <v>17</v>
      </c>
      <c r="U29" s="775">
        <f t="shared" si="13"/>
        <v>100</v>
      </c>
      <c r="V29" s="774" t="s">
        <v>17</v>
      </c>
      <c r="W29" s="775">
        <f t="shared" si="14"/>
        <v>100</v>
      </c>
      <c r="X29" s="1816"/>
      <c r="Y29" s="3156"/>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56"/>
      <c r="Q30" s="1813" t="str">
        <f t="shared" si="11"/>
        <v>建筑面积</v>
      </c>
      <c r="R30" s="774" t="s">
        <v>17</v>
      </c>
      <c r="S30" s="775" t="e">
        <f t="shared" si="12"/>
        <v>#N/A</v>
      </c>
      <c r="T30" s="774" t="s">
        <v>17</v>
      </c>
      <c r="U30" s="775" t="e">
        <f t="shared" si="13"/>
        <v>#N/A</v>
      </c>
      <c r="V30" s="774" t="s">
        <v>17</v>
      </c>
      <c r="W30" s="775" t="e">
        <f t="shared" si="14"/>
        <v>#N/A</v>
      </c>
      <c r="X30" s="1816"/>
      <c r="Y30" s="3156"/>
      <c r="Z30" s="1817" t="str">
        <f t="shared" si="15"/>
        <v>建筑面积</v>
      </c>
      <c r="AA30" s="1814" t="e">
        <f t="shared" si="3"/>
        <v>#N/A</v>
      </c>
      <c r="AB30" s="1814" t="e">
        <f t="shared" si="4"/>
        <v>#N/A</v>
      </c>
      <c r="AC30" s="1814"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56"/>
      <c r="Q31" s="1798" t="str">
        <f t="shared" si="11"/>
        <v>是否封闭</v>
      </c>
      <c r="R31" s="770" t="s">
        <v>17</v>
      </c>
      <c r="S31" s="771">
        <f t="shared" si="12"/>
        <v>100</v>
      </c>
      <c r="T31" s="770" t="s">
        <v>17</v>
      </c>
      <c r="U31" s="771">
        <f t="shared" si="13"/>
        <v>100</v>
      </c>
      <c r="V31" s="770" t="s">
        <v>17</v>
      </c>
      <c r="W31" s="771">
        <f t="shared" si="14"/>
        <v>100</v>
      </c>
      <c r="X31" s="772"/>
      <c r="Y31" s="315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56" t="s">
        <v>2566</v>
      </c>
      <c r="Q32" s="1813">
        <f t="shared" si="11"/>
        <v>111</v>
      </c>
      <c r="R32" s="774" t="s">
        <v>17</v>
      </c>
      <c r="S32" s="775">
        <f t="shared" si="12"/>
        <v>100</v>
      </c>
      <c r="T32" s="774" t="s">
        <v>17</v>
      </c>
      <c r="U32" s="775">
        <f t="shared" si="13"/>
        <v>100</v>
      </c>
      <c r="V32" s="774" t="s">
        <v>17</v>
      </c>
      <c r="W32" s="775">
        <f t="shared" si="14"/>
        <v>100</v>
      </c>
      <c r="X32" s="1816"/>
      <c r="Y32" s="3156" t="s">
        <v>2566</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56"/>
      <c r="Q33" s="1813">
        <f t="shared" si="11"/>
        <v>111</v>
      </c>
      <c r="R33" s="774" t="s">
        <v>17</v>
      </c>
      <c r="S33" s="775">
        <f t="shared" si="12"/>
        <v>100</v>
      </c>
      <c r="T33" s="774" t="s">
        <v>17</v>
      </c>
      <c r="U33" s="775">
        <f t="shared" si="13"/>
        <v>100</v>
      </c>
      <c r="V33" s="774" t="s">
        <v>17</v>
      </c>
      <c r="W33" s="775">
        <f t="shared" si="14"/>
        <v>100</v>
      </c>
      <c r="X33" s="1816"/>
      <c r="Y33" s="3156"/>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56"/>
      <c r="Q34" s="1813">
        <f t="shared" si="11"/>
        <v>111</v>
      </c>
      <c r="R34" s="774" t="s">
        <v>17</v>
      </c>
      <c r="S34" s="775">
        <f t="shared" si="12"/>
        <v>100</v>
      </c>
      <c r="T34" s="774" t="s">
        <v>17</v>
      </c>
      <c r="U34" s="775">
        <f t="shared" si="13"/>
        <v>100</v>
      </c>
      <c r="V34" s="774" t="s">
        <v>17</v>
      </c>
      <c r="W34" s="775">
        <f t="shared" si="14"/>
        <v>100</v>
      </c>
      <c r="X34" s="1816"/>
      <c r="Y34" s="3156"/>
      <c r="Z34" s="1817">
        <f t="shared" si="15"/>
        <v>111</v>
      </c>
      <c r="AA34" s="1814">
        <f t="shared" si="3"/>
        <v>1</v>
      </c>
      <c r="AB34" s="1814">
        <f t="shared" si="4"/>
        <v>1</v>
      </c>
      <c r="AC34" s="1814">
        <f t="shared" si="5"/>
        <v>1</v>
      </c>
    </row>
    <row r="35" spans="1:29" ht="15">
      <c r="A35" s="479" t="s">
        <v>2578</v>
      </c>
      <c r="B35" s="480"/>
      <c r="C35" s="1409" t="s">
        <v>1</v>
      </c>
      <c r="D35" s="1410"/>
      <c r="E35" s="1411"/>
      <c r="F35" s="1412"/>
      <c r="G35" s="1413"/>
      <c r="H35" s="1414"/>
      <c r="I35" s="1411"/>
      <c r="J35" s="1414"/>
      <c r="K35" s="783"/>
      <c r="L35" s="1145"/>
      <c r="M35" s="1146"/>
      <c r="N35" s="1133"/>
      <c r="O35" s="1146"/>
      <c r="P35" s="3151" t="str">
        <f>A35</f>
        <v>成交单价（元/平方米）</v>
      </c>
      <c r="Q35" s="3151"/>
      <c r="R35" s="3215">
        <f>E35</f>
        <v>0</v>
      </c>
      <c r="S35" s="3215"/>
      <c r="T35" s="3215">
        <f>G35</f>
        <v>0</v>
      </c>
      <c r="U35" s="3215"/>
      <c r="V35" s="3215">
        <f>I35</f>
        <v>0</v>
      </c>
      <c r="W35" s="3215"/>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5"/>
      <c r="M36" s="1146"/>
      <c r="N36" s="1133"/>
      <c r="O36" s="1146"/>
      <c r="P36" s="3151" t="str">
        <f>A36</f>
        <v>比较价值（元/平方米）</v>
      </c>
      <c r="Q36" s="3151"/>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5"/>
      <c r="M37" s="1146"/>
      <c r="N37" s="1146"/>
      <c r="O37" s="1146"/>
      <c r="P37" s="3145" t="str">
        <f>A37</f>
        <v>估价对象XX用房的比较价值（楼面单价，元/平方米）</v>
      </c>
      <c r="Q37" s="3146"/>
      <c r="R37" s="3214" t="e">
        <f>IF(F1="售价",ROUND(AVERAGE(R36:V36),0),ROUND(AVERAGE(R36:V36),1))</f>
        <v>#DIV/0!</v>
      </c>
      <c r="S37" s="3214"/>
      <c r="T37" s="3214"/>
      <c r="U37" s="3214"/>
      <c r="V37" s="3214"/>
      <c r="W37" s="3214"/>
      <c r="X37" s="759"/>
      <c r="Y37" s="759"/>
      <c r="Z37" s="759"/>
      <c r="AA37" s="759"/>
      <c r="AB37" s="759"/>
      <c r="AC37" s="759"/>
    </row>
    <row r="38" spans="1:29">
      <c r="A38" s="1146"/>
      <c r="B38" s="1146"/>
      <c r="C38" s="1146"/>
      <c r="D38" s="1146"/>
      <c r="E38" s="1146"/>
      <c r="F38" s="1146"/>
      <c r="G38" s="1149"/>
      <c r="H38" s="1146"/>
      <c r="I38" s="1146"/>
      <c r="J38" s="1146"/>
      <c r="K38" s="1108"/>
      <c r="L38" s="1109"/>
      <c r="M38" s="1146"/>
      <c r="N38" s="1146"/>
      <c r="O38" s="1146"/>
    </row>
    <row r="39" spans="1:29">
      <c r="A39" s="1146"/>
      <c r="B39" s="1146"/>
      <c r="C39" s="1146"/>
      <c r="D39" s="1146"/>
      <c r="E39" s="1146"/>
      <c r="F39" s="1146"/>
      <c r="G39" s="1146"/>
      <c r="H39" s="1146"/>
      <c r="I39" s="1146"/>
      <c r="J39" s="1146"/>
      <c r="K39" s="1108"/>
      <c r="L39" s="1109"/>
      <c r="M39" s="1146"/>
      <c r="N39" s="1146"/>
      <c r="O39" s="1146"/>
    </row>
    <row r="40" spans="1:29" ht="13.5" customHeight="1">
      <c r="A40" s="1146"/>
      <c r="B40" s="1146"/>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6"/>
      <c r="N40" s="1146"/>
      <c r="O40" s="1146"/>
    </row>
    <row r="41" spans="1:29" ht="13.5" customHeight="1">
      <c r="A41" s="1146"/>
      <c r="B41" s="1146"/>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6"/>
      <c r="N41" s="1146"/>
      <c r="O41" s="1146"/>
    </row>
    <row r="42" spans="1:29" s="502" customFormat="1" ht="13.5" customHeight="1">
      <c r="A42" s="1147"/>
      <c r="B42" s="1147"/>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8"/>
      <c r="L44" s="1109"/>
      <c r="M44" s="1146"/>
      <c r="N44" s="1146"/>
      <c r="O44" s="1146"/>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2017-10</v>
      </c>
      <c r="D46" s="1578">
        <f>EDATE(C46,-1)</f>
        <v>42979</v>
      </c>
      <c r="E46" s="1578">
        <f t="shared" ref="E46:O46" si="16">EDATE(D46,-1)</f>
        <v>42948</v>
      </c>
      <c r="F46" s="1578">
        <f t="shared" si="16"/>
        <v>42917</v>
      </c>
      <c r="G46" s="1578">
        <f t="shared" si="16"/>
        <v>42887</v>
      </c>
      <c r="H46" s="1578">
        <f t="shared" si="16"/>
        <v>42856</v>
      </c>
      <c r="I46" s="1578">
        <f t="shared" si="16"/>
        <v>42826</v>
      </c>
      <c r="J46" s="1578">
        <f t="shared" si="16"/>
        <v>42795</v>
      </c>
      <c r="K46" s="1578">
        <f t="shared" si="16"/>
        <v>42767</v>
      </c>
      <c r="L46" s="1578">
        <f t="shared" si="16"/>
        <v>42736</v>
      </c>
      <c r="M46" s="1578">
        <f t="shared" si="16"/>
        <v>42705</v>
      </c>
      <c r="N46" s="1578">
        <f t="shared" si="16"/>
        <v>42675</v>
      </c>
      <c r="O46" s="1578">
        <f t="shared" si="16"/>
        <v>42644</v>
      </c>
      <c r="P46" s="507"/>
    </row>
    <row r="47" spans="1:29" s="116" customFormat="1" ht="15">
      <c r="A47" s="509"/>
      <c r="B47" s="510"/>
      <c r="C47" s="1576">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3"/>
      <c r="O49" s="1153"/>
      <c r="P49" s="526"/>
      <c r="Q49" s="504"/>
    </row>
    <row r="50" spans="1:17" s="116"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2589</v>
      </c>
      <c r="B51" s="528" t="s">
        <v>2555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6" customFormat="1" ht="15.75" thickTop="1">
      <c r="A71" s="579"/>
      <c r="B71" s="538">
        <f>B23</f>
        <v>111</v>
      </c>
      <c r="C71" s="549"/>
      <c r="D71" s="549"/>
      <c r="E71" s="549"/>
      <c r="F71" s="549"/>
      <c r="G71" s="554"/>
      <c r="H71" s="554"/>
      <c r="I71" s="554"/>
      <c r="J71" s="554"/>
      <c r="K71" s="554"/>
      <c r="L71" s="580"/>
      <c r="M71" s="581"/>
      <c r="N71" s="1153"/>
      <c r="O71" s="1153"/>
      <c r="P71" s="45"/>
      <c r="Q71" s="504"/>
    </row>
    <row r="72" spans="1:17" s="116" customFormat="1" ht="15.75" thickBot="1">
      <c r="A72" s="579"/>
      <c r="B72" s="543"/>
      <c r="C72" s="560"/>
      <c r="D72" s="536"/>
      <c r="E72" s="536"/>
      <c r="F72" s="536"/>
      <c r="G72" s="536"/>
      <c r="H72" s="536"/>
      <c r="I72" s="536"/>
      <c r="J72" s="536"/>
      <c r="K72" s="536"/>
      <c r="L72" s="536"/>
      <c r="M72" s="537"/>
      <c r="N72" s="1155"/>
      <c r="O72" s="1155"/>
      <c r="P72" s="45"/>
      <c r="Q72" s="504"/>
    </row>
    <row r="73" spans="1:17" s="116" customFormat="1" ht="15.75" thickTop="1">
      <c r="A73" s="579"/>
      <c r="B73" s="538">
        <f>B24</f>
        <v>111</v>
      </c>
      <c r="C73" s="549"/>
      <c r="D73" s="549"/>
      <c r="E73" s="549"/>
      <c r="F73" s="549"/>
      <c r="G73" s="554"/>
      <c r="H73" s="554"/>
      <c r="I73" s="554"/>
      <c r="J73" s="554"/>
      <c r="K73" s="554"/>
      <c r="L73" s="554"/>
      <c r="M73" s="581"/>
      <c r="N73" s="1153"/>
      <c r="O73" s="1153"/>
      <c r="P73" s="45"/>
      <c r="Q73" s="504"/>
    </row>
    <row r="74" spans="1:17" s="116"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2564</v>
      </c>
      <c r="B77" s="528" t="s">
        <v>2617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148" t="s">
        <v>2647</v>
      </c>
      <c r="D4" s="3161"/>
      <c r="E4" s="3162" t="s">
        <v>2648</v>
      </c>
      <c r="F4" s="3163"/>
      <c r="G4" s="3148" t="s">
        <v>2649</v>
      </c>
      <c r="H4" s="3161"/>
      <c r="I4" s="3148" t="s">
        <v>2650</v>
      </c>
      <c r="J4" s="3161"/>
      <c r="K4" s="610" t="s">
        <v>2651</v>
      </c>
      <c r="L4" s="1132"/>
      <c r="M4" s="1133"/>
      <c r="N4" s="1133"/>
      <c r="O4" s="1133"/>
      <c r="P4" s="3164" t="s">
        <v>2652</v>
      </c>
      <c r="Q4" s="3165"/>
      <c r="R4" s="3170" t="s">
        <v>2648</v>
      </c>
      <c r="S4" s="3171"/>
      <c r="T4" s="3170" t="s">
        <v>2649</v>
      </c>
      <c r="U4" s="3171"/>
      <c r="V4" s="3157" t="s">
        <v>2650</v>
      </c>
      <c r="W4" s="3157"/>
      <c r="X4" s="1816"/>
      <c r="Y4" s="3170" t="s">
        <v>2652</v>
      </c>
      <c r="Z4" s="3171"/>
      <c r="AA4" s="3158" t="s">
        <v>2648</v>
      </c>
      <c r="AB4" s="3159" t="s">
        <v>2649</v>
      </c>
      <c r="AC4" s="3158" t="s">
        <v>2650</v>
      </c>
    </row>
    <row r="5" spans="1:29" ht="15">
      <c r="A5" s="404"/>
      <c r="B5" s="405"/>
      <c r="C5" s="3222" t="s">
        <v>2543</v>
      </c>
      <c r="D5" s="3179"/>
      <c r="E5" s="3225" t="s">
        <v>2544</v>
      </c>
      <c r="F5" s="3186"/>
      <c r="G5" s="3222" t="s">
        <v>2545</v>
      </c>
      <c r="H5" s="3179"/>
      <c r="I5" s="3222" t="s">
        <v>2546</v>
      </c>
      <c r="J5" s="3179"/>
      <c r="K5" s="610"/>
      <c r="L5" s="1132"/>
      <c r="M5" s="1133"/>
      <c r="N5" s="1133"/>
      <c r="O5" s="1133"/>
      <c r="P5" s="3166"/>
      <c r="Q5" s="3167"/>
      <c r="R5" s="3172"/>
      <c r="S5" s="3173"/>
      <c r="T5" s="3172"/>
      <c r="U5" s="3173"/>
      <c r="V5" s="3157"/>
      <c r="W5" s="3157"/>
      <c r="X5" s="1816"/>
      <c r="Y5" s="3172"/>
      <c r="Z5" s="3173"/>
      <c r="AA5" s="3159"/>
      <c r="AB5" s="3159"/>
      <c r="AC5" s="3159"/>
    </row>
    <row r="6" spans="1:29" ht="15.75" thickBot="1">
      <c r="A6" s="406"/>
      <c r="B6" s="407"/>
      <c r="C6" s="3241" t="s">
        <v>2798</v>
      </c>
      <c r="D6" s="3242"/>
      <c r="E6" s="3243" t="s">
        <v>2798</v>
      </c>
      <c r="F6" s="3244"/>
      <c r="G6" s="3241" t="s">
        <v>2798</v>
      </c>
      <c r="H6" s="3242"/>
      <c r="I6" s="3241" t="s">
        <v>2798</v>
      </c>
      <c r="J6" s="3242"/>
      <c r="K6" s="610" t="s">
        <v>2548</v>
      </c>
      <c r="L6" s="1132"/>
      <c r="M6" s="1133"/>
      <c r="N6" s="1133"/>
      <c r="O6" s="1133"/>
      <c r="P6" s="3168"/>
      <c r="Q6" s="3169"/>
      <c r="R6" s="3172"/>
      <c r="S6" s="3173"/>
      <c r="T6" s="3174"/>
      <c r="U6" s="3175"/>
      <c r="V6" s="3157"/>
      <c r="W6" s="3157"/>
      <c r="X6" s="1816"/>
      <c r="Y6" s="3174"/>
      <c r="Z6" s="3175"/>
      <c r="AA6" s="3160"/>
      <c r="AB6" s="3160"/>
      <c r="AC6" s="3160"/>
    </row>
    <row r="7" spans="1:29" s="116" customFormat="1" ht="15.75" thickBot="1">
      <c r="A7" s="408" t="s">
        <v>2549</v>
      </c>
      <c r="B7" s="409"/>
      <c r="C7" s="410">
        <f>'数据-取费表'!B2</f>
        <v>43025</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180" t="s">
        <v>2550</v>
      </c>
      <c r="Q7" s="3182"/>
      <c r="R7" s="770" t="s">
        <v>17</v>
      </c>
      <c r="S7" s="771">
        <f t="shared" ref="S7:S15" si="0">F7</f>
        <v>0</v>
      </c>
      <c r="T7" s="770" t="s">
        <v>17</v>
      </c>
      <c r="U7" s="771">
        <f t="shared" ref="U7:U15" si="1">H7</f>
        <v>0</v>
      </c>
      <c r="V7" s="770" t="s">
        <v>17</v>
      </c>
      <c r="W7" s="771">
        <f t="shared" ref="W7:W15" si="2">J7</f>
        <v>0</v>
      </c>
      <c r="X7" s="772"/>
      <c r="Y7" s="3180" t="s">
        <v>2550</v>
      </c>
      <c r="Z7" s="3181"/>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80" t="s">
        <v>2553</v>
      </c>
      <c r="Q8" s="3181"/>
      <c r="R8" s="770" t="s">
        <v>17</v>
      </c>
      <c r="S8" s="771">
        <f t="shared" si="0"/>
        <v>0</v>
      </c>
      <c r="T8" s="770" t="s">
        <v>17</v>
      </c>
      <c r="U8" s="771">
        <f t="shared" si="1"/>
        <v>0</v>
      </c>
      <c r="V8" s="770" t="s">
        <v>17</v>
      </c>
      <c r="W8" s="771">
        <f t="shared" si="2"/>
        <v>0</v>
      </c>
      <c r="X8" s="772"/>
      <c r="Y8" s="3180" t="s">
        <v>2553</v>
      </c>
      <c r="Z8" s="3181"/>
      <c r="AA8" s="773" t="e">
        <f t="shared" ref="AA8:AA40" si="3">D8/F8</f>
        <v>#DIV/0!</v>
      </c>
      <c r="AB8" s="773" t="e">
        <f t="shared" ref="AB8:AB40" si="4">D8/H8</f>
        <v>#DIV/0!</v>
      </c>
      <c r="AC8" s="773" t="e">
        <f t="shared" ref="AC8:AC40" si="5">D8/J8</f>
        <v>#DIV/0!</v>
      </c>
    </row>
    <row r="9" spans="1:29" s="116" customFormat="1">
      <c r="A9" s="415" t="s">
        <v>2554</v>
      </c>
      <c r="B9" s="70" t="s">
        <v>2555</v>
      </c>
      <c r="C9" s="2700"/>
      <c r="D9" s="134">
        <v>100</v>
      </c>
      <c r="E9" s="2700"/>
      <c r="F9" s="134">
        <f>SUMIF(70:70,E9,71:71)-SUMIF(70:70,C9,71:71)+100</f>
        <v>100</v>
      </c>
      <c r="G9" s="2700"/>
      <c r="H9" s="134">
        <f>SUMIF(70:70,G9,71:71)-SUMIF(70:70,C9,71:71)+100</f>
        <v>100</v>
      </c>
      <c r="I9" s="2700"/>
      <c r="J9" s="134">
        <f>SUMIF(70:70,I9,71:71)-SUMIF(70:70,C9,71:71)+100</f>
        <v>100</v>
      </c>
      <c r="K9" s="611"/>
      <c r="L9" s="1134"/>
      <c r="M9" s="1135"/>
      <c r="N9" s="1135"/>
      <c r="O9" s="1136"/>
      <c r="P9" s="3151" t="s">
        <v>2556</v>
      </c>
      <c r="Q9" s="1798" t="str">
        <f t="shared" ref="Q9:Q15" si="6">B9</f>
        <v>用途</v>
      </c>
      <c r="R9" s="770" t="s">
        <v>17</v>
      </c>
      <c r="S9" s="771">
        <f t="shared" si="0"/>
        <v>100</v>
      </c>
      <c r="T9" s="770" t="s">
        <v>17</v>
      </c>
      <c r="U9" s="771">
        <f t="shared" si="1"/>
        <v>100</v>
      </c>
      <c r="V9" s="770" t="s">
        <v>17</v>
      </c>
      <c r="W9" s="771">
        <f t="shared" si="2"/>
        <v>100</v>
      </c>
      <c r="X9" s="772"/>
      <c r="Y9" s="2999" t="s">
        <v>2557</v>
      </c>
      <c r="Z9" s="55"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100</v>
      </c>
      <c r="G10" s="432"/>
      <c r="H10" s="135">
        <f>ROUND(100/'数据-取费表'!G16,0)</f>
        <v>100</v>
      </c>
      <c r="I10" s="432"/>
      <c r="J10" s="135">
        <f>ROUND(100/'数据-取费表'!G16,0)</f>
        <v>100</v>
      </c>
      <c r="K10" s="672"/>
      <c r="L10" s="1137"/>
      <c r="M10" s="1138"/>
      <c r="N10" s="1138"/>
      <c r="O10" s="1139"/>
      <c r="P10" s="3151"/>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0"/>
      <c r="M11" s="1133"/>
      <c r="N11" s="1133"/>
      <c r="O11" s="1141"/>
      <c r="P11" s="3151"/>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6" customFormat="1" ht="15">
      <c r="A12" s="431"/>
      <c r="B12" s="2601">
        <v>111</v>
      </c>
      <c r="C12" s="432"/>
      <c r="D12" s="433">
        <v>100</v>
      </c>
      <c r="E12" s="549"/>
      <c r="F12" s="135">
        <f>SUMIF(77:77,E12,78:78)-SUMIF(77:77,C12,78:78)+100</f>
        <v>100</v>
      </c>
      <c r="G12" s="674"/>
      <c r="H12" s="135">
        <f>SUMIF(77:77,G12,78:78)-SUMIF(77:77,C12,78:78)+100</f>
        <v>100</v>
      </c>
      <c r="I12" s="549"/>
      <c r="J12" s="135">
        <f>SUMIF(77:77,I12,78:78)-SUMIF(77:77,C12,78:78)+100</f>
        <v>100</v>
      </c>
      <c r="K12" s="672"/>
      <c r="L12" s="1134"/>
      <c r="M12" s="1135"/>
      <c r="N12" s="1135"/>
      <c r="O12" s="1136"/>
      <c r="P12" s="3151"/>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1">
        <v>111</v>
      </c>
      <c r="C13" s="434"/>
      <c r="D13" s="435">
        <v>100</v>
      </c>
      <c r="E13" s="549"/>
      <c r="F13" s="135">
        <f>SUMIF(79:79,E13,80:80)-SUMIF(79:79,C13,80:80)+100</f>
        <v>100</v>
      </c>
      <c r="G13" s="674"/>
      <c r="H13" s="435">
        <f>SUMIF(79:79,G13,80:80)-SUMIF(79:79,C13,80:80)+100</f>
        <v>100</v>
      </c>
      <c r="I13" s="549"/>
      <c r="J13" s="435">
        <f>SUMIF(79:79,I13,80:80)-SUMIF(79:79,C13,80:80)+100</f>
        <v>100</v>
      </c>
      <c r="K13" s="672"/>
      <c r="L13" s="1142"/>
      <c r="M13" s="1133"/>
      <c r="N13" s="1133"/>
      <c r="O13" s="1141"/>
      <c r="P13" s="3151"/>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1"/>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2560</v>
      </c>
      <c r="B15" s="629" t="s">
        <v>2799</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53" t="s">
        <v>2561</v>
      </c>
      <c r="Q15" s="1813" t="str">
        <f t="shared" si="6"/>
        <v>产业集聚程度</v>
      </c>
      <c r="R15" s="774" t="s">
        <v>17</v>
      </c>
      <c r="S15" s="775">
        <f t="shared" si="0"/>
        <v>100</v>
      </c>
      <c r="T15" s="774" t="s">
        <v>17</v>
      </c>
      <c r="U15" s="775">
        <f t="shared" si="1"/>
        <v>100</v>
      </c>
      <c r="V15" s="774" t="s">
        <v>17</v>
      </c>
      <c r="W15" s="775">
        <f t="shared" si="2"/>
        <v>100</v>
      </c>
      <c r="X15" s="1816"/>
      <c r="Y15" s="3153" t="s">
        <v>2561</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2"/>
      <c r="M16" s="1133"/>
      <c r="N16" s="1133"/>
      <c r="O16" s="1141"/>
      <c r="P16" s="3154"/>
      <c r="Q16" s="1813"/>
      <c r="R16" s="774"/>
      <c r="S16" s="775"/>
      <c r="T16" s="774"/>
      <c r="U16" s="775"/>
      <c r="V16" s="774"/>
      <c r="W16" s="775"/>
      <c r="X16" s="1816"/>
      <c r="Y16" s="3154"/>
      <c r="Z16" s="1817"/>
      <c r="AA16" s="1814">
        <v>1</v>
      </c>
      <c r="AB16" s="1814">
        <v>1</v>
      </c>
      <c r="AC16" s="1814">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54"/>
      <c r="Q17" s="1813" t="str">
        <f>B17</f>
        <v>交通便捷度</v>
      </c>
      <c r="R17" s="774" t="s">
        <v>17</v>
      </c>
      <c r="S17" s="775">
        <f>F17</f>
        <v>100</v>
      </c>
      <c r="T17" s="774" t="s">
        <v>17</v>
      </c>
      <c r="U17" s="775">
        <f>H17</f>
        <v>100</v>
      </c>
      <c r="V17" s="774" t="s">
        <v>17</v>
      </c>
      <c r="W17" s="775">
        <f>J17</f>
        <v>100</v>
      </c>
      <c r="X17" s="1816"/>
      <c r="Y17" s="3154"/>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2"/>
      <c r="M18" s="1133"/>
      <c r="N18" s="1133"/>
      <c r="O18" s="1141"/>
      <c r="P18" s="3154"/>
      <c r="Q18" s="1813"/>
      <c r="R18" s="774"/>
      <c r="S18" s="775"/>
      <c r="T18" s="774"/>
      <c r="U18" s="775"/>
      <c r="V18" s="774"/>
      <c r="W18" s="775"/>
      <c r="X18" s="1816"/>
      <c r="Y18" s="3154"/>
      <c r="Z18" s="1817"/>
      <c r="AA18" s="1814">
        <v>1</v>
      </c>
      <c r="AB18" s="1814">
        <v>1</v>
      </c>
      <c r="AC18" s="1814">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54"/>
      <c r="Q19" s="1813" t="str">
        <f t="shared" ref="Q19:Q33" si="8">B19</f>
        <v>区域土地利用方向</v>
      </c>
      <c r="R19" s="774" t="s">
        <v>17</v>
      </c>
      <c r="S19" s="775">
        <f>F19</f>
        <v>100</v>
      </c>
      <c r="T19" s="774" t="s">
        <v>17</v>
      </c>
      <c r="U19" s="775">
        <f>H19</f>
        <v>100</v>
      </c>
      <c r="V19" s="774" t="s">
        <v>17</v>
      </c>
      <c r="W19" s="775">
        <f>J19</f>
        <v>100</v>
      </c>
      <c r="X19" s="1816"/>
      <c r="Y19" s="3154"/>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2"/>
      <c r="M20" s="1133"/>
      <c r="N20" s="1133"/>
      <c r="O20" s="1141"/>
      <c r="P20" s="3154"/>
      <c r="Q20" s="1813"/>
      <c r="R20" s="774"/>
      <c r="S20" s="775"/>
      <c r="T20" s="774"/>
      <c r="U20" s="775"/>
      <c r="V20" s="774"/>
      <c r="W20" s="775"/>
      <c r="X20" s="1816"/>
      <c r="Y20" s="3154"/>
      <c r="Z20" s="1817"/>
      <c r="AA20" s="1814"/>
      <c r="AB20" s="1814"/>
      <c r="AC20" s="1814"/>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54"/>
      <c r="Q21" s="1813" t="str">
        <f t="shared" si="8"/>
        <v>环境状况</v>
      </c>
      <c r="R21" s="774" t="s">
        <v>17</v>
      </c>
      <c r="S21" s="775">
        <f>F21</f>
        <v>100</v>
      </c>
      <c r="T21" s="774" t="s">
        <v>17</v>
      </c>
      <c r="U21" s="775">
        <f>H21</f>
        <v>100</v>
      </c>
      <c r="V21" s="774" t="s">
        <v>17</v>
      </c>
      <c r="W21" s="775">
        <f>J21</f>
        <v>100</v>
      </c>
      <c r="X21" s="1816"/>
      <c r="Y21" s="3154"/>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2"/>
      <c r="M22" s="1133"/>
      <c r="N22" s="1133"/>
      <c r="O22" s="1141"/>
      <c r="P22" s="3154"/>
      <c r="Q22" s="1813"/>
      <c r="R22" s="774"/>
      <c r="S22" s="775"/>
      <c r="T22" s="774"/>
      <c r="U22" s="775"/>
      <c r="V22" s="774"/>
      <c r="W22" s="775"/>
      <c r="X22" s="1816"/>
      <c r="Y22" s="3154"/>
      <c r="Z22" s="1817"/>
      <c r="AA22" s="1814">
        <v>1</v>
      </c>
      <c r="AB22" s="1814">
        <v>1</v>
      </c>
      <c r="AC22" s="1814">
        <v>1</v>
      </c>
    </row>
    <row r="23" spans="1:29" s="116"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54"/>
      <c r="Q23" s="1798" t="str">
        <f t="shared" si="8"/>
        <v>公共配套设施</v>
      </c>
      <c r="R23" s="770" t="s">
        <v>17</v>
      </c>
      <c r="S23" s="771">
        <f>F23</f>
        <v>100</v>
      </c>
      <c r="T23" s="770" t="s">
        <v>17</v>
      </c>
      <c r="U23" s="771">
        <f>H23</f>
        <v>100</v>
      </c>
      <c r="V23" s="770" t="s">
        <v>17</v>
      </c>
      <c r="W23" s="771">
        <f>J23</f>
        <v>100</v>
      </c>
      <c r="X23" s="772"/>
      <c r="Y23" s="3154"/>
      <c r="Z23" s="55" t="str">
        <f>Q23</f>
        <v>公共配套设施</v>
      </c>
      <c r="AA23" s="1814">
        <f>D23/F23</f>
        <v>1</v>
      </c>
      <c r="AB23" s="1814">
        <f>D23/H23</f>
        <v>1</v>
      </c>
      <c r="AC23" s="1814">
        <f>D23/J23</f>
        <v>1</v>
      </c>
    </row>
    <row r="24" spans="1:29" s="116" customFormat="1" ht="15">
      <c r="A24" s="649"/>
      <c r="B24" s="632"/>
      <c r="C24" s="2701"/>
      <c r="D24" s="448"/>
      <c r="E24" s="2612"/>
      <c r="F24" s="448"/>
      <c r="G24" s="2612"/>
      <c r="H24" s="448"/>
      <c r="I24" s="447"/>
      <c r="J24" s="448"/>
      <c r="K24" s="672"/>
      <c r="L24" s="1134"/>
      <c r="M24" s="1135"/>
      <c r="N24" s="1135"/>
      <c r="O24" s="1136"/>
      <c r="P24" s="3154"/>
      <c r="Q24" s="1798"/>
      <c r="R24" s="770"/>
      <c r="S24" s="771"/>
      <c r="T24" s="770"/>
      <c r="U24" s="771"/>
      <c r="V24" s="770"/>
      <c r="W24" s="771"/>
      <c r="X24" s="772"/>
      <c r="Y24" s="3154"/>
      <c r="Z24" s="55"/>
      <c r="AA24" s="773">
        <v>1</v>
      </c>
      <c r="AB24" s="773">
        <v>1</v>
      </c>
      <c r="AC24" s="773">
        <v>1</v>
      </c>
    </row>
    <row r="25" spans="1:29" s="116"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54"/>
      <c r="Q25" s="1798" t="str">
        <f t="shared" ref="Q25" si="9">B25</f>
        <v>基础设施水平</v>
      </c>
      <c r="R25" s="770" t="s">
        <v>17</v>
      </c>
      <c r="S25" s="771">
        <f>F25</f>
        <v>100</v>
      </c>
      <c r="T25" s="770" t="s">
        <v>17</v>
      </c>
      <c r="U25" s="771">
        <f>H25</f>
        <v>100</v>
      </c>
      <c r="V25" s="770" t="s">
        <v>17</v>
      </c>
      <c r="W25" s="771">
        <f>J25</f>
        <v>100</v>
      </c>
      <c r="X25" s="772"/>
      <c r="Y25" s="3154"/>
      <c r="Z25" s="55" t="str">
        <f>Q25</f>
        <v>基础设施水平</v>
      </c>
      <c r="AA25" s="1814">
        <f>D25/F25</f>
        <v>1</v>
      </c>
      <c r="AB25" s="1814">
        <f>D25/H25</f>
        <v>1</v>
      </c>
      <c r="AC25" s="1814">
        <f>D25/J25</f>
        <v>1</v>
      </c>
    </row>
    <row r="26" spans="1:29" s="116" customFormat="1" ht="15">
      <c r="A26" s="649"/>
      <c r="B26" s="632"/>
      <c r="C26" s="2701"/>
      <c r="D26" s="448"/>
      <c r="E26" s="2702"/>
      <c r="F26" s="448"/>
      <c r="G26" s="2702"/>
      <c r="H26" s="448"/>
      <c r="I26" s="2702"/>
      <c r="J26" s="448"/>
      <c r="K26" s="672"/>
      <c r="L26" s="1134"/>
      <c r="M26" s="1135"/>
      <c r="N26" s="1135"/>
      <c r="O26" s="1136"/>
      <c r="P26" s="3154"/>
      <c r="Q26" s="1798"/>
      <c r="R26" s="770"/>
      <c r="S26" s="771"/>
      <c r="T26" s="770"/>
      <c r="U26" s="771"/>
      <c r="V26" s="770"/>
      <c r="W26" s="771"/>
      <c r="X26" s="772"/>
      <c r="Y26" s="315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5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4"/>
      <c r="Z27" s="1817" t="str">
        <f t="shared" ref="Z27:Z40" si="13">Q27</f>
        <v>临街状况</v>
      </c>
      <c r="AA27" s="1814">
        <f t="shared" si="3"/>
        <v>1</v>
      </c>
      <c r="AB27" s="1814">
        <f t="shared" si="4"/>
        <v>1</v>
      </c>
      <c r="AC27" s="1814">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54"/>
      <c r="Q28" s="1813" t="str">
        <f t="shared" si="8"/>
        <v>毗邻道路的类型与等级</v>
      </c>
      <c r="R28" s="774" t="s">
        <v>17</v>
      </c>
      <c r="S28" s="775">
        <f t="shared" si="10"/>
        <v>100</v>
      </c>
      <c r="T28" s="774" t="s">
        <v>17</v>
      </c>
      <c r="U28" s="775">
        <f t="shared" si="11"/>
        <v>100</v>
      </c>
      <c r="V28" s="774" t="s">
        <v>17</v>
      </c>
      <c r="W28" s="775">
        <f t="shared" si="12"/>
        <v>100</v>
      </c>
      <c r="X28" s="1816"/>
      <c r="Y28" s="3154"/>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2"/>
      <c r="M29" s="1133"/>
      <c r="N29" s="1133"/>
      <c r="O29" s="1141"/>
      <c r="P29" s="3154"/>
      <c r="Q29" s="1813"/>
      <c r="R29" s="774"/>
      <c r="S29" s="775"/>
      <c r="T29" s="774"/>
      <c r="U29" s="775"/>
      <c r="V29" s="774"/>
      <c r="W29" s="775"/>
      <c r="X29" s="1816"/>
      <c r="Y29" s="3154"/>
      <c r="Z29" s="1817"/>
      <c r="AA29" s="1814">
        <v>1</v>
      </c>
      <c r="AB29" s="1814">
        <v>1</v>
      </c>
      <c r="AC29" s="1814">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54"/>
      <c r="Q30" s="1813" t="str">
        <f t="shared" si="8"/>
        <v>土地级别</v>
      </c>
      <c r="R30" s="774" t="s">
        <v>17</v>
      </c>
      <c r="S30" s="775">
        <f t="shared" si="10"/>
        <v>100</v>
      </c>
      <c r="T30" s="774" t="s">
        <v>17</v>
      </c>
      <c r="U30" s="775">
        <f t="shared" si="11"/>
        <v>100</v>
      </c>
      <c r="V30" s="774" t="s">
        <v>17</v>
      </c>
      <c r="W30" s="775">
        <f t="shared" si="12"/>
        <v>100</v>
      </c>
      <c r="X30" s="1816"/>
      <c r="Y30" s="3154"/>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54"/>
      <c r="Q31" s="1813">
        <f t="shared" si="8"/>
        <v>111</v>
      </c>
      <c r="R31" s="774" t="s">
        <v>17</v>
      </c>
      <c r="S31" s="775">
        <f t="shared" si="10"/>
        <v>100</v>
      </c>
      <c r="T31" s="774" t="s">
        <v>17</v>
      </c>
      <c r="U31" s="775">
        <f t="shared" si="11"/>
        <v>100</v>
      </c>
      <c r="V31" s="774" t="s">
        <v>17</v>
      </c>
      <c r="W31" s="775">
        <f t="shared" si="12"/>
        <v>100</v>
      </c>
      <c r="X31" s="1816"/>
      <c r="Y31" s="3154"/>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55" t="s">
        <v>2566</v>
      </c>
      <c r="Q32" s="1813">
        <f t="shared" si="8"/>
        <v>111</v>
      </c>
      <c r="R32" s="774" t="s">
        <v>17</v>
      </c>
      <c r="S32" s="775">
        <f t="shared" si="10"/>
        <v>100</v>
      </c>
      <c r="T32" s="774" t="s">
        <v>17</v>
      </c>
      <c r="U32" s="775">
        <f t="shared" si="11"/>
        <v>100</v>
      </c>
      <c r="V32" s="774" t="s">
        <v>17</v>
      </c>
      <c r="W32" s="775">
        <f t="shared" si="12"/>
        <v>100</v>
      </c>
      <c r="X32" s="1816"/>
      <c r="Y32" s="3156" t="s">
        <v>2566</v>
      </c>
      <c r="Z32" s="1817">
        <f t="shared" si="13"/>
        <v>111</v>
      </c>
      <c r="AA32" s="1814">
        <f t="shared" si="3"/>
        <v>1</v>
      </c>
      <c r="AB32" s="1814">
        <f t="shared" si="4"/>
        <v>1</v>
      </c>
      <c r="AC32" s="1814">
        <f t="shared" si="5"/>
        <v>1</v>
      </c>
    </row>
    <row r="33" spans="1:29" s="471" customFormat="1" ht="15.75" thickBot="1">
      <c r="A33" s="676"/>
      <c r="B33" s="2716">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56"/>
      <c r="Q33" s="1813">
        <f t="shared" si="8"/>
        <v>111</v>
      </c>
      <c r="R33" s="777" t="s">
        <v>17</v>
      </c>
      <c r="S33" s="778">
        <f t="shared" si="10"/>
        <v>100</v>
      </c>
      <c r="T33" s="777" t="s">
        <v>17</v>
      </c>
      <c r="U33" s="778">
        <f t="shared" si="11"/>
        <v>100</v>
      </c>
      <c r="V33" s="777" t="s">
        <v>17</v>
      </c>
      <c r="W33" s="778">
        <f t="shared" si="12"/>
        <v>100</v>
      </c>
      <c r="X33" s="779"/>
      <c r="Y33" s="3156"/>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56"/>
      <c r="Q34" s="1813" t="str">
        <f>B34</f>
        <v>宗地面积</v>
      </c>
      <c r="R34" s="774" t="s">
        <v>17</v>
      </c>
      <c r="S34" s="775" t="e">
        <f t="shared" si="10"/>
        <v>#N/A</v>
      </c>
      <c r="T34" s="774" t="s">
        <v>17</v>
      </c>
      <c r="U34" s="775" t="e">
        <f t="shared" si="11"/>
        <v>#N/A</v>
      </c>
      <c r="V34" s="774" t="s">
        <v>17</v>
      </c>
      <c r="W34" s="775" t="e">
        <f t="shared" si="12"/>
        <v>#N/A</v>
      </c>
      <c r="X34" s="1816"/>
      <c r="Y34" s="3156"/>
      <c r="Z34" s="1817" t="str">
        <f t="shared" si="13"/>
        <v>宗地面积</v>
      </c>
      <c r="AA34" s="1814" t="e">
        <f t="shared" si="3"/>
        <v>#N/A</v>
      </c>
      <c r="AB34" s="1814" t="e">
        <f t="shared" si="4"/>
        <v>#N/A</v>
      </c>
      <c r="AC34" s="1814"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156"/>
      <c r="Q35" s="1813" t="str">
        <f t="shared" ref="Q35:Q40" si="14">B35</f>
        <v>宗地形状</v>
      </c>
      <c r="R35" s="774" t="s">
        <v>17</v>
      </c>
      <c r="S35" s="775">
        <f t="shared" si="10"/>
        <v>100</v>
      </c>
      <c r="T35" s="774" t="s">
        <v>17</v>
      </c>
      <c r="U35" s="775">
        <f t="shared" si="11"/>
        <v>100</v>
      </c>
      <c r="V35" s="774" t="s">
        <v>17</v>
      </c>
      <c r="W35" s="775">
        <f t="shared" si="12"/>
        <v>100</v>
      </c>
      <c r="X35" s="1816"/>
      <c r="Y35" s="3156"/>
      <c r="Z35" s="1817" t="str">
        <f t="shared" si="13"/>
        <v>宗地形状</v>
      </c>
      <c r="AA35" s="1814">
        <f t="shared" si="3"/>
        <v>1</v>
      </c>
      <c r="AB35" s="1814">
        <f t="shared" si="4"/>
        <v>1</v>
      </c>
      <c r="AC35" s="1814">
        <f t="shared" si="5"/>
        <v>1</v>
      </c>
    </row>
    <row r="36" spans="1:29" s="116" customFormat="1" ht="15">
      <c r="A36" s="473"/>
      <c r="B36" s="422" t="s">
        <v>2755</v>
      </c>
      <c r="C36" s="2703"/>
      <c r="D36" s="135">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156"/>
      <c r="Q36" s="1813" t="str">
        <f t="shared" si="14"/>
        <v>宗地开发程度</v>
      </c>
      <c r="R36" s="770" t="s">
        <v>17</v>
      </c>
      <c r="S36" s="771">
        <f t="shared" si="10"/>
        <v>100</v>
      </c>
      <c r="T36" s="770" t="s">
        <v>17</v>
      </c>
      <c r="U36" s="771">
        <f t="shared" si="11"/>
        <v>100</v>
      </c>
      <c r="V36" s="770" t="s">
        <v>17</v>
      </c>
      <c r="W36" s="771">
        <f t="shared" si="12"/>
        <v>100</v>
      </c>
      <c r="X36" s="772"/>
      <c r="Y36" s="3156"/>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156" t="s">
        <v>2566</v>
      </c>
      <c r="Q37" s="1813" t="str">
        <f t="shared" si="14"/>
        <v>工程地质条件</v>
      </c>
      <c r="R37" s="774" t="s">
        <v>17</v>
      </c>
      <c r="S37" s="775">
        <f t="shared" si="10"/>
        <v>100</v>
      </c>
      <c r="T37" s="774" t="s">
        <v>17</v>
      </c>
      <c r="U37" s="775">
        <f t="shared" si="11"/>
        <v>100</v>
      </c>
      <c r="V37" s="774" t="s">
        <v>17</v>
      </c>
      <c r="W37" s="775">
        <f t="shared" si="12"/>
        <v>100</v>
      </c>
      <c r="X37" s="1816"/>
      <c r="Y37" s="3156" t="s">
        <v>2566</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56"/>
      <c r="Q38" s="1813">
        <f t="shared" si="14"/>
        <v>111</v>
      </c>
      <c r="R38" s="774" t="s">
        <v>17</v>
      </c>
      <c r="S38" s="775">
        <f t="shared" si="10"/>
        <v>100</v>
      </c>
      <c r="T38" s="774" t="s">
        <v>17</v>
      </c>
      <c r="U38" s="775">
        <f t="shared" si="11"/>
        <v>100</v>
      </c>
      <c r="V38" s="774" t="s">
        <v>17</v>
      </c>
      <c r="W38" s="775">
        <f t="shared" si="12"/>
        <v>100</v>
      </c>
      <c r="X38" s="1816"/>
      <c r="Y38" s="3156"/>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56"/>
      <c r="Q39" s="1813">
        <f t="shared" si="14"/>
        <v>111</v>
      </c>
      <c r="R39" s="774" t="s">
        <v>17</v>
      </c>
      <c r="S39" s="775">
        <f t="shared" si="10"/>
        <v>100</v>
      </c>
      <c r="T39" s="774" t="s">
        <v>17</v>
      </c>
      <c r="U39" s="775">
        <f t="shared" si="11"/>
        <v>100</v>
      </c>
      <c r="V39" s="774" t="s">
        <v>17</v>
      </c>
      <c r="W39" s="775">
        <f t="shared" si="12"/>
        <v>100</v>
      </c>
      <c r="X39" s="1816"/>
      <c r="Y39" s="3156"/>
      <c r="Z39" s="1817">
        <f t="shared" si="13"/>
        <v>111</v>
      </c>
      <c r="AA39" s="1814">
        <f t="shared" si="3"/>
        <v>1</v>
      </c>
      <c r="AB39" s="1814">
        <f t="shared" si="4"/>
        <v>1</v>
      </c>
      <c r="AC39" s="1814">
        <f t="shared" si="5"/>
        <v>1</v>
      </c>
    </row>
    <row r="40" spans="1:29" s="471" customFormat="1" ht="15.75" thickBot="1">
      <c r="A40" s="468"/>
      <c r="B40" s="1389">
        <v>111</v>
      </c>
      <c r="C40" s="2704"/>
      <c r="D40" s="136">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56"/>
      <c r="Q40" s="1813">
        <f t="shared" si="14"/>
        <v>111</v>
      </c>
      <c r="R40" s="777" t="s">
        <v>17</v>
      </c>
      <c r="S40" s="778">
        <f t="shared" si="10"/>
        <v>100</v>
      </c>
      <c r="T40" s="777" t="s">
        <v>17</v>
      </c>
      <c r="U40" s="778">
        <f t="shared" si="11"/>
        <v>100</v>
      </c>
      <c r="V40" s="777" t="s">
        <v>17</v>
      </c>
      <c r="W40" s="778">
        <f t="shared" si="12"/>
        <v>100</v>
      </c>
      <c r="X40" s="779"/>
      <c r="Y40" s="3156"/>
      <c r="Z40" s="780">
        <f t="shared" si="13"/>
        <v>111</v>
      </c>
      <c r="AA40" s="1814">
        <f t="shared" si="3"/>
        <v>1</v>
      </c>
      <c r="AB40" s="1814">
        <f t="shared" si="4"/>
        <v>1</v>
      </c>
      <c r="AC40" s="1814">
        <f t="shared" si="5"/>
        <v>1</v>
      </c>
    </row>
    <row r="41" spans="1:29" ht="15">
      <c r="A41" s="479" t="s">
        <v>2721</v>
      </c>
      <c r="B41" s="2705" t="s">
        <v>2801</v>
      </c>
      <c r="C41" s="682" t="s">
        <v>1</v>
      </c>
      <c r="D41" s="481"/>
      <c r="E41" s="482"/>
      <c r="F41" s="483"/>
      <c r="G41" s="484"/>
      <c r="H41" s="485"/>
      <c r="I41" s="482"/>
      <c r="J41" s="485"/>
      <c r="K41" s="783"/>
      <c r="L41" s="1145"/>
      <c r="M41" s="1133"/>
      <c r="N41" s="1133"/>
      <c r="O41" s="1146"/>
      <c r="P41" s="3151" t="str">
        <f>A41</f>
        <v>成交单价</v>
      </c>
      <c r="Q41" s="3151"/>
      <c r="R41" s="3157">
        <f>E41</f>
        <v>0</v>
      </c>
      <c r="S41" s="3157"/>
      <c r="T41" s="3157">
        <f>G41</f>
        <v>0</v>
      </c>
      <c r="U41" s="3157"/>
      <c r="V41" s="3157">
        <f>I41</f>
        <v>0</v>
      </c>
      <c r="W41" s="315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5"/>
      <c r="M42" s="1133"/>
      <c r="N42" s="1133"/>
      <c r="O42" s="1146"/>
      <c r="P42" s="3151" t="str">
        <f>A42</f>
        <v>比较价值（元/平方米）</v>
      </c>
      <c r="Q42" s="3151"/>
      <c r="R42" s="3144" t="e">
        <f>ROUND(PRODUCT(R41,AA7:AA40),0)</f>
        <v>#DIV/0!</v>
      </c>
      <c r="S42" s="3144"/>
      <c r="T42" s="3144" t="e">
        <f>ROUND(PRODUCT(T41,AB7:AB40),0)</f>
        <v>#DIV/0!</v>
      </c>
      <c r="U42" s="3144"/>
      <c r="V42" s="3144" t="e">
        <f>ROUND(PRODUCT(V41,AC7:AC40),0)</f>
        <v>#DIV/0!</v>
      </c>
      <c r="W42" s="314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5"/>
      <c r="M43" s="1133"/>
      <c r="N43" s="1133"/>
      <c r="O43" s="1146"/>
      <c r="P43" s="3145" t="str">
        <f>A43</f>
        <v>估价对象XX用房的比较价值（楼面单价，元/平方米）</v>
      </c>
      <c r="Q43" s="3146"/>
      <c r="R43" s="3147" t="e">
        <f>ROUND(AVERAGE(R42:V42),0)</f>
        <v>#DIV/0!</v>
      </c>
      <c r="S43" s="3147"/>
      <c r="T43" s="3147"/>
      <c r="U43" s="3147"/>
      <c r="V43" s="3147"/>
      <c r="W43" s="3147"/>
      <c r="X43" s="759"/>
      <c r="Y43" s="759"/>
      <c r="Z43" s="759"/>
      <c r="AA43" s="759"/>
      <c r="AB43" s="759"/>
      <c r="AC43" s="759"/>
    </row>
    <row r="44" spans="1:29">
      <c r="A44" s="1146"/>
      <c r="B44" s="1146"/>
      <c r="C44" s="1146"/>
      <c r="D44" s="1146"/>
      <c r="E44" s="1146"/>
      <c r="F44" s="1146"/>
      <c r="G44" s="1149"/>
      <c r="H44" s="1146"/>
      <c r="I44" s="1146"/>
      <c r="J44" s="1146"/>
      <c r="K44" s="1108"/>
      <c r="L44" s="1109"/>
      <c r="M44" s="1133"/>
      <c r="N44" s="1133"/>
      <c r="O44" s="1146"/>
    </row>
    <row r="45" spans="1:29">
      <c r="A45" s="1146"/>
      <c r="B45" s="1146"/>
      <c r="C45" s="1146"/>
      <c r="D45" s="1146"/>
      <c r="E45" s="1146"/>
      <c r="F45" s="1146"/>
      <c r="G45" s="1146"/>
      <c r="H45" s="1146"/>
      <c r="I45" s="1146"/>
      <c r="J45" s="1146"/>
      <c r="K45" s="1108"/>
      <c r="L45" s="1109"/>
      <c r="M45" s="1133"/>
      <c r="N45" s="1133"/>
      <c r="O45" s="1146"/>
    </row>
    <row r="46" spans="1:29" ht="13.5" customHeight="1">
      <c r="A46" s="1146"/>
      <c r="B46" s="1146"/>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3"/>
      <c r="N46" s="1133"/>
      <c r="O46" s="1146"/>
    </row>
    <row r="47" spans="1:29" ht="13.5" customHeight="1">
      <c r="A47" s="1146"/>
      <c r="B47" s="1146"/>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6"/>
      <c r="N47" s="1146"/>
      <c r="O47" s="1146"/>
    </row>
    <row r="48" spans="1:29" s="502" customFormat="1" ht="13.5" customHeight="1">
      <c r="A48" s="1147"/>
      <c r="B48" s="1147"/>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2759</v>
      </c>
      <c r="B50" s="685" t="s">
        <v>2760</v>
      </c>
      <c r="C50" s="2706" t="s">
        <v>2761</v>
      </c>
      <c r="D50" s="2707" t="s">
        <v>2762</v>
      </c>
      <c r="E50" s="686" t="s">
        <v>2763</v>
      </c>
      <c r="F50" s="687" t="s">
        <v>2764</v>
      </c>
      <c r="G50" s="3148" t="s">
        <v>2765</v>
      </c>
      <c r="H50" s="3149"/>
      <c r="I50" s="1817" t="s">
        <v>2802</v>
      </c>
      <c r="J50" s="1817" t="str">
        <f>项目基本情况!F35</f>
        <v>陕西省西安市</v>
      </c>
      <c r="K50" s="2709" t="s">
        <v>2767</v>
      </c>
      <c r="L50" s="1109"/>
      <c r="M50" s="1146"/>
      <c r="N50" s="1146"/>
      <c r="O50" s="1146"/>
    </row>
    <row r="51" spans="1:17" s="692" customFormat="1">
      <c r="A51" s="688" t="s">
        <v>2768</v>
      </c>
      <c r="B51" s="689" t="e">
        <f>C43</f>
        <v>#DIV/0!</v>
      </c>
      <c r="C51" s="690">
        <v>1</v>
      </c>
      <c r="D51" s="1165">
        <v>1</v>
      </c>
      <c r="E51" s="690">
        <f>'数据-汇总表'!E8+'数据-汇总表'!E9</f>
        <v>135784.13</v>
      </c>
      <c r="F51" s="691" t="e">
        <f t="shared" ref="F51:F60" si="15">ROUND(B51*E51/10000,0)</f>
        <v>#DIV/0!</v>
      </c>
      <c r="G51" s="3150"/>
      <c r="H51" s="3151"/>
      <c r="I51" s="945">
        <v>1</v>
      </c>
      <c r="J51" s="945">
        <v>1</v>
      </c>
      <c r="K51" s="1147"/>
      <c r="L51" s="944"/>
      <c r="M51" s="944"/>
      <c r="N51" s="944"/>
      <c r="O51" s="944"/>
    </row>
    <row r="52" spans="1:17" s="692" customFormat="1">
      <c r="A52" s="693" t="s">
        <v>2769</v>
      </c>
      <c r="B52" s="262" t="e">
        <f>ROUND($C$43*C52*D52,0)</f>
        <v>#DIV/0!</v>
      </c>
      <c r="C52" s="200">
        <f t="shared" ref="C52:C60" si="16">IF($C$50="北京市系数",I52,J52)</f>
        <v>0</v>
      </c>
      <c r="D52" s="1166">
        <v>0.25</v>
      </c>
      <c r="E52" s="694"/>
      <c r="F52" s="691" t="e">
        <f t="shared" si="15"/>
        <v>#DIV/0!</v>
      </c>
      <c r="G52" s="3152" t="s">
        <v>2770</v>
      </c>
      <c r="H52" s="1107">
        <f>项目基本情况!B37</f>
        <v>0</v>
      </c>
      <c r="I52" s="945">
        <f>SUMIF(修正!A45:A56,H52,修正!B45:B56)</f>
        <v>0</v>
      </c>
      <c r="J52" s="946"/>
      <c r="K52" s="1146"/>
      <c r="L52" s="944"/>
      <c r="M52" s="944"/>
      <c r="N52" s="944"/>
      <c r="O52" s="944"/>
    </row>
    <row r="53" spans="1:17" s="692" customFormat="1">
      <c r="A53" s="693" t="s">
        <v>2771</v>
      </c>
      <c r="B53" s="262" t="e">
        <f t="shared" ref="B53:B60" si="17">ROUND($C$43*C53*D53,0)</f>
        <v>#DIV/0!</v>
      </c>
      <c r="C53" s="200">
        <f t="shared" si="16"/>
        <v>0</v>
      </c>
      <c r="D53" s="1166">
        <v>0.25</v>
      </c>
      <c r="E53" s="694"/>
      <c r="F53" s="691" t="e">
        <f t="shared" si="15"/>
        <v>#DIV/0!</v>
      </c>
      <c r="G53" s="3152"/>
      <c r="H53" s="1107">
        <f>项目基本情况!B37</f>
        <v>0</v>
      </c>
      <c r="I53" s="945">
        <f>SUMIF(修正!A45:A56,H53,修正!C45:C56)</f>
        <v>0</v>
      </c>
      <c r="J53" s="946"/>
      <c r="K53" s="1147"/>
      <c r="L53" s="944"/>
      <c r="M53" s="944"/>
      <c r="N53" s="944"/>
      <c r="O53" s="944"/>
    </row>
    <row r="54" spans="1:17" s="692" customFormat="1">
      <c r="A54" s="693" t="s">
        <v>2772</v>
      </c>
      <c r="B54" s="262" t="e">
        <f t="shared" si="17"/>
        <v>#DIV/0!</v>
      </c>
      <c r="C54" s="200">
        <f t="shared" si="16"/>
        <v>0</v>
      </c>
      <c r="D54" s="1166">
        <v>0.25</v>
      </c>
      <c r="E54" s="694"/>
      <c r="F54" s="691" t="e">
        <f t="shared" si="15"/>
        <v>#DIV/0!</v>
      </c>
      <c r="G54" s="3152"/>
      <c r="H54" s="1107">
        <f>项目基本情况!B37</f>
        <v>0</v>
      </c>
      <c r="I54" s="945">
        <f>SUMIF(修正!A45:A56,H54,修正!D45:D56)</f>
        <v>0</v>
      </c>
      <c r="J54" s="946"/>
      <c r="K54" s="1146"/>
      <c r="L54" s="944"/>
      <c r="M54" s="944"/>
      <c r="N54" s="944"/>
      <c r="O54" s="944"/>
    </row>
    <row r="55" spans="1:17" s="692" customFormat="1">
      <c r="A55" s="693" t="s">
        <v>2773</v>
      </c>
      <c r="B55" s="262" t="e">
        <f t="shared" si="17"/>
        <v>#DIV/0!</v>
      </c>
      <c r="C55" s="200">
        <f t="shared" si="16"/>
        <v>0</v>
      </c>
      <c r="D55" s="1166">
        <v>0.25</v>
      </c>
      <c r="E55" s="694"/>
      <c r="F55" s="691" t="e">
        <f t="shared" si="15"/>
        <v>#DIV/0!</v>
      </c>
      <c r="G55" s="3152"/>
      <c r="H55" s="1107">
        <f>项目基本情况!B37</f>
        <v>0</v>
      </c>
      <c r="I55" s="945">
        <f>SUMIF(修正!A45:A56,H55,修正!E45:E56)</f>
        <v>0</v>
      </c>
      <c r="J55" s="946"/>
      <c r="K55" s="1147"/>
      <c r="L55" s="944"/>
      <c r="M55" s="944"/>
      <c r="N55" s="944"/>
      <c r="O55" s="944"/>
    </row>
    <row r="56" spans="1:17" s="692" customFormat="1">
      <c r="A56" s="693" t="s">
        <v>2774</v>
      </c>
      <c r="B56" s="262" t="e">
        <f t="shared" si="17"/>
        <v>#DIV/0!</v>
      </c>
      <c r="C56" s="200">
        <f t="shared" si="16"/>
        <v>0</v>
      </c>
      <c r="D56" s="1166">
        <v>0.25</v>
      </c>
      <c r="E56" s="261">
        <f>'数据-汇总表'!E11</f>
        <v>0</v>
      </c>
      <c r="F56" s="691" t="e">
        <f t="shared" si="15"/>
        <v>#DIV/0!</v>
      </c>
      <c r="G56" s="2710" t="s">
        <v>2775</v>
      </c>
      <c r="H56" s="1107">
        <f>项目基本情况!C37</f>
        <v>0</v>
      </c>
      <c r="I56" s="945">
        <f>SUMIF(修正!A45:A56,H56,修正!F45:F56)</f>
        <v>0</v>
      </c>
      <c r="J56" s="946"/>
      <c r="K56" s="1146"/>
      <c r="L56" s="944"/>
      <c r="M56" s="944"/>
      <c r="N56" s="944"/>
      <c r="O56" s="944"/>
    </row>
    <row r="57" spans="1:17" s="692" customFormat="1">
      <c r="A57" s="693" t="s">
        <v>2776</v>
      </c>
      <c r="B57" s="262" t="e">
        <f t="shared" si="17"/>
        <v>#DIV/0!</v>
      </c>
      <c r="C57" s="200">
        <f t="shared" si="16"/>
        <v>0</v>
      </c>
      <c r="D57" s="1166">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2778</v>
      </c>
      <c r="B58" s="262" t="e">
        <f t="shared" si="17"/>
        <v>#DIV/0!</v>
      </c>
      <c r="C58" s="200">
        <f t="shared" si="16"/>
        <v>0</v>
      </c>
      <c r="D58" s="1166">
        <v>0.25</v>
      </c>
      <c r="E58" s="261">
        <f>'数据-汇总表'!E13</f>
        <v>74071</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2780</v>
      </c>
      <c r="B59" s="262" t="e">
        <f t="shared" si="17"/>
        <v>#DIV/0!</v>
      </c>
      <c r="C59" s="200">
        <f t="shared" si="16"/>
        <v>0</v>
      </c>
      <c r="D59" s="1166">
        <v>0.25</v>
      </c>
      <c r="E59" s="261">
        <f>'数据-汇总表'!E14</f>
        <v>0</v>
      </c>
      <c r="F59" s="691" t="e">
        <f t="shared" si="15"/>
        <v>#DIV/0!</v>
      </c>
      <c r="G59" s="2710" t="s">
        <v>2770</v>
      </c>
      <c r="H59" s="1107">
        <f>项目基本情况!B37</f>
        <v>0</v>
      </c>
      <c r="I59" s="945">
        <f>SUMIF(修正!A45:A56,H59,修正!H45:H56)</f>
        <v>0</v>
      </c>
      <c r="J59" s="946"/>
      <c r="K59" s="1147"/>
      <c r="L59" s="944"/>
      <c r="M59" s="944"/>
      <c r="N59" s="944"/>
      <c r="O59" s="944"/>
    </row>
    <row r="60" spans="1:17" s="692" customFormat="1" ht="15" thickBot="1">
      <c r="A60" s="693" t="s">
        <v>2781</v>
      </c>
      <c r="B60" s="262" t="e">
        <f t="shared" si="17"/>
        <v>#DIV/0!</v>
      </c>
      <c r="C60" s="200">
        <f t="shared" si="16"/>
        <v>0</v>
      </c>
      <c r="D60" s="1166">
        <v>0.25</v>
      </c>
      <c r="E60" s="261">
        <f>'数据-汇总表'!E15</f>
        <v>0</v>
      </c>
      <c r="F60" s="691" t="e">
        <f t="shared" si="15"/>
        <v>#DIV/0!</v>
      </c>
      <c r="G60" s="2711" t="s">
        <v>2775</v>
      </c>
      <c r="H60" s="1116">
        <f>项目基本情况!C37</f>
        <v>0</v>
      </c>
      <c r="I60" s="945">
        <f>SUMIF(修正!A45:A56,H60,修正!H45:H56)</f>
        <v>0</v>
      </c>
      <c r="J60" s="946"/>
      <c r="K60" s="1146"/>
      <c r="L60" s="944"/>
      <c r="M60" s="944"/>
      <c r="N60" s="944"/>
      <c r="O60" s="944"/>
    </row>
    <row r="61" spans="1:17" s="692" customFormat="1" ht="15" thickBot="1">
      <c r="A61" s="695" t="s">
        <v>2782</v>
      </c>
      <c r="B61" s="696" t="s">
        <v>28</v>
      </c>
      <c r="C61" s="696" t="s">
        <v>29</v>
      </c>
      <c r="D61" s="696" t="s">
        <v>1029</v>
      </c>
      <c r="E61" s="696">
        <f>IF(B41="楼面地价",SUM(E51:E60),'数据-汇总表'!D3)</f>
        <v>60945.37</v>
      </c>
      <c r="F61" s="697" t="e">
        <f>IF(B41="楼面地价",SUM(F51:F60),ROUND(C43*E61/10000,0))</f>
        <v>#DIV/0!</v>
      </c>
      <c r="G61" s="1160"/>
      <c r="H61" s="1160"/>
      <c r="I61" s="1160"/>
      <c r="J61" s="1160"/>
      <c r="K61" s="1108"/>
      <c r="L61" s="944"/>
      <c r="M61" s="944"/>
      <c r="N61" s="944"/>
      <c r="O61" s="944"/>
    </row>
    <row r="62" spans="1:17">
      <c r="A62" s="1146"/>
      <c r="B62" s="1148"/>
      <c r="C62" s="1152"/>
      <c r="D62" s="1146"/>
      <c r="E62" s="1146"/>
      <c r="F62" s="1146"/>
      <c r="G62" s="1146"/>
      <c r="H62" s="1146"/>
      <c r="I62" s="1146"/>
      <c r="J62" s="1146"/>
      <c r="K62" s="1108"/>
      <c r="L62" s="1109"/>
      <c r="M62" s="1146"/>
      <c r="N62" s="1146"/>
      <c r="O62" s="1146"/>
    </row>
    <row r="63" spans="1:17">
      <c r="A63" s="1146"/>
      <c r="B63" s="1148"/>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2675</v>
      </c>
      <c r="B64" s="759"/>
      <c r="C64" s="764"/>
      <c r="D64" s="764"/>
      <c r="E64" s="764"/>
      <c r="F64" s="765"/>
      <c r="G64" s="765"/>
      <c r="H64" s="764"/>
      <c r="I64" s="764"/>
      <c r="J64" s="764"/>
      <c r="K64" s="766"/>
      <c r="L64" s="767"/>
      <c r="M64" s="764"/>
      <c r="N64" s="764"/>
      <c r="O64" s="1161"/>
      <c r="P64" s="503"/>
      <c r="Q64" s="504"/>
    </row>
    <row r="65" spans="1:17" s="508" customFormat="1" ht="15">
      <c r="A65" s="2712" t="s">
        <v>2783</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6" customFormat="1" ht="30.75" customHeight="1">
      <c r="A66" s="2717" t="s">
        <v>2803</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3"/>
      <c r="O68" s="1153"/>
      <c r="P68" s="526"/>
      <c r="Q68" s="504"/>
    </row>
    <row r="69" spans="1:17" s="116"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2589</v>
      </c>
      <c r="B70" s="528" t="s">
        <v>2555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6" customFormat="1" ht="15.75" thickTop="1">
      <c r="A87" s="579"/>
      <c r="B87" s="538" t="s">
        <v>2786</v>
      </c>
      <c r="C87" s="573" t="s">
        <v>2598</v>
      </c>
      <c r="D87" s="573" t="s">
        <v>2599</v>
      </c>
      <c r="E87" s="573" t="s">
        <v>2600</v>
      </c>
      <c r="F87" s="573" t="s">
        <v>2601</v>
      </c>
      <c r="G87" s="573" t="s">
        <v>2602</v>
      </c>
      <c r="H87" s="578"/>
      <c r="I87" s="578"/>
      <c r="J87" s="578"/>
      <c r="K87" s="578"/>
      <c r="L87" s="698"/>
      <c r="M87" s="622"/>
      <c r="N87" s="1153"/>
      <c r="O87" s="1153"/>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6" customFormat="1" ht="27.75" thickTop="1">
      <c r="A89" s="579"/>
      <c r="B89" s="538" t="s">
        <v>2787</v>
      </c>
      <c r="C89" s="573" t="s">
        <v>2598</v>
      </c>
      <c r="D89" s="573" t="s">
        <v>2599</v>
      </c>
      <c r="E89" s="573" t="s">
        <v>2600</v>
      </c>
      <c r="F89" s="573" t="s">
        <v>2601</v>
      </c>
      <c r="G89" s="573" t="s">
        <v>2602</v>
      </c>
      <c r="H89" s="578"/>
      <c r="I89" s="578"/>
      <c r="J89" s="578"/>
      <c r="K89" s="578"/>
      <c r="L89" s="578"/>
      <c r="M89" s="622"/>
      <c r="N89" s="1153"/>
      <c r="O89" s="1153"/>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L29" sqref="L29"/>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72"/>
      <c r="L1" s="2719" t="s">
        <v>2807</v>
      </c>
      <c r="M1" s="1083">
        <f>SUMPRODUCT((区片价!B5:B9=I2)*(区片价!C3:F3=E2)*(区片价!C5:F9))</f>
        <v>0</v>
      </c>
      <c r="N1" s="1086">
        <f>SUMPRODUCT((因素修正幅度!B5:B9=I2)*(因素修正幅度!C3:F3=E2)*(因素修正幅度!C5:F9))</f>
        <v>0</v>
      </c>
      <c r="O1" s="2720"/>
      <c r="P1" s="2720"/>
      <c r="Q1" s="1372"/>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72"/>
      <c r="L2" s="2727" t="s">
        <v>2818</v>
      </c>
      <c r="M2" s="1084">
        <f>SUMPRODUCT((区片价!B10:B28=I2)*(区片价!C3:F3=E2)*(区片价!C10:F28))</f>
        <v>0</v>
      </c>
      <c r="N2" s="1086">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2" t="s">
        <v>2820</v>
      </c>
      <c r="D3" s="2723" t="s">
        <v>2821</v>
      </c>
      <c r="E3" s="2728"/>
      <c r="F3" s="2729" t="s">
        <v>2822</v>
      </c>
      <c r="G3" s="916">
        <f>IF(F3="宗地容积率",'数据-汇总表'!I4,IF(F3="估价对象容积率",'数据-汇总表'!I6,'数据-汇总表'!I7))</f>
        <v>2.39</v>
      </c>
      <c r="H3" s="198" t="s">
        <v>2823</v>
      </c>
      <c r="I3" s="947"/>
      <c r="J3" s="2726" t="s">
        <v>2824</v>
      </c>
      <c r="K3" s="1372"/>
      <c r="L3" s="2727" t="s">
        <v>2825</v>
      </c>
      <c r="M3" s="1084">
        <f>SUMPRODUCT((区片价!B29:B48=I2)*(区片价!C3:F3=E2)*(区片价!C29:F48))</f>
        <v>0</v>
      </c>
      <c r="N3" s="1086">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8"/>
      <c r="B4" s="3249"/>
      <c r="C4" s="3249"/>
      <c r="D4" s="3250"/>
      <c r="E4" s="3250"/>
      <c r="F4" s="3250"/>
      <c r="G4" s="3250"/>
      <c r="H4" s="3250"/>
      <c r="I4" s="3250"/>
      <c r="J4" s="3251"/>
      <c r="K4" s="1372"/>
      <c r="L4" s="2727" t="s">
        <v>2826</v>
      </c>
      <c r="M4" s="1084">
        <f>SUMPRODUCT((区片价!B49:B75=I2)*(区片价!C3:F3=E2)*(区片价!C49:F75))</f>
        <v>0</v>
      </c>
      <c r="N4" s="1086">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2827</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2828</v>
      </c>
      <c r="M5" s="1084">
        <f>SUMPRODUCT((区片价!B76:B109=I2)*(区片价!C3:F3=E2)*(区片价!C76:F109))</f>
        <v>0</v>
      </c>
      <c r="N5" s="1086">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2829</v>
      </c>
      <c r="B6" s="2741" t="s">
        <v>2830</v>
      </c>
      <c r="C6" s="918">
        <f>SUMIF(L1:L12,G2,M1:M12)</f>
        <v>0</v>
      </c>
      <c r="D6" s="2742" t="s">
        <v>2831</v>
      </c>
      <c r="E6" s="2743"/>
      <c r="F6" s="2743"/>
      <c r="G6" s="2744"/>
      <c r="H6" s="2744"/>
      <c r="I6" s="2744"/>
      <c r="J6" s="2745"/>
      <c r="K6" s="1845"/>
      <c r="L6" s="2727" t="s">
        <v>2832</v>
      </c>
      <c r="M6" s="1084">
        <f>SUMPRODUCT((区片价!B110:B157=I2)*(区片价!C3:F3=E2)*(区片价!C110:F157))</f>
        <v>0</v>
      </c>
      <c r="N6" s="1086">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52" t="str">
        <f>IF(E2="商业",IF(C8="不临58条商业街","",2),"")</f>
        <v/>
      </c>
      <c r="B7" s="2746" t="s">
        <v>2833</v>
      </c>
      <c r="C7" s="919" t="e">
        <f>IF(C8="不临58条商业街",1,ROUND(1+(1.6*E8+1.2*E9+0.8*E10+0.4*E11)*C9,4))</f>
        <v>#DIV/0!</v>
      </c>
      <c r="D7" s="2747" t="s">
        <v>2834</v>
      </c>
      <c r="E7" s="948"/>
      <c r="F7" s="2748"/>
      <c r="G7" s="2749"/>
      <c r="H7" s="2749"/>
      <c r="I7" s="2749"/>
      <c r="J7" s="2750"/>
      <c r="K7" s="1845"/>
      <c r="L7" s="2727" t="s">
        <v>2835</v>
      </c>
      <c r="M7" s="1084">
        <f>SUMPRODUCT((区片价!B158:B205=I2)*(区片价!C3:F3=E2)*(区片价!C158:F205))</f>
        <v>0</v>
      </c>
      <c r="N7" s="1086">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2.39</v>
      </c>
      <c r="AA7" s="1609"/>
      <c r="AB7" s="1609"/>
      <c r="AC7" s="1610"/>
      <c r="AD7" s="1611"/>
      <c r="AE7" s="1611"/>
      <c r="AF7" s="1611"/>
      <c r="AG7" s="1611"/>
      <c r="AH7" s="1611"/>
      <c r="AI7" s="1611"/>
      <c r="AJ7" s="1612"/>
    </row>
    <row r="8" spans="1:36" ht="15">
      <c r="A8" s="3253"/>
      <c r="B8" s="198" t="s">
        <v>2838</v>
      </c>
      <c r="C8" s="2751"/>
      <c r="D8" s="920" t="s">
        <v>139</v>
      </c>
      <c r="E8" s="921" t="e">
        <f>ROUND(C11/E7,4)</f>
        <v>#DIV/0!</v>
      </c>
      <c r="F8" s="2752" t="s">
        <v>2839</v>
      </c>
      <c r="G8" s="2753"/>
      <c r="H8" s="2753"/>
      <c r="I8" s="2753"/>
      <c r="J8" s="2754"/>
      <c r="K8" s="1372"/>
      <c r="L8" s="2727" t="s">
        <v>2840</v>
      </c>
      <c r="M8" s="1084">
        <f>SUMPRODUCT((区片价!B206:B244=I2)*(区片价!C3:F3=E2)*(区片价!C206:F244))</f>
        <v>0</v>
      </c>
      <c r="N8" s="1086">
        <f>SUMPRODUCT((因素修正幅度!B206:B244=I2)*(因素修正幅度!C3:F3=E2)*(因素修正幅度!C206:F244))</f>
        <v>0</v>
      </c>
      <c r="O8" s="1372"/>
      <c r="P8" s="1372"/>
      <c r="Q8" s="1372"/>
      <c r="R8" s="1605">
        <v>7</v>
      </c>
      <c r="S8" s="1606"/>
      <c r="T8" s="1605" t="e">
        <f t="shared" si="0"/>
        <v>#DIV/0!</v>
      </c>
      <c r="U8" s="1606"/>
      <c r="V8" s="1605" t="e">
        <f t="shared" si="1"/>
        <v>#DIV/0!</v>
      </c>
      <c r="W8" s="3245" t="s">
        <v>2841</v>
      </c>
      <c r="X8" s="3246"/>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53"/>
      <c r="B9" s="198" t="s">
        <v>2854</v>
      </c>
      <c r="C9" s="922">
        <f>SUMIF(修正!C59:C119,C8,修正!E59:E119)</f>
        <v>0</v>
      </c>
      <c r="D9" s="200" t="s">
        <v>140</v>
      </c>
      <c r="E9" s="200" t="e">
        <f>ROUND(C11/E7,4)</f>
        <v>#DIV/0!</v>
      </c>
      <c r="F9" s="2752" t="s">
        <v>2855</v>
      </c>
      <c r="G9" s="2753"/>
      <c r="H9" s="2753"/>
      <c r="I9" s="2753"/>
      <c r="J9" s="2754"/>
      <c r="K9" s="1372"/>
      <c r="L9" s="2727" t="s">
        <v>2856</v>
      </c>
      <c r="M9" s="1084">
        <f>SUMPRODUCT((区片价!B245:B289=I2)*(区片价!C3:F3=E2)*(区片价!C245:F289))</f>
        <v>0</v>
      </c>
      <c r="N9" s="1086">
        <f>SUMPRODUCT((因素修正幅度!B245:B289=I2)*(因素修正幅度!C3:F3=E2)*(因素修正幅度!C245:F289))</f>
        <v>0</v>
      </c>
      <c r="O9" s="1372"/>
      <c r="P9" s="1372"/>
      <c r="Q9" s="1372"/>
      <c r="R9" s="1605">
        <v>8</v>
      </c>
      <c r="S9" s="1606"/>
      <c r="T9" s="1605" t="e">
        <f t="shared" si="0"/>
        <v>#DIV/0!</v>
      </c>
      <c r="U9" s="1606"/>
      <c r="V9" s="1605" t="e">
        <f t="shared" si="1"/>
        <v>#DIV/0!</v>
      </c>
      <c r="W9" s="3247"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3"/>
      <c r="B10" s="198" t="s">
        <v>2859</v>
      </c>
      <c r="C10" s="200">
        <f>SUMIF(修正!C59:C119,C8,修正!F59:F119)</f>
        <v>0</v>
      </c>
      <c r="D10" s="200" t="s">
        <v>141</v>
      </c>
      <c r="E10" s="200" t="e">
        <f>ROUND(C11/E7,4)</f>
        <v>#DIV/0!</v>
      </c>
      <c r="F10" s="2752" t="s">
        <v>2860</v>
      </c>
      <c r="G10" s="2753"/>
      <c r="H10" s="2753"/>
      <c r="I10" s="2753"/>
      <c r="J10" s="2754"/>
      <c r="K10" s="1372"/>
      <c r="L10" s="2727" t="s">
        <v>2861</v>
      </c>
      <c r="M10" s="1084">
        <f>SUMPRODUCT((区片价!B290:B316=I2)*(区片价!C3:F3=E2)*(区片价!C290:F316))</f>
        <v>0</v>
      </c>
      <c r="N10" s="1086">
        <f>SUMPRODUCT((因素修正幅度!B290:B316=I2)*(因素修正幅度!C3:F3=E2)*(因素修正幅度!C290:F316))</f>
        <v>0</v>
      </c>
      <c r="O10" s="1372"/>
      <c r="P10" s="1372"/>
      <c r="Q10" s="1372"/>
      <c r="R10" s="1605">
        <v>9</v>
      </c>
      <c r="S10" s="1606"/>
      <c r="T10" s="1605" t="e">
        <f t="shared" si="0"/>
        <v>#DIV/0!</v>
      </c>
      <c r="U10" s="1606"/>
      <c r="V10" s="1605" t="e">
        <f t="shared" si="1"/>
        <v>#DIV/0!</v>
      </c>
      <c r="W10" s="32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3"/>
      <c r="B11" s="2755" t="s">
        <v>2862</v>
      </c>
      <c r="C11" s="923">
        <f>C10/4</f>
        <v>0</v>
      </c>
      <c r="D11" s="923" t="s">
        <v>142</v>
      </c>
      <c r="E11" s="923" t="e">
        <f>ROUND(C11/E7,4)</f>
        <v>#DIV/0!</v>
      </c>
      <c r="F11" s="2756" t="s">
        <v>2863</v>
      </c>
      <c r="G11" s="2757"/>
      <c r="H11" s="2757"/>
      <c r="I11" s="2757"/>
      <c r="J11" s="2758"/>
      <c r="K11" s="1372"/>
      <c r="L11" s="2727" t="s">
        <v>2864</v>
      </c>
      <c r="M11" s="1084">
        <f>SUMPRODUCT((区片价!B317:B337=I2)*(区片价!C3:F3=E2)*(区片价!C317:F337))</f>
        <v>0</v>
      </c>
      <c r="N11" s="1086">
        <f>SUMPRODUCT((因素修正幅度!B317:B337=I2)*(因素修正幅度!C3:F3=E2)*(因素修正幅度!C317:F337))</f>
        <v>0</v>
      </c>
      <c r="O11" s="1372"/>
      <c r="P11" s="1372"/>
      <c r="Q11" s="1372"/>
      <c r="R11" s="1605">
        <v>10</v>
      </c>
      <c r="S11" s="1606"/>
      <c r="T11" s="1605" t="e">
        <f t="shared" si="0"/>
        <v>#DIV/0!</v>
      </c>
      <c r="U11" s="1606"/>
      <c r="V11" s="1605" t="e">
        <f t="shared" si="1"/>
        <v>#DIV/0!</v>
      </c>
      <c r="W11" s="3247" t="s">
        <v>2865</v>
      </c>
      <c r="X11" s="1617" t="s">
        <v>2866</v>
      </c>
      <c r="Y11" s="1618">
        <f>$G$3</f>
        <v>2.39</v>
      </c>
      <c r="Z11" s="1618">
        <f t="shared" ref="Z11:AJ11" si="3">$G$3</f>
        <v>2.39</v>
      </c>
      <c r="AA11" s="1618">
        <f t="shared" si="3"/>
        <v>2.39</v>
      </c>
      <c r="AB11" s="1618">
        <f t="shared" si="3"/>
        <v>2.39</v>
      </c>
      <c r="AC11" s="1618">
        <f t="shared" si="3"/>
        <v>2.39</v>
      </c>
      <c r="AD11" s="1618">
        <f t="shared" si="3"/>
        <v>2.39</v>
      </c>
      <c r="AE11" s="1618">
        <f t="shared" si="3"/>
        <v>2.39</v>
      </c>
      <c r="AF11" s="1618">
        <f t="shared" si="3"/>
        <v>2.39</v>
      </c>
      <c r="AG11" s="1618">
        <f t="shared" si="3"/>
        <v>2.39</v>
      </c>
      <c r="AH11" s="1618">
        <f t="shared" si="3"/>
        <v>2.39</v>
      </c>
      <c r="AI11" s="1618">
        <f t="shared" si="3"/>
        <v>2.39</v>
      </c>
      <c r="AJ11" s="1618">
        <f t="shared" si="3"/>
        <v>2.39</v>
      </c>
    </row>
    <row r="12" spans="1:36" ht="25.5" thickBot="1">
      <c r="A12" s="3252" t="s">
        <v>2867</v>
      </c>
      <c r="B12" s="2759" t="s">
        <v>2868</v>
      </c>
      <c r="C12" s="919">
        <f>ROUND(C15*D15*E15*F15*G15*H15*I15*J15,4)</f>
        <v>1</v>
      </c>
      <c r="D12" s="2760" t="s">
        <v>2869</v>
      </c>
      <c r="E12" s="2761"/>
      <c r="F12" s="2761"/>
      <c r="G12" s="2762"/>
      <c r="H12" s="2762"/>
      <c r="I12" s="2762"/>
      <c r="J12" s="2763"/>
      <c r="K12" s="1372"/>
      <c r="L12" s="2764" t="s">
        <v>2870</v>
      </c>
      <c r="M12" s="1085">
        <f>SUMPRODUCT((区片价!B338:B344=I2)*(区片价!C3:F3=E2)*(区片价!C338:F344))</f>
        <v>0</v>
      </c>
      <c r="N12" s="1086">
        <f>SUMPRODUCT((因素修正幅度!B338:B344=I2)*(因素修正幅度!C3:F3=E2)*(因素修正幅度!C338:F344))</f>
        <v>0</v>
      </c>
      <c r="O12" s="1372"/>
      <c r="P12" s="1372"/>
      <c r="Q12" s="1372"/>
      <c r="R12" s="1605">
        <v>11</v>
      </c>
      <c r="S12" s="1606"/>
      <c r="T12" s="1605" t="e">
        <f t="shared" si="0"/>
        <v>#DIV/0!</v>
      </c>
      <c r="U12" s="1606"/>
      <c r="V12" s="1605" t="e">
        <f t="shared" si="1"/>
        <v>#DIV/0!</v>
      </c>
      <c r="W12" s="3247"/>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4"/>
      <c r="B13" s="2765" t="s">
        <v>2872</v>
      </c>
      <c r="C13" s="2766" t="s">
        <v>2873</v>
      </c>
      <c r="D13" s="1811" t="s">
        <v>2874</v>
      </c>
      <c r="E13" s="1811" t="s">
        <v>2875</v>
      </c>
      <c r="F13" s="30" t="s">
        <v>2876</v>
      </c>
      <c r="G13" s="2767" t="s">
        <v>2877</v>
      </c>
      <c r="H13" s="2767" t="s">
        <v>2877</v>
      </c>
      <c r="I13" s="2767" t="s">
        <v>2877</v>
      </c>
      <c r="J13" s="2768" t="s">
        <v>2877</v>
      </c>
      <c r="K13" s="1372"/>
      <c r="L13" s="1372"/>
      <c r="M13" s="1372"/>
      <c r="N13" s="1372"/>
      <c r="O13" s="1372"/>
      <c r="P13" s="1372"/>
      <c r="Q13" s="1372"/>
      <c r="R13" s="1605">
        <v>12</v>
      </c>
      <c r="S13" s="1606"/>
      <c r="T13" s="1605" t="e">
        <f t="shared" si="0"/>
        <v>#DIV/0!</v>
      </c>
      <c r="U13" s="1606"/>
      <c r="V13" s="1605" t="e">
        <f t="shared" si="1"/>
        <v>#DIV/0!</v>
      </c>
      <c r="W13" s="3247"/>
      <c r="X13" s="1619"/>
      <c r="Y13" s="1616">
        <f>(-0.163*(Y12^2)-0.59*Y12+7617)*(10^(-4))/Y11</f>
        <v>0.31870292887029289</v>
      </c>
      <c r="Z13" s="1616">
        <f t="shared" ref="Z13:AJ13" si="5">(-0.163*(Z12^2)-0.59*Z12+7617)*(10^(-4))/Z11</f>
        <v>0.31870292887029289</v>
      </c>
      <c r="AA13" s="1616">
        <f t="shared" si="5"/>
        <v>0.31870292887029289</v>
      </c>
      <c r="AB13" s="1616">
        <f t="shared" si="5"/>
        <v>0.31870292887029289</v>
      </c>
      <c r="AC13" s="1616">
        <f t="shared" si="5"/>
        <v>0.31870292887029289</v>
      </c>
      <c r="AD13" s="1616">
        <f t="shared" si="5"/>
        <v>0.31870292887029289</v>
      </c>
      <c r="AE13" s="1616">
        <f t="shared" si="5"/>
        <v>0.31870292887029289</v>
      </c>
      <c r="AF13" s="1616">
        <f t="shared" si="5"/>
        <v>0.31870292887029289</v>
      </c>
      <c r="AG13" s="1616">
        <f t="shared" si="5"/>
        <v>0.31870292887029289</v>
      </c>
      <c r="AH13" s="1616">
        <f t="shared" si="5"/>
        <v>0.31870292887029289</v>
      </c>
      <c r="AI13" s="1616">
        <f t="shared" si="5"/>
        <v>0.31870292887029289</v>
      </c>
      <c r="AJ13" s="1616">
        <f t="shared" si="5"/>
        <v>0.31870292887029289</v>
      </c>
    </row>
    <row r="14" spans="1:36" ht="15">
      <c r="A14" s="3254"/>
      <c r="B14" s="2769"/>
      <c r="C14" s="2770"/>
      <c r="D14" s="2771"/>
      <c r="E14" s="2771"/>
      <c r="F14" s="2772"/>
      <c r="G14" s="2773" t="s">
        <v>2878</v>
      </c>
      <c r="H14" s="2774"/>
      <c r="I14" s="2775"/>
      <c r="J14" s="2776"/>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5"/>
      <c r="B15" s="2777" t="s">
        <v>2879</v>
      </c>
      <c r="C15" s="229">
        <f>IF(C14="有",1.1,1)</f>
        <v>1</v>
      </c>
      <c r="D15" s="229">
        <f>IF(D14="有",1.1,1)</f>
        <v>1</v>
      </c>
      <c r="E15" s="229">
        <f>IF(E14="有",1.1,1)</f>
        <v>1</v>
      </c>
      <c r="F15" s="229">
        <f>IF(F14="500米范围内",1.2,IF(F14="500-1000米",1.1,1))</f>
        <v>1</v>
      </c>
      <c r="G15" s="949">
        <v>1</v>
      </c>
      <c r="H15" s="949">
        <v>1</v>
      </c>
      <c r="I15" s="949">
        <v>1</v>
      </c>
      <c r="J15" s="950">
        <v>1</v>
      </c>
      <c r="K15" s="1372"/>
      <c r="L15" s="2778" t="s">
        <v>2815</v>
      </c>
      <c r="M15" s="920" t="s">
        <v>2880</v>
      </c>
      <c r="N15" s="920" t="s">
        <v>2881</v>
      </c>
      <c r="O15" s="920" t="s">
        <v>2882</v>
      </c>
      <c r="P15" s="2779" t="s">
        <v>2883</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2" t="s">
        <v>2884</v>
      </c>
      <c r="B16" s="2746" t="s">
        <v>2885</v>
      </c>
      <c r="C16" s="1804" t="e">
        <f>ROUND(SUM(G17:J17)/C17,0)</f>
        <v>#DIV/0!</v>
      </c>
      <c r="D16" s="2780" t="s">
        <v>2886</v>
      </c>
      <c r="E16" s="2781"/>
      <c r="F16" s="2782"/>
      <c r="G16" s="2783"/>
      <c r="H16" s="2783"/>
      <c r="I16" s="2783"/>
      <c r="J16" s="2784"/>
      <c r="K16" s="1372"/>
      <c r="L16" s="2785" t="s">
        <v>2887</v>
      </c>
      <c r="M16" s="922">
        <v>0.25</v>
      </c>
      <c r="N16" s="922">
        <v>0.2</v>
      </c>
      <c r="O16" s="922">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3"/>
      <c r="B17" s="2786" t="s">
        <v>2888</v>
      </c>
      <c r="C17" s="924">
        <f>SUMPRODUCT((修正!A2:A5=E2)*(修正!B1:M1=G2)*(修正!B2:M5))</f>
        <v>0</v>
      </c>
      <c r="D17" s="2787"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2892</v>
      </c>
      <c r="C18" s="926">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2893</v>
      </c>
      <c r="C19" s="927" t="e">
        <f>ROUND(IF(H19="按公示增长率计算",SUMPRODUCT((地价!A3:A20=YEAR(G19)&amp;"-"&amp;ROUNDUP(MONTH(G19)/3,0))*(地价!X2:AB2=E2)*(地价!X3:AB20)),IF(H19="地价指数",M20/M19,(1+I19)^O19)),4)</f>
        <v>#DIV/0!</v>
      </c>
      <c r="D19" s="2798" t="s">
        <v>2894</v>
      </c>
      <c r="E19" s="928">
        <v>41640</v>
      </c>
      <c r="F19" s="2798" t="s">
        <v>2895</v>
      </c>
      <c r="G19" s="929">
        <f>'数据-取费表'!B2</f>
        <v>43025</v>
      </c>
      <c r="H19" s="2799" t="s">
        <v>2896</v>
      </c>
      <c r="I19" s="930" t="str">
        <f>IF(H19="季度增幅（自定义）",SUMIF(N21:N24,E2,O21:O24),"")</f>
        <v/>
      </c>
      <c r="J19" s="2796"/>
      <c r="K19" s="1379"/>
      <c r="L19" s="2800" t="s">
        <v>2897</v>
      </c>
      <c r="M19" s="1737">
        <f>ROUND(SUMIF(地价!B2:F2,E2,地价!B20:F20),0)</f>
        <v>0</v>
      </c>
      <c r="N19" s="2801" t="s">
        <v>2898</v>
      </c>
      <c r="O19" s="931">
        <f>ROUNDDOWN(DATEDIF(E19,G19,"M")/3,0)</f>
        <v>15</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2899</v>
      </c>
      <c r="C20" s="932" t="e">
        <f>ROUND(POWER(1+G20,J20-I20)*(POWER(1+G20,I20)-1)/(POWER(1+G20,J20)-1),4)</f>
        <v>#DIV/0!</v>
      </c>
      <c r="D20" s="2807" t="s">
        <v>2900</v>
      </c>
      <c r="E20" s="1771">
        <f ca="1">存贷款利率!D4/100</f>
        <v>4.3499999999999997E-2</v>
      </c>
      <c r="F20" s="2807" t="s">
        <v>2891</v>
      </c>
      <c r="G20" s="937">
        <f>SUMIF(M15:P15,E2,M17:P17)</f>
        <v>0</v>
      </c>
      <c r="H20" s="2807" t="s">
        <v>2901</v>
      </c>
      <c r="I20" s="938" t="e">
        <f>SUMIF('数据-取费表'!C6:C15,E2,'数据-取费表'!F6:F15)/COUNTIF('数据-取费表'!C6:C15,E2)</f>
        <v>#DIV/0!</v>
      </c>
      <c r="J20" s="939">
        <f>IF(E2="住宅",70,IF(E2="商业",40,50))</f>
        <v>50</v>
      </c>
      <c r="K20" s="1379"/>
      <c r="L20" s="2808" t="s">
        <v>2902</v>
      </c>
      <c r="M20" s="1738">
        <f>ROUND(SUMPRODUCT((地价!A5:A20=YEAR(G19)&amp;"-"&amp;ROUNDUP(MONTH(G19)/3,0))*(地价!B2:F2=E2)*(地价!B5:F20)),0)</f>
        <v>0</v>
      </c>
      <c r="N20" s="2809" t="s">
        <v>2903</v>
      </c>
      <c r="O20" s="2810" t="s">
        <v>2904</v>
      </c>
      <c r="P20" s="2811" t="s">
        <v>2905</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2906</v>
      </c>
      <c r="C21" s="940">
        <f>IF(B21="容积率修正",IF(G3&lt;=10,D22,J22),C23)</f>
        <v>0</v>
      </c>
      <c r="D21" s="2814"/>
      <c r="E21" s="2814"/>
      <c r="F21" s="2814"/>
      <c r="G21" s="2814"/>
      <c r="H21" s="2814"/>
      <c r="I21" s="2814"/>
      <c r="J21" s="2815"/>
      <c r="K21" s="1379"/>
      <c r="N21" s="2816" t="s">
        <v>2907</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2908</v>
      </c>
      <c r="B22" s="2817" t="s">
        <v>2909</v>
      </c>
      <c r="C22" s="1813" t="s">
        <v>2910</v>
      </c>
      <c r="D22" s="1813">
        <f>IF(E22=G22,F22,IF(G3&lt;=10,ROUND(F22+(H22-F22)*(G3-E22)/(G22-E22),4),"——"))</f>
        <v>0</v>
      </c>
      <c r="E22" s="916">
        <f>ROUNDDOWN(G3,1)</f>
        <v>2.2999999999999998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79"/>
      <c r="N22" s="2816" t="s">
        <v>2911</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5" t="s">
        <v>2912</v>
      </c>
      <c r="B23" s="2818" t="s">
        <v>2913</v>
      </c>
      <c r="C23" s="1016">
        <f>ROUND(IF(G3&gt;1,IF(I3&lt;7,SUMPRODUCT((B93:B98=I3)*(C92:N92=G2)*(C93:N98)),SUMIF(C92:N92,G2,C100:N100)),IF(I3&lt;7,SUMPRODUCT((B102:B107=I3)*(C92:N92=G2)*(C102:N107)),SUMIF(C92:N92,G2,C109:N109))),4)</f>
        <v>0</v>
      </c>
      <c r="D23" s="2774"/>
      <c r="E23" s="2774"/>
      <c r="F23" s="2819"/>
      <c r="G23" s="2820"/>
      <c r="H23" s="2821"/>
      <c r="I23" s="2822"/>
      <c r="J23" s="2823"/>
      <c r="K23" s="1372"/>
      <c r="N23" s="2816" t="s">
        <v>2914</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2915</v>
      </c>
      <c r="C24" s="927">
        <f>SUMIF(A45:A88,E2,B45:B88)</f>
        <v>0</v>
      </c>
      <c r="D24" s="2794"/>
      <c r="E24" s="2824"/>
      <c r="F24" s="2824"/>
      <c r="G24" s="2824"/>
      <c r="H24" s="2824"/>
      <c r="I24" s="2824"/>
      <c r="J24" s="2825"/>
      <c r="K24" s="1379"/>
      <c r="N24" s="2826" t="s">
        <v>2916</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2917</v>
      </c>
      <c r="C25" s="933"/>
      <c r="D25" s="2749"/>
      <c r="E25" s="2749"/>
      <c r="F25" s="2828"/>
      <c r="G25" s="2749"/>
      <c r="H25" s="2749"/>
      <c r="I25" s="2749"/>
      <c r="J25" s="2750"/>
      <c r="K25" s="1372"/>
      <c r="N25" s="2829" t="s">
        <v>2918</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0"/>
      <c r="B26" s="2817" t="s">
        <v>2919</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2920</v>
      </c>
      <c r="C27" s="934"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2921</v>
      </c>
      <c r="C28" s="2841" t="s">
        <v>2922</v>
      </c>
      <c r="D28" s="2841" t="s">
        <v>2923</v>
      </c>
      <c r="E28" s="2842" t="s">
        <v>2924</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2925</v>
      </c>
      <c r="C29" s="206" t="e">
        <f>ROUND(C5*C18*C19*C20*C21*C24,0)</f>
        <v>#DIV/0!</v>
      </c>
      <c r="D29" s="2846"/>
      <c r="E29" s="945" t="e">
        <f>ROUND(C29*D29/10000,0)</f>
        <v>#DIV/0!</v>
      </c>
      <c r="F29" s="2847" t="s">
        <v>2926</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2927</v>
      </c>
      <c r="C30" s="229" t="e">
        <f>ROUND(IF(E2="工业",C29*M39,C29*M38),0)</f>
        <v>#DIV/0!</v>
      </c>
      <c r="D30" s="2852"/>
      <c r="E30" s="945" t="e">
        <f>ROUND(C30*D30/10000,0)</f>
        <v>#DIV/0!</v>
      </c>
      <c r="F30" s="2853" t="s">
        <v>2928</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2922</v>
      </c>
      <c r="D32" s="498" t="s">
        <v>2923</v>
      </c>
      <c r="E32" s="498" t="s">
        <v>2924</v>
      </c>
      <c r="F32" s="388" t="s">
        <v>2932</v>
      </c>
      <c r="G32" s="2861" t="s">
        <v>2922</v>
      </c>
      <c r="H32" s="2861" t="s">
        <v>2923</v>
      </c>
      <c r="I32" s="2861"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62" t="s">
        <v>2933</v>
      </c>
      <c r="B33" s="2862" t="s">
        <v>2934</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3"/>
      <c r="B34" s="2766" t="s">
        <v>2935</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3"/>
      <c r="B35" s="2766" t="s">
        <v>2936</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64"/>
      <c r="B36" s="2766" t="s">
        <v>2937</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2938</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2"/>
      <c r="L37" s="2865" t="s">
        <v>2939</v>
      </c>
      <c r="M37" s="2866"/>
      <c r="N37" s="1372"/>
      <c r="O37" s="1372"/>
      <c r="P37" s="1372"/>
      <c r="Q37" s="1372"/>
      <c r="R37" s="1372"/>
      <c r="S37" s="1372"/>
      <c r="T37" s="1372"/>
      <c r="U37" s="1372"/>
      <c r="V37" s="1372"/>
      <c r="W37" s="1372"/>
      <c r="X37" s="1372"/>
      <c r="Y37" s="1372"/>
      <c r="Z37" s="1373"/>
    </row>
    <row r="38" spans="1:37">
      <c r="A38" s="2864"/>
      <c r="B38" s="2766" t="s">
        <v>2940</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2"/>
      <c r="L38" s="1890" t="s">
        <v>2941</v>
      </c>
      <c r="M38" s="2867">
        <v>0.25</v>
      </c>
      <c r="N38" s="1372"/>
      <c r="O38" s="1372"/>
      <c r="P38" s="1372"/>
      <c r="Q38" s="1372"/>
      <c r="R38" s="1372"/>
      <c r="S38" s="1372"/>
      <c r="T38" s="1372"/>
      <c r="U38" s="1372"/>
      <c r="V38" s="1372"/>
      <c r="W38" s="1372"/>
      <c r="X38" s="1372"/>
      <c r="Y38" s="1372"/>
      <c r="Z38" s="1373"/>
    </row>
    <row r="39" spans="1:37" ht="13.5" thickBot="1">
      <c r="A39" s="2850"/>
      <c r="B39" s="2868" t="s">
        <v>2942</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2"/>
      <c r="L39" s="2870" t="s">
        <v>2883</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2943</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2944</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2945</v>
      </c>
      <c r="B47" s="1812" t="s">
        <v>2946</v>
      </c>
      <c r="C47" s="1812" t="s">
        <v>2947</v>
      </c>
      <c r="D47" s="1812" t="s">
        <v>2948</v>
      </c>
      <c r="E47" s="819" t="s">
        <v>2949</v>
      </c>
      <c r="F47" s="2880" t="s">
        <v>2950</v>
      </c>
      <c r="G47" s="1812" t="s">
        <v>754</v>
      </c>
      <c r="H47" s="2881" t="s">
        <v>2951</v>
      </c>
      <c r="I47" s="1812" t="s">
        <v>2952</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79" t="s">
        <v>2953</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2954</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2955</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2956</v>
      </c>
      <c r="B51" s="2884" t="s">
        <v>2957</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2958</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2959</v>
      </c>
      <c r="B53" s="2885" t="s">
        <v>2960</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2961</v>
      </c>
      <c r="B54" s="1728"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2962</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2963</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2964</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2945</v>
      </c>
      <c r="B58" s="1812"/>
      <c r="C58" s="1812" t="s">
        <v>2947</v>
      </c>
      <c r="D58" s="1812" t="s">
        <v>2948</v>
      </c>
      <c r="E58" s="819" t="s">
        <v>2949</v>
      </c>
      <c r="F58" s="2880" t="s">
        <v>2965</v>
      </c>
      <c r="G58" s="1812" t="s">
        <v>754</v>
      </c>
      <c r="H58" s="2881" t="s">
        <v>2951</v>
      </c>
      <c r="I58" s="1812" t="s">
        <v>2952</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79" t="s">
        <v>2966</v>
      </c>
      <c r="B59" s="2882" t="str">
        <f>估价对象房地状况!C17</f>
        <v>估价对象位于XX商圈，周边办公楼项目较多，入驻率高，办公集聚程度较好</v>
      </c>
      <c r="C59" s="2771"/>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2954</v>
      </c>
      <c r="B60" s="2883" t="str">
        <f>估价对象房地状况!C18</f>
        <v>估价对象周边道路状况、公共交通通达情况、停车便捷程度，综合评价交通便捷度较好</v>
      </c>
      <c r="C60" s="2771"/>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2955</v>
      </c>
      <c r="B61" s="2883">
        <f>估价对象房地状况!C19</f>
        <v>0</v>
      </c>
      <c r="C61" s="2771"/>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2956</v>
      </c>
      <c r="B62" s="2884" t="s">
        <v>2957</v>
      </c>
      <c r="C62" s="2771"/>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2958</v>
      </c>
      <c r="B63" s="2883">
        <f>估价对象房地状况!C24</f>
        <v>0</v>
      </c>
      <c r="C63" s="2771"/>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2959</v>
      </c>
      <c r="B64" s="2885" t="s">
        <v>2960</v>
      </c>
      <c r="C64" s="2771"/>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2961</v>
      </c>
      <c r="B65" s="1728" t="str">
        <f>估价对象房地状况!C21</f>
        <v>估价对象所在区域公共配套设施齐备情况</v>
      </c>
      <c r="C65" s="2771"/>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2962</v>
      </c>
      <c r="B66" s="1728" t="str">
        <f>估价对象房地状况!C22</f>
        <v>估价对象所在区域基础设施水平</v>
      </c>
      <c r="C66" s="2771"/>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2963</v>
      </c>
      <c r="B67" s="2889" t="str">
        <f>估价对象房地状况!C20</f>
        <v>区域自然环境：；人文环境；综合评价环境状况一般</v>
      </c>
      <c r="C67" s="2771"/>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2967</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2945</v>
      </c>
      <c r="B69" s="1812"/>
      <c r="C69" s="1812" t="s">
        <v>2947</v>
      </c>
      <c r="D69" s="1812" t="s">
        <v>2948</v>
      </c>
      <c r="E69" s="819" t="s">
        <v>2949</v>
      </c>
      <c r="F69" s="2880" t="s">
        <v>2965</v>
      </c>
      <c r="G69" s="1812" t="s">
        <v>754</v>
      </c>
      <c r="H69" s="2881" t="s">
        <v>2951</v>
      </c>
      <c r="I69" s="1812" t="s">
        <v>2952</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79" t="s">
        <v>2968</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2954</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2955</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2969</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2961</v>
      </c>
      <c r="B74" s="1728"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2962</v>
      </c>
      <c r="B75" s="1728"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2959</v>
      </c>
      <c r="B76" s="2885" t="s">
        <v>2960</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2963</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2970</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2971</v>
      </c>
      <c r="B79" s="2876">
        <f>1+E81</f>
        <v>1</v>
      </c>
      <c r="C79" s="814"/>
      <c r="D79" s="814"/>
      <c r="E79" s="815"/>
      <c r="F79" s="2878"/>
      <c r="G79" s="6"/>
      <c r="H79" s="6"/>
      <c r="I79" s="6"/>
      <c r="J79" s="7"/>
      <c r="K79" s="7"/>
      <c r="L79" s="7"/>
      <c r="M79" s="7"/>
      <c r="N79" s="7"/>
      <c r="Z79" s="2721"/>
      <c r="AA79" s="2797"/>
      <c r="AG79" s="1374"/>
      <c r="AK79" s="2797"/>
    </row>
    <row r="80" spans="1:37" ht="24.75">
      <c r="A80" s="2879" t="s">
        <v>2945</v>
      </c>
      <c r="B80" s="1812"/>
      <c r="C80" s="1812" t="s">
        <v>2947</v>
      </c>
      <c r="D80" s="1812" t="s">
        <v>2948</v>
      </c>
      <c r="E80" s="819" t="s">
        <v>2949</v>
      </c>
      <c r="F80" s="2880" t="s">
        <v>2965</v>
      </c>
      <c r="G80" s="1812" t="s">
        <v>754</v>
      </c>
      <c r="H80" s="2881" t="s">
        <v>2951</v>
      </c>
      <c r="I80" s="1812" t="s">
        <v>2952</v>
      </c>
      <c r="J80" s="603" t="s">
        <v>2598</v>
      </c>
      <c r="K80" s="603" t="s">
        <v>2599</v>
      </c>
      <c r="L80" s="603" t="s">
        <v>2600</v>
      </c>
      <c r="M80" s="603" t="s">
        <v>2601</v>
      </c>
      <c r="N80" s="603" t="s">
        <v>2602</v>
      </c>
      <c r="Z80" s="2721"/>
      <c r="AA80" s="2797"/>
      <c r="AG80" s="1374"/>
      <c r="AK80" s="2797"/>
    </row>
    <row r="81" spans="1:37" ht="38.25">
      <c r="A81" s="2879" t="s">
        <v>2972</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2954</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2955</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4.25">
      <c r="A84" s="2879" t="s">
        <v>2969</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5.5">
      <c r="A85" s="2879" t="s">
        <v>2961</v>
      </c>
      <c r="B85" s="1728"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5.5">
      <c r="A86" s="2879" t="s">
        <v>2962</v>
      </c>
      <c r="B86" s="1728"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24">
      <c r="A87" s="2879" t="s">
        <v>2959</v>
      </c>
      <c r="B87" s="2885" t="s">
        <v>2973</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39" thickBot="1">
      <c r="A88" s="2887" t="s">
        <v>2974</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56" t="s">
        <v>2975</v>
      </c>
      <c r="B90" s="3256"/>
      <c r="C90" s="3256"/>
      <c r="D90" s="3256"/>
      <c r="E90" s="3256"/>
      <c r="F90" s="3256"/>
      <c r="G90" s="3256"/>
      <c r="H90" s="3256"/>
      <c r="I90" s="3256"/>
      <c r="J90" s="3256"/>
      <c r="K90" s="2893"/>
      <c r="L90" s="2893"/>
      <c r="M90" s="2893"/>
      <c r="N90" s="2893"/>
    </row>
    <row r="91" spans="1:37">
      <c r="A91" s="3258" t="s">
        <v>2976</v>
      </c>
      <c r="B91" s="3258" t="s">
        <v>2977</v>
      </c>
      <c r="C91" s="2847" t="s">
        <v>2978</v>
      </c>
      <c r="D91" s="2848"/>
      <c r="E91" s="2848"/>
      <c r="F91" s="2848"/>
      <c r="G91" s="2848"/>
      <c r="H91" s="2848"/>
      <c r="I91" s="2848"/>
      <c r="J91" s="2894"/>
      <c r="K91" s="2895"/>
      <c r="L91" s="2895"/>
      <c r="M91" s="2895"/>
      <c r="N91" s="2895"/>
    </row>
    <row r="92" spans="1:37">
      <c r="A92" s="3258"/>
      <c r="B92" s="3258"/>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59"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0"/>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0"/>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0"/>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0"/>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0"/>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0"/>
      <c r="B99" s="2896" t="s">
        <v>2858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1"/>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9" t="s">
        <v>2980</v>
      </c>
      <c r="B101" s="2900" t="s">
        <v>2981</v>
      </c>
      <c r="C101" s="2901">
        <f>$G$3</f>
        <v>2.39</v>
      </c>
      <c r="D101" s="2901">
        <f t="shared" ref="D101:N101" si="31">$G$3</f>
        <v>2.39</v>
      </c>
      <c r="E101" s="2901">
        <f t="shared" si="31"/>
        <v>2.39</v>
      </c>
      <c r="F101" s="2901">
        <f t="shared" si="31"/>
        <v>2.39</v>
      </c>
      <c r="G101" s="2901">
        <f t="shared" si="31"/>
        <v>2.39</v>
      </c>
      <c r="H101" s="2901">
        <f t="shared" si="31"/>
        <v>2.39</v>
      </c>
      <c r="I101" s="2901">
        <f t="shared" si="31"/>
        <v>2.39</v>
      </c>
      <c r="J101" s="2901">
        <f t="shared" si="31"/>
        <v>2.39</v>
      </c>
      <c r="K101" s="2901">
        <f t="shared" si="31"/>
        <v>2.39</v>
      </c>
      <c r="L101" s="2901">
        <f t="shared" si="31"/>
        <v>2.39</v>
      </c>
      <c r="M101" s="2901">
        <f t="shared" si="31"/>
        <v>2.39</v>
      </c>
      <c r="N101" s="2901">
        <f t="shared" si="31"/>
        <v>2.39</v>
      </c>
    </row>
    <row r="102" spans="1:14">
      <c r="A102" s="3260"/>
      <c r="B102" s="2896">
        <v>1</v>
      </c>
      <c r="C102" s="2897">
        <f>1.9362/C101</f>
        <v>0.81012552301255225</v>
      </c>
      <c r="D102" s="2897">
        <f>1.9362/D101</f>
        <v>0.81012552301255225</v>
      </c>
      <c r="E102" s="2897">
        <f>1.8629/E101</f>
        <v>0.77945606694560665</v>
      </c>
      <c r="F102" s="2897">
        <f>1.8629/F101</f>
        <v>0.77945606694560665</v>
      </c>
      <c r="G102" s="2897">
        <f>1.8629/G101</f>
        <v>0.77945606694560665</v>
      </c>
      <c r="H102" s="2897">
        <f>1.8629/H101</f>
        <v>0.77945606694560665</v>
      </c>
      <c r="I102" s="2897">
        <f>1.8629/I101</f>
        <v>0.77945606694560665</v>
      </c>
      <c r="J102" s="2897">
        <f>1.942/J101</f>
        <v>0.81255230125523004</v>
      </c>
      <c r="K102" s="2897">
        <f>1.942/K101</f>
        <v>0.81255230125523004</v>
      </c>
      <c r="L102" s="2897">
        <f>1.942/L101</f>
        <v>0.81255230125523004</v>
      </c>
      <c r="M102" s="2897">
        <f>1.942/M101</f>
        <v>0.81255230125523004</v>
      </c>
      <c r="N102" s="2897">
        <f>1.942/N101</f>
        <v>0.81255230125523004</v>
      </c>
    </row>
    <row r="103" spans="1:14">
      <c r="A103" s="3260"/>
      <c r="B103" s="2896">
        <v>2</v>
      </c>
      <c r="C103" s="2897">
        <f>1.4198/C101</f>
        <v>0.59405857740585766</v>
      </c>
      <c r="D103" s="2897">
        <f>1.4198/D101</f>
        <v>0.59405857740585766</v>
      </c>
      <c r="E103" s="2897">
        <f>1.3372/E101</f>
        <v>0.55949790794979071</v>
      </c>
      <c r="F103" s="2897">
        <f>1.3372/F101</f>
        <v>0.55949790794979071</v>
      </c>
      <c r="G103" s="2897">
        <f>1.3372/G101</f>
        <v>0.55949790794979071</v>
      </c>
      <c r="H103" s="2897">
        <f>1.3372/H101</f>
        <v>0.55949790794979071</v>
      </c>
      <c r="I103" s="2897">
        <f>1.3372/I101</f>
        <v>0.55949790794979071</v>
      </c>
      <c r="J103" s="2897">
        <f>1.2799/J101</f>
        <v>0.53552301255230128</v>
      </c>
      <c r="K103" s="2897">
        <f>1.2799/K101</f>
        <v>0.53552301255230128</v>
      </c>
      <c r="L103" s="2897">
        <f>1.2799/L101</f>
        <v>0.53552301255230128</v>
      </c>
      <c r="M103" s="2897">
        <f>1.2799/M101</f>
        <v>0.53552301255230128</v>
      </c>
      <c r="N103" s="2897">
        <f>1.2799/N101</f>
        <v>0.53552301255230128</v>
      </c>
    </row>
    <row r="104" spans="1:14">
      <c r="A104" s="3260"/>
      <c r="B104" s="2896">
        <v>3</v>
      </c>
      <c r="C104" s="2897">
        <f>1.1594/C101</f>
        <v>0.48510460251046023</v>
      </c>
      <c r="D104" s="2897">
        <f>1.1594/D101</f>
        <v>0.48510460251046023</v>
      </c>
      <c r="E104" s="2897">
        <f>1.0788/E101</f>
        <v>0.4513807531380753</v>
      </c>
      <c r="F104" s="2897">
        <f>1.0788/F101</f>
        <v>0.4513807531380753</v>
      </c>
      <c r="G104" s="2897">
        <f>1.0788/G101</f>
        <v>0.4513807531380753</v>
      </c>
      <c r="H104" s="2897">
        <f>1.0788/H101</f>
        <v>0.4513807531380753</v>
      </c>
      <c r="I104" s="2897">
        <f>1.0788/I101</f>
        <v>0.4513807531380753</v>
      </c>
      <c r="J104" s="2897">
        <f>1.0072/J101</f>
        <v>0.42142259414225941</v>
      </c>
      <c r="K104" s="2897">
        <f>1.0072/K101</f>
        <v>0.42142259414225941</v>
      </c>
      <c r="L104" s="2897">
        <f>1.0072/L101</f>
        <v>0.42142259414225941</v>
      </c>
      <c r="M104" s="2897">
        <f>1.0072/M101</f>
        <v>0.42142259414225941</v>
      </c>
      <c r="N104" s="2897">
        <f>1.0072/N101</f>
        <v>0.42142259414225941</v>
      </c>
    </row>
    <row r="105" spans="1:14">
      <c r="A105" s="3260"/>
      <c r="B105" s="2896">
        <v>4</v>
      </c>
      <c r="C105" s="2897">
        <f>0.9622/C101</f>
        <v>0.4025941422594142</v>
      </c>
      <c r="D105" s="2897">
        <f>0.9622/D101</f>
        <v>0.4025941422594142</v>
      </c>
      <c r="E105" s="2897">
        <f>0.8656/E101</f>
        <v>0.36217573221757321</v>
      </c>
      <c r="F105" s="2897">
        <f>0.8656/F101</f>
        <v>0.36217573221757321</v>
      </c>
      <c r="G105" s="2897">
        <f>0.8656/G101</f>
        <v>0.36217573221757321</v>
      </c>
      <c r="H105" s="2897">
        <f>0.8656/H101</f>
        <v>0.36217573221757321</v>
      </c>
      <c r="I105" s="2897">
        <f>0.8656/I101</f>
        <v>0.36217573221757321</v>
      </c>
      <c r="J105" s="2897">
        <f>0.7525/J101</f>
        <v>0.31485355648535562</v>
      </c>
      <c r="K105" s="2897">
        <f>0.7525/K101</f>
        <v>0.31485355648535562</v>
      </c>
      <c r="L105" s="2897">
        <f>0.7525/L101</f>
        <v>0.31485355648535562</v>
      </c>
      <c r="M105" s="2897">
        <f>0.7525/M101</f>
        <v>0.31485355648535562</v>
      </c>
      <c r="N105" s="2897">
        <f>0.7525/N101</f>
        <v>0.31485355648535562</v>
      </c>
    </row>
    <row r="106" spans="1:14">
      <c r="A106" s="3260"/>
      <c r="B106" s="2896">
        <v>5</v>
      </c>
      <c r="C106" s="2897">
        <f>0.8417/C101</f>
        <v>0.3521757322175732</v>
      </c>
      <c r="D106" s="2897">
        <f>0.8417/D101</f>
        <v>0.3521757322175732</v>
      </c>
      <c r="E106" s="2897">
        <f>0.7371/E101</f>
        <v>0.30841004184100418</v>
      </c>
      <c r="F106" s="2897">
        <f>0.7371/F101</f>
        <v>0.30841004184100418</v>
      </c>
      <c r="G106" s="2897">
        <f>0.7371/G101</f>
        <v>0.30841004184100418</v>
      </c>
      <c r="H106" s="2897">
        <f>0.7371/H101</f>
        <v>0.30841004184100418</v>
      </c>
      <c r="I106" s="2897">
        <f>0.7371/I101</f>
        <v>0.30841004184100418</v>
      </c>
      <c r="J106" s="2897">
        <f>0.5659/J101</f>
        <v>0.23677824267782424</v>
      </c>
      <c r="K106" s="2897">
        <f>0.5659/K101</f>
        <v>0.23677824267782424</v>
      </c>
      <c r="L106" s="2897">
        <f>0.5659/L101</f>
        <v>0.23677824267782424</v>
      </c>
      <c r="M106" s="2897">
        <f>0.5659/M101</f>
        <v>0.23677824267782424</v>
      </c>
      <c r="N106" s="2897">
        <f>0.5659/N101</f>
        <v>0.23677824267782424</v>
      </c>
    </row>
    <row r="107" spans="1:14">
      <c r="A107" s="3260"/>
      <c r="B107" s="2896">
        <v>6</v>
      </c>
      <c r="C107" s="2897">
        <f>0.7608/C101</f>
        <v>0.31832635983263596</v>
      </c>
      <c r="D107" s="2897">
        <f>0.7608/D101</f>
        <v>0.31832635983263596</v>
      </c>
      <c r="E107" s="2897">
        <f>0.6482/E101</f>
        <v>0.27121338912133891</v>
      </c>
      <c r="F107" s="2897">
        <f>0.6482/F101</f>
        <v>0.27121338912133891</v>
      </c>
      <c r="G107" s="2897">
        <f>0.6482/G101</f>
        <v>0.27121338912133891</v>
      </c>
      <c r="H107" s="2897">
        <f>0.6482/H101</f>
        <v>0.27121338912133891</v>
      </c>
      <c r="I107" s="2897">
        <f>0.6482/I101</f>
        <v>0.27121338912133891</v>
      </c>
      <c r="J107" s="2897">
        <f>0.4525/J101</f>
        <v>0.1893305439330544</v>
      </c>
      <c r="K107" s="2897">
        <f>0.4525/K101</f>
        <v>0.1893305439330544</v>
      </c>
      <c r="L107" s="2897">
        <f>0.4525/L101</f>
        <v>0.1893305439330544</v>
      </c>
      <c r="M107" s="2897">
        <f>0.4525/M101</f>
        <v>0.1893305439330544</v>
      </c>
      <c r="N107" s="2897">
        <f>0.4525/N101</f>
        <v>0.1893305439330544</v>
      </c>
    </row>
    <row r="108" spans="1:14">
      <c r="A108" s="3260"/>
      <c r="B108" s="3114"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1"/>
      <c r="B109" s="3115"/>
      <c r="C109" s="2899">
        <f>(-0.163*(C108^2)-0.59*C108+7617)*(10^(-4))/C101</f>
        <v>0.31870292887029289</v>
      </c>
      <c r="D109" s="2899">
        <f>(-0.163*(D108^2)-0.59*D108+7617)*(10^(-4))/D101</f>
        <v>0.31870292887029289</v>
      </c>
      <c r="E109" s="2899">
        <f>(-0.161*(E108^2)-7.509*E108+6533)*(10^(-4))/E101</f>
        <v>0.27334728033472799</v>
      </c>
      <c r="F109" s="2899">
        <f>(-0.161*(F108^2)-7.509*F108+6533)*(10^(-4))/F101</f>
        <v>0.27334728033472799</v>
      </c>
      <c r="G109" s="2899">
        <f>(-0.161*(G108^2)-7.509*G108+6533)*(10^(-4))/G101</f>
        <v>0.27334728033472799</v>
      </c>
      <c r="H109" s="2899">
        <f>(-0.161*(H108^2)-7.509*H108+6533)*(10^(-4))/H101</f>
        <v>0.27334728033472799</v>
      </c>
      <c r="I109" s="2899">
        <f>(-0.161*(I108^2)-7.509*I108+6533)*(10^(-4))/I101</f>
        <v>0.27334728033472799</v>
      </c>
      <c r="J109" s="2899">
        <f>(-0.214*(J108^2)-21.991*J108+4665)*(10^(-4))/J101</f>
        <v>0.19518828451882844</v>
      </c>
      <c r="K109" s="2899">
        <f>(-0.214*(K108^2)-21.991*K108+4665)*(10^(-4))/K101</f>
        <v>0.19518828451882844</v>
      </c>
      <c r="L109" s="2899">
        <f>(-0.214*(L108^2)-21.991*L108+4665)*(10^(-4))/L101</f>
        <v>0.19518828451882844</v>
      </c>
      <c r="M109" s="2899">
        <f>(-0.214*(M108^2)-21.991*M108+4665)*(10^(-4))/M101</f>
        <v>0.19518828451882844</v>
      </c>
      <c r="N109" s="2899">
        <f>(-0.214*(N108^2)-21.991*N108+4665)*(10^(-4))/N101</f>
        <v>0.19518828451882844</v>
      </c>
    </row>
    <row r="110" spans="1:14">
      <c r="A110" s="3257" t="s">
        <v>2983</v>
      </c>
      <c r="B110" s="3257"/>
      <c r="C110" s="3257"/>
      <c r="D110" s="3257"/>
      <c r="E110" s="3257"/>
      <c r="F110" s="3257"/>
      <c r="G110" s="3257"/>
      <c r="H110" s="3257"/>
      <c r="I110" s="3257"/>
      <c r="J110" s="3257"/>
      <c r="K110" s="2902"/>
      <c r="L110" s="2902"/>
      <c r="M110" s="2902"/>
      <c r="N110" s="2902"/>
    </row>
    <row r="112" spans="1:14" ht="13.5" thickBot="1"/>
    <row r="113" spans="1:13" ht="25.5" thickBot="1">
      <c r="A113" s="903" t="s">
        <v>2984</v>
      </c>
      <c r="B113" s="1289">
        <f>G3</f>
        <v>2.39</v>
      </c>
      <c r="C113" s="904" t="s">
        <v>2985</v>
      </c>
      <c r="D113" s="905">
        <f>SUMPRODUCT((A115:A118=F113)*(B114:M114=H113)*B115:M118)</f>
        <v>0</v>
      </c>
      <c r="E113" s="2725" t="s">
        <v>2815</v>
      </c>
      <c r="F113" s="2904">
        <f>E2</f>
        <v>0</v>
      </c>
      <c r="G113" s="2725" t="s">
        <v>2816</v>
      </c>
      <c r="H113" s="2904">
        <f>G2</f>
        <v>0</v>
      </c>
      <c r="I113" s="2725"/>
      <c r="J113" s="2905"/>
      <c r="K113" s="2905"/>
      <c r="L113" s="2905"/>
      <c r="M113" s="2905"/>
    </row>
    <row r="114" spans="1:13">
      <c r="A114" s="908"/>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9" t="s">
        <v>2880</v>
      </c>
      <c r="B115" s="910">
        <f>ROUND(0.9335-0.0094*B113,4)</f>
        <v>0.91100000000000003</v>
      </c>
      <c r="C115" s="910">
        <f>B115</f>
        <v>0.91100000000000003</v>
      </c>
      <c r="D115" s="910">
        <f>ROUND(0.8331-0.0109*B113,4)</f>
        <v>0.80700000000000005</v>
      </c>
      <c r="E115" s="910">
        <f>D115</f>
        <v>0.80700000000000005</v>
      </c>
      <c r="F115" s="910">
        <f>E115</f>
        <v>0.80700000000000005</v>
      </c>
      <c r="G115" s="910">
        <f>F115</f>
        <v>0.80700000000000005</v>
      </c>
      <c r="H115" s="910">
        <f>G115</f>
        <v>0.80700000000000005</v>
      </c>
      <c r="I115" s="910">
        <f>ROUND(0.689-0.0155*B113,4)</f>
        <v>0.65200000000000002</v>
      </c>
      <c r="J115" s="910">
        <f t="shared" ref="J115:M118" si="33">I115</f>
        <v>0.65200000000000002</v>
      </c>
      <c r="K115" s="910">
        <f t="shared" si="33"/>
        <v>0.65200000000000002</v>
      </c>
      <c r="L115" s="910">
        <f t="shared" si="33"/>
        <v>0.65200000000000002</v>
      </c>
      <c r="M115" s="911">
        <f t="shared" si="33"/>
        <v>0.65200000000000002</v>
      </c>
    </row>
    <row r="116" spans="1:13">
      <c r="A116" s="909" t="s">
        <v>2881</v>
      </c>
      <c r="B116" s="910">
        <f>ROUND(0.949-0.012*B113,4)</f>
        <v>0.92030000000000001</v>
      </c>
      <c r="C116" s="910">
        <f>B116</f>
        <v>0.92030000000000001</v>
      </c>
      <c r="D116" s="910">
        <f>ROUND(0.8567-0.013*B113,4)</f>
        <v>0.8256</v>
      </c>
      <c r="E116" s="910">
        <f t="shared" ref="E116:H117" si="34">D116</f>
        <v>0.8256</v>
      </c>
      <c r="F116" s="910">
        <f t="shared" si="34"/>
        <v>0.8256</v>
      </c>
      <c r="G116" s="910">
        <f t="shared" si="34"/>
        <v>0.8256</v>
      </c>
      <c r="H116" s="910">
        <f t="shared" si="34"/>
        <v>0.8256</v>
      </c>
      <c r="I116" s="910">
        <f>ROUND(0.7694-0.014*B113,4)</f>
        <v>0.7359</v>
      </c>
      <c r="J116" s="910">
        <f t="shared" si="33"/>
        <v>0.7359</v>
      </c>
      <c r="K116" s="910">
        <f t="shared" si="33"/>
        <v>0.7359</v>
      </c>
      <c r="L116" s="910">
        <f t="shared" si="33"/>
        <v>0.7359</v>
      </c>
      <c r="M116" s="911">
        <f t="shared" si="33"/>
        <v>0.7359</v>
      </c>
    </row>
    <row r="117" spans="1:13">
      <c r="A117" s="909" t="s">
        <v>2882</v>
      </c>
      <c r="B117" s="910">
        <f>ROUND(0.8808-0.006*B113,4)</f>
        <v>0.86650000000000005</v>
      </c>
      <c r="C117" s="910">
        <f>B117</f>
        <v>0.86650000000000005</v>
      </c>
      <c r="D117" s="910">
        <f>ROUND(0.8748-0.008*B113,4)</f>
        <v>0.85570000000000002</v>
      </c>
      <c r="E117" s="910">
        <f t="shared" si="34"/>
        <v>0.85570000000000002</v>
      </c>
      <c r="F117" s="910">
        <f t="shared" si="34"/>
        <v>0.85570000000000002</v>
      </c>
      <c r="G117" s="910">
        <f t="shared" si="34"/>
        <v>0.85570000000000002</v>
      </c>
      <c r="H117" s="910">
        <f t="shared" si="34"/>
        <v>0.85570000000000002</v>
      </c>
      <c r="I117" s="910">
        <f>ROUND(0.7412-0.0095*B113,4)</f>
        <v>0.71850000000000003</v>
      </c>
      <c r="J117" s="910">
        <f t="shared" si="33"/>
        <v>0.71850000000000003</v>
      </c>
      <c r="K117" s="910">
        <f t="shared" si="33"/>
        <v>0.71850000000000003</v>
      </c>
      <c r="L117" s="910">
        <f t="shared" si="33"/>
        <v>0.71850000000000003</v>
      </c>
      <c r="M117" s="911">
        <f t="shared" si="33"/>
        <v>0.71850000000000003</v>
      </c>
    </row>
    <row r="118" spans="1:13" ht="13.5" thickBot="1">
      <c r="A118" s="714" t="s">
        <v>2883</v>
      </c>
      <c r="B118" s="912">
        <f>ROUND(0.7275-0.01*B113,4)</f>
        <v>0.7036</v>
      </c>
      <c r="C118" s="912">
        <f>B118</f>
        <v>0.7036</v>
      </c>
      <c r="D118" s="912">
        <f>ROUND(0.7043-0.012*B113,4)</f>
        <v>0.67559999999999998</v>
      </c>
      <c r="E118" s="912">
        <f>D118</f>
        <v>0.67559999999999998</v>
      </c>
      <c r="F118" s="912">
        <f>E118</f>
        <v>0.67559999999999998</v>
      </c>
      <c r="G118" s="912">
        <f>ROUND(0.6299-0.0122*B113,4)</f>
        <v>0.60070000000000001</v>
      </c>
      <c r="H118" s="912">
        <f>G118</f>
        <v>0.60070000000000001</v>
      </c>
      <c r="I118" s="912">
        <f>ROUND(0.5667-0.0136*B113,4)</f>
        <v>0.53420000000000001</v>
      </c>
      <c r="J118" s="912">
        <f t="shared" si="33"/>
        <v>0.53420000000000001</v>
      </c>
      <c r="K118" s="912">
        <f t="shared" si="33"/>
        <v>0.53420000000000001</v>
      </c>
      <c r="L118" s="912">
        <f t="shared" si="33"/>
        <v>0.53420000000000001</v>
      </c>
      <c r="M118" s="913">
        <f t="shared" si="33"/>
        <v>0.53420000000000001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3006</v>
      </c>
    </row>
    <row r="2" spans="1:5" ht="15.75">
      <c r="A2" s="2911" t="s">
        <v>2998</v>
      </c>
      <c r="B2" s="2912" t="e">
        <f ca="1">SUMIF(B6:B13,"&lt;&gt;#ref!",B6:B13)</f>
        <v>#DIV/0!</v>
      </c>
      <c r="C2" s="2911" t="s">
        <v>2999</v>
      </c>
      <c r="D2" s="2911" t="s">
        <v>3000</v>
      </c>
      <c r="E2" s="2912" t="e">
        <f ca="1">SUM(E6:E13)</f>
        <v>#REF!</v>
      </c>
    </row>
    <row r="3" spans="1:5" ht="15.75">
      <c r="A3" s="2911" t="s">
        <v>3001</v>
      </c>
      <c r="B3" s="2912" t="e">
        <f ca="1">ROUND(B2*10000/E2,0)</f>
        <v>#DIV/0!</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t="e">
        <f ca="1">SUMIF(INDIRECT("'"&amp;A6&amp;"'"&amp;"!A:A"),"总价",INDIRECT("'"&amp;A6&amp;"'"&amp;"!B:B"))</f>
        <v>#DIV/0!</v>
      </c>
      <c r="C6" s="2911" t="s">
        <v>2999</v>
      </c>
      <c r="D6" s="2913"/>
      <c r="E6" s="2576">
        <f ca="1">SUMIF(INDIRECT("'"&amp;A6&amp;"'"&amp;"!C:C"),"建筑面积",INDIRECT("'"&amp;A6&amp;"'"&amp;"!D:D"))</f>
        <v>0</v>
      </c>
    </row>
    <row r="7" spans="1:5" ht="15.75">
      <c r="A7" s="2916"/>
      <c r="B7" s="2912" t="e">
        <f ca="1">SUMIF(INDIRECT("'"&amp;A7&amp;"'"&amp;"!A:A"),"总价",INDIRECT("'"&amp;A7&amp;"'"&amp;"!B:B"))</f>
        <v>#REF!</v>
      </c>
      <c r="C7" s="2911" t="s">
        <v>2999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6" t="e">
        <f t="shared" ca="1" si="0"/>
        <v>#REF!</v>
      </c>
    </row>
    <row r="9" spans="1:5" ht="15.75">
      <c r="A9" s="2916"/>
      <c r="B9" s="2912" t="e">
        <f t="shared" ca="1" si="1"/>
        <v>#REF!</v>
      </c>
      <c r="C9" s="2911" t="s">
        <v>2999</v>
      </c>
      <c r="D9" s="2913"/>
      <c r="E9" s="2576" t="e">
        <f t="shared" ca="1" si="0"/>
        <v>#REF!</v>
      </c>
    </row>
    <row r="10" spans="1:5" ht="15.75">
      <c r="A10" s="2916"/>
      <c r="B10" s="2912" t="e">
        <f t="shared" ca="1" si="1"/>
        <v>#REF!</v>
      </c>
      <c r="C10" s="2911" t="s">
        <v>2999</v>
      </c>
      <c r="D10" s="2913"/>
      <c r="E10" s="2576" t="e">
        <f t="shared" ca="1" si="0"/>
        <v>#REF!</v>
      </c>
    </row>
    <row r="11" spans="1:5" ht="15.75">
      <c r="A11" s="2916"/>
      <c r="B11" s="2912" t="e">
        <f t="shared" ca="1" si="1"/>
        <v>#REF!</v>
      </c>
      <c r="C11" s="2911" t="s">
        <v>2999</v>
      </c>
      <c r="D11" s="2913"/>
      <c r="E11" s="2576" t="e">
        <f t="shared" ca="1" si="0"/>
        <v>#REF!</v>
      </c>
    </row>
    <row r="12" spans="1:5" ht="15.75">
      <c r="A12" s="2916"/>
      <c r="B12" s="2912" t="e">
        <f t="shared" ca="1" si="1"/>
        <v>#REF!</v>
      </c>
      <c r="C12" s="2911" t="s">
        <v>2999</v>
      </c>
      <c r="D12" s="2913"/>
      <c r="E12" s="2576" t="e">
        <f t="shared" ca="1" si="0"/>
        <v>#REF!</v>
      </c>
    </row>
    <row r="13" spans="1:5" ht="15.75">
      <c r="A13" s="2916"/>
      <c r="B13" s="2912" t="e">
        <f t="shared" ca="1" si="1"/>
        <v>#REF!</v>
      </c>
      <c r="C13" s="2911" t="s">
        <v>2999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71" t="s">
        <v>1150</v>
      </c>
      <c r="C1" s="3271"/>
      <c r="D1" s="3271"/>
      <c r="E1" s="3271"/>
      <c r="F1" s="3271"/>
      <c r="G1" s="3270" t="s">
        <v>1151</v>
      </c>
      <c r="H1" s="3270"/>
      <c r="I1" s="3270"/>
      <c r="J1" s="3270"/>
      <c r="K1" s="3270"/>
      <c r="L1" s="3270"/>
      <c r="N1" s="3270" t="s">
        <v>1152</v>
      </c>
      <c r="O1" s="3270"/>
      <c r="P1" s="3270"/>
      <c r="Q1" s="3270"/>
      <c r="R1" s="1448"/>
      <c r="S1" s="3270" t="s">
        <v>1153</v>
      </c>
      <c r="T1" s="3270"/>
      <c r="U1" s="3270"/>
      <c r="V1" s="3270"/>
      <c r="X1" s="3269" t="s">
        <v>1154</v>
      </c>
      <c r="Y1" s="3270"/>
      <c r="Z1" s="3270"/>
      <c r="AA1" s="3270"/>
      <c r="AB1" s="3270"/>
      <c r="AD1" s="3269" t="s">
        <v>1155</v>
      </c>
      <c r="AE1" s="3270"/>
      <c r="AF1" s="3270"/>
      <c r="AG1" s="3270"/>
      <c r="AH1" s="3270"/>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5"/>
      <c r="J3" s="2925"/>
      <c r="K3" s="2925"/>
      <c r="L3" s="2925"/>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3043</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5">
        <f>ROUND(AVERAGE(I5:I20),2)</f>
        <v>2.4900000000000002</v>
      </c>
      <c r="J4" s="2925">
        <f t="shared" ref="J4:L4" si="7">ROUND(AVERAGE(J5:J20),2)</f>
        <v>1.64</v>
      </c>
      <c r="K4" s="2925">
        <f t="shared" si="7"/>
        <v>2.78</v>
      </c>
      <c r="L4" s="2925">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3041</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3">
        <v>4</v>
      </c>
      <c r="I5" s="2926">
        <f>ROUND(AVERAGE(I6:I20),2)</f>
        <v>2.4900000000000002</v>
      </c>
      <c r="J5" s="2926">
        <f>ROUND(AVERAGE(J6:J20),2)</f>
        <v>1.64</v>
      </c>
      <c r="K5" s="2926">
        <f>ROUND(AVERAGE(K6:K20),2)</f>
        <v>2.78</v>
      </c>
      <c r="L5" s="2926">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3042</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4"/>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3"/>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4"/>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72">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67"/>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67"/>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68"/>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66">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67"/>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67"/>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68"/>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66">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67"/>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67"/>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68"/>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73">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74"/>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74"/>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75"/>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66">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67"/>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67"/>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68"/>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66">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67">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67">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68">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66">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67">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67">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68">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66">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67">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67">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68">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66">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67">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67">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68">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66">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67">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67">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68">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66">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67">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67">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68">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66">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67">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67">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68">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66">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67">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67">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68">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66">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67">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67">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68">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66">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67">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67">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68">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6" t="s">
        <v>3008</v>
      </c>
      <c r="C1" s="3277" t="s">
        <v>3009</v>
      </c>
      <c r="D1" s="3278"/>
      <c r="E1" s="3278"/>
      <c r="F1" s="3278"/>
      <c r="G1" s="3278"/>
      <c r="H1" s="3278"/>
      <c r="I1" s="3278"/>
      <c r="J1" s="3278"/>
      <c r="K1" s="3278"/>
      <c r="L1" s="3278"/>
      <c r="M1" s="3278"/>
      <c r="N1" s="3278"/>
      <c r="O1" s="3278"/>
      <c r="P1" s="3278"/>
      <c r="Q1" s="3278"/>
      <c r="R1" s="3278"/>
      <c r="S1" s="3279"/>
      <c r="T1" s="1206" t="s">
        <v>3010</v>
      </c>
    </row>
    <row r="2" spans="1:45" s="707" customFormat="1">
      <c r="A2" s="1207"/>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7"/>
      <c r="B5" s="1772" t="s">
        <v>3012</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7"/>
      <c r="B7" s="1773" t="s">
        <v>3013</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7"/>
      <c r="B9" s="1773" t="s">
        <v>3014</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7"/>
      <c r="B11" s="1772" t="s">
        <v>3015</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7"/>
      <c r="B13" s="1772" t="s">
        <v>3016</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7"/>
      <c r="B15" s="1772" t="s">
        <v>3017</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3018</v>
      </c>
      <c r="B17" s="2918" t="s">
        <v>3019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7"/>
      <c r="B19" s="168"/>
      <c r="C19" s="168"/>
      <c r="D19" s="2919" t="s">
        <v>3020</v>
      </c>
      <c r="E19" s="1795"/>
      <c r="F19" s="1795"/>
      <c r="G19" s="1795"/>
      <c r="H19" s="1282"/>
      <c r="I19" s="168"/>
      <c r="J19" s="168"/>
      <c r="K19" s="168"/>
      <c r="L19" s="168"/>
      <c r="M19" s="168"/>
      <c r="N19" s="168"/>
      <c r="O19" s="168"/>
      <c r="P19" s="168"/>
      <c r="Q19" s="168"/>
      <c r="R19" s="788"/>
      <c r="S19" s="137"/>
    </row>
    <row r="20" spans="1:45" ht="16.5" thickBot="1">
      <c r="A20" s="715" t="s">
        <v>3021</v>
      </c>
      <c r="B20" s="338" t="e">
        <f ca="1">IF(D20="——",S22,S22-F20)</f>
        <v>#REF!</v>
      </c>
      <c r="C20" s="168"/>
      <c r="D20" s="2920" t="s">
        <v>3022</v>
      </c>
      <c r="E20" s="1796"/>
      <c r="F20" s="1206" t="e">
        <f ca="1">SUMIF(INDIRECT("'"&amp;H20&amp;"'"&amp;"!A:A"),"承租人权益价值",INDIRECT("'"&amp;H20&amp;"'"&amp;"!c:c"))</f>
        <v>#REF!</v>
      </c>
      <c r="G20" s="1206" t="s">
        <v>3023</v>
      </c>
      <c r="H20" s="2921"/>
      <c r="I20" s="168"/>
      <c r="J20" s="168"/>
      <c r="K20" s="168"/>
      <c r="L20" s="168"/>
      <c r="M20" s="168"/>
      <c r="N20" s="168"/>
      <c r="O20" s="168"/>
      <c r="P20" s="168"/>
      <c r="Q20" s="168"/>
      <c r="R20" s="788"/>
      <c r="S20" s="137"/>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7"/>
    </row>
    <row r="22" spans="1:45">
      <c r="A22" s="361" t="s">
        <v>3025</v>
      </c>
      <c r="B22" s="24">
        <f>SUM(B24:B10000)</f>
        <v>100</v>
      </c>
      <c r="C22" s="3136" t="s">
        <v>33</v>
      </c>
      <c r="D22" s="3137"/>
      <c r="E22" s="3137"/>
      <c r="F22" s="3137"/>
      <c r="G22" s="3137"/>
      <c r="H22" s="3137"/>
      <c r="I22" s="3137"/>
      <c r="J22" s="3137"/>
      <c r="K22" s="3137"/>
      <c r="L22" s="3137"/>
      <c r="M22" s="3137"/>
      <c r="N22" s="3137"/>
      <c r="O22" s="3137"/>
      <c r="P22" s="3137"/>
      <c r="Q22" s="3276"/>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1632</v>
      </c>
      <c r="C4" s="2959"/>
      <c r="D4" s="2959"/>
      <c r="E4" s="1964"/>
    </row>
    <row r="5" spans="1:5" ht="16.5" thickTop="1">
      <c r="A5" s="1962"/>
      <c r="B5" s="2957" t="s">
        <v>1624</v>
      </c>
      <c r="C5" s="1965" t="s">
        <v>1625</v>
      </c>
      <c r="D5" s="1043">
        <f ca="1">结果表!H101</f>
        <v>178812</v>
      </c>
      <c r="E5" s="1962"/>
    </row>
    <row r="6" spans="1:5" ht="15.75">
      <c r="A6" s="1962"/>
      <c r="B6" s="2957"/>
      <c r="C6" s="1965" t="s">
        <v>1626</v>
      </c>
      <c r="D6" s="1043" t="str">
        <f ca="1">NUMBERSTRING(INT(D5*10000),2)&amp;"元整"</f>
        <v>壹拾柒亿捌仟捌佰壹拾贰万元整</v>
      </c>
      <c r="E6" s="1962"/>
    </row>
    <row r="7" spans="1:5" ht="15.75">
      <c r="A7" s="1962"/>
      <c r="B7" s="2962"/>
      <c r="C7" s="1966" t="s">
        <v>1627</v>
      </c>
      <c r="D7" s="1044">
        <f ca="1">结果表!H102</f>
        <v>8512</v>
      </c>
      <c r="E7" s="1962"/>
    </row>
    <row r="8" spans="1:5" ht="15.75">
      <c r="A8" s="1962"/>
      <c r="B8" s="2963" t="str">
        <f>结果表!E103</f>
        <v>2.估价师知悉的法定优先受偿款</v>
      </c>
      <c r="C8" s="1967" t="s">
        <v>1628</v>
      </c>
      <c r="D8" s="1044">
        <f>结果表!H103</f>
        <v>0</v>
      </c>
      <c r="E8" s="1962"/>
    </row>
    <row r="9" spans="1:5" ht="15.75">
      <c r="A9" s="1962"/>
      <c r="B9" s="2965"/>
      <c r="C9" s="1965" t="s">
        <v>1626</v>
      </c>
      <c r="D9" s="1043" t="str">
        <f>NUMBERSTRING(INT(D8*10000),2)&amp;"元整"</f>
        <v>零元整</v>
      </c>
      <c r="E9" s="1962"/>
    </row>
    <row r="10" spans="1:5" ht="15">
      <c r="A10" s="1962"/>
      <c r="B10" s="1968" t="s">
        <v>1631</v>
      </c>
      <c r="C10" s="1969" t="s">
        <v>1629</v>
      </c>
      <c r="D10" s="1045">
        <f>结果表!H104</f>
        <v>0</v>
      </c>
      <c r="E10" s="1962"/>
    </row>
    <row r="11" spans="1:5" ht="15">
      <c r="A11" s="1962"/>
      <c r="B11" s="1968" t="s">
        <v>1633</v>
      </c>
      <c r="C11" s="1969" t="s">
        <v>1634</v>
      </c>
      <c r="D11" s="1045">
        <f>结果表!H105</f>
        <v>0</v>
      </c>
      <c r="E11" s="1962"/>
    </row>
    <row r="12" spans="1:5" ht="15">
      <c r="A12" s="1962"/>
      <c r="B12" s="1968" t="s">
        <v>1635</v>
      </c>
      <c r="C12" s="1969" t="s">
        <v>1634</v>
      </c>
      <c r="D12" s="1045">
        <f>结果表!H106</f>
        <v>0</v>
      </c>
      <c r="E12" s="1962"/>
    </row>
    <row r="13" spans="1:5" ht="15.75">
      <c r="A13" s="1962"/>
      <c r="B13" s="2956" t="str">
        <f>结果表!E107</f>
        <v>3.房地产抵押价值</v>
      </c>
      <c r="C13" s="1970" t="s">
        <v>1625</v>
      </c>
      <c r="D13" s="1046">
        <f ca="1">结果表!H107</f>
        <v>178812</v>
      </c>
      <c r="E13" s="1962"/>
    </row>
    <row r="14" spans="1:5" ht="15.75">
      <c r="A14" s="1962"/>
      <c r="B14" s="2957"/>
      <c r="C14" s="1965" t="s">
        <v>1626</v>
      </c>
      <c r="D14" s="1043" t="str">
        <f ca="1">NUMBERSTRING(INT(D13*10000),2)&amp;"元整"</f>
        <v>壹拾柒亿捌仟捌佰壹拾贰万元整</v>
      </c>
      <c r="E14" s="1962"/>
    </row>
    <row r="15" spans="1:5" ht="15">
      <c r="A15" s="1962"/>
      <c r="B15" s="2962"/>
      <c r="C15" s="1966" t="s">
        <v>1636</v>
      </c>
      <c r="D15" s="1055">
        <f ca="1">结果表!H108</f>
        <v>8512</v>
      </c>
      <c r="E15" s="1962"/>
    </row>
    <row r="16" spans="1:5" ht="15">
      <c r="A16" s="1962"/>
      <c r="B16" s="2963" t="str">
        <f>结果表!E109</f>
        <v>4.抵押担保权已注销时的房地产抵押价值</v>
      </c>
      <c r="C16" s="1970" t="s">
        <v>1637</v>
      </c>
      <c r="D16" s="1971">
        <f ca="1">结果表!H109</f>
        <v>178812</v>
      </c>
      <c r="E16" s="1962"/>
    </row>
    <row r="17" spans="1:5" ht="15.75">
      <c r="A17" s="1962"/>
      <c r="B17" s="2964"/>
      <c r="C17" s="1965" t="s">
        <v>1638</v>
      </c>
      <c r="D17" s="1043" t="str">
        <f ca="1">NUMBERSTRING(INT(D16*10000),2)&amp;"元整"</f>
        <v>壹拾柒亿捌仟捌佰壹拾贰万元整</v>
      </c>
      <c r="E17" s="1962"/>
    </row>
    <row r="18" spans="1:5" ht="15">
      <c r="A18" s="1962"/>
      <c r="B18" s="2965"/>
      <c r="C18" s="1966" t="s">
        <v>1627</v>
      </c>
      <c r="D18" s="1055">
        <f ca="1">结果表!H110</f>
        <v>8512</v>
      </c>
      <c r="E18" s="1962"/>
    </row>
    <row r="19" spans="1:5" ht="15.75">
      <c r="A19" s="1962"/>
      <c r="B19" s="2956" t="str">
        <f>结果表!E111</f>
        <v>——</v>
      </c>
      <c r="C19" s="1970" t="s">
        <v>1625</v>
      </c>
      <c r="D19" s="1044" t="str">
        <f>结果表!H111</f>
        <v>——</v>
      </c>
      <c r="E19" s="1962"/>
    </row>
    <row r="20" spans="1:5" ht="15.75">
      <c r="A20" s="1962"/>
      <c r="B20" s="2957"/>
      <c r="C20" s="1965" t="s">
        <v>1638</v>
      </c>
      <c r="D20" s="1043" t="e">
        <f>NUMBERSTRING(INT(D19*10000),2)&amp;"元整"</f>
        <v>#VALUE!</v>
      </c>
      <c r="E20" s="1962"/>
    </row>
    <row r="21" spans="1:5" ht="15.75" thickBot="1">
      <c r="A21" s="1962"/>
      <c r="B21" s="2958"/>
      <c r="C21" s="1972" t="s">
        <v>1636</v>
      </c>
      <c r="D21" s="1056"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35652</v>
      </c>
      <c r="C2" s="2" t="s">
        <v>133</v>
      </c>
      <c r="D2" s="243"/>
      <c r="E2" s="243"/>
      <c r="F2" s="243"/>
      <c r="G2" s="243"/>
    </row>
    <row r="3" spans="1:7" s="244" customFormat="1" ht="18" customHeight="1" thickBot="1">
      <c r="A3" s="247" t="s">
        <v>85</v>
      </c>
      <c r="B3" s="248">
        <f ca="1">ROUND(B2*10000/'数据-汇总表'!E3,0)</f>
        <v>1697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135784.13</v>
      </c>
      <c r="E9" s="269">
        <f>'数据-取费表'!B27</f>
        <v>0</v>
      </c>
      <c r="F9" s="265"/>
      <c r="G9" s="270"/>
    </row>
    <row r="10" spans="1:7" s="258" customFormat="1" ht="13.5" customHeight="1">
      <c r="A10" s="953" t="s">
        <v>801</v>
      </c>
      <c r="B10" s="268" t="s">
        <v>94</v>
      </c>
      <c r="C10" s="269">
        <f ca="1">ROUND(D10*E10/10000,0)</f>
        <v>5571</v>
      </c>
      <c r="D10" s="1035">
        <f>'数据-汇总表'!E6</f>
        <v>74288.709999999992</v>
      </c>
      <c r="E10" s="269">
        <f ca="1">'数据-取费表'!B28</f>
        <v>749.91</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4201</v>
      </c>
      <c r="D19" s="1039">
        <f>'数据-汇总表'!E3</f>
        <v>210072.84</v>
      </c>
      <c r="E19" s="255">
        <f>'数据-取费表'!B31</f>
        <v>200</v>
      </c>
      <c r="F19" s="275"/>
      <c r="G19" s="1" t="s">
        <v>1074</v>
      </c>
    </row>
    <row r="20" spans="1:7" s="258" customFormat="1" ht="13.5" customHeight="1">
      <c r="A20" s="951" t="s">
        <v>1057</v>
      </c>
      <c r="B20" s="254" t="s">
        <v>104</v>
      </c>
      <c r="C20" s="276">
        <f>ROUND((C5+C19)*F20,0)</f>
        <v>496</v>
      </c>
      <c r="D20" s="276"/>
      <c r="E20" s="276"/>
      <c r="F20" s="277">
        <f>'数据-取费表'!B37</f>
        <v>0.02</v>
      </c>
      <c r="G20" s="1291"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589</v>
      </c>
      <c r="D22" s="279">
        <f ca="1">C26</f>
        <v>4.0000000000000002E-4</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484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99</v>
      </c>
      <c r="D24" s="282"/>
      <c r="E24" s="282"/>
      <c r="F24" s="283"/>
      <c r="G24" s="284" t="s">
        <v>109</v>
      </c>
    </row>
    <row r="25" spans="1:7" s="258" customFormat="1" ht="24">
      <c r="A25" s="954" t="s">
        <v>793</v>
      </c>
      <c r="B25" s="259" t="s">
        <v>1058</v>
      </c>
      <c r="C25" s="1357">
        <f ca="1">ROUND(IF('数据-取费表'!B22&lt;=1,C20*F22*'数据-取费表'!B23/2,C20*(POWER((1+F22),'数据-取费表'!B23/2)-1)),0)</f>
        <v>6</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506</v>
      </c>
      <c r="D27" s="279">
        <f>C29</f>
        <v>5.9999999999999995E-4</v>
      </c>
      <c r="E27" s="280" t="s">
        <v>126</v>
      </c>
      <c r="F27" s="290">
        <f>'数据-取费表'!Q16</f>
        <v>0.08</v>
      </c>
      <c r="G27" s="291" t="s">
        <v>1069</v>
      </c>
    </row>
    <row r="28" spans="1:7" s="258" customFormat="1" ht="13.5" customHeight="1">
      <c r="A28" s="954" t="s">
        <v>794</v>
      </c>
      <c r="B28" s="292" t="s">
        <v>1062</v>
      </c>
      <c r="C28" s="293">
        <f>ROUND((C5+C19+C20)*F27*'数据-取费表'!B21/'数据-取费表'!B20,0)</f>
        <v>506</v>
      </c>
      <c r="D28" s="279"/>
      <c r="E28" s="280"/>
      <c r="F28" s="290"/>
      <c r="G28" s="291"/>
    </row>
    <row r="29" spans="1:7" s="258" customFormat="1" ht="13.5" customHeight="1">
      <c r="A29" s="954" t="s">
        <v>792</v>
      </c>
      <c r="B29" s="292" t="s">
        <v>1063</v>
      </c>
      <c r="C29" s="282">
        <f>ROUND(C21*F27*'数据-取费表'!B21/'数据-取费表'!B20,4)</f>
        <v>5.9999999999999995E-4</v>
      </c>
      <c r="D29" s="279"/>
      <c r="E29" s="280"/>
      <c r="F29" s="290"/>
      <c r="G29" s="291"/>
    </row>
    <row r="30" spans="1:7" s="258" customFormat="1" ht="13.5" customHeight="1">
      <c r="A30" s="951" t="s">
        <v>788</v>
      </c>
      <c r="B30" s="254" t="s">
        <v>58</v>
      </c>
      <c r="C30" s="279">
        <f>F30</f>
        <v>6.2719999999999998E-2</v>
      </c>
      <c r="D30" s="280" t="s">
        <v>127</v>
      </c>
      <c r="E30" s="285"/>
      <c r="F30" s="281">
        <f>'数据-取费表'!B41</f>
        <v>6.2719999999999998E-2</v>
      </c>
      <c r="G30" s="278" t="s">
        <v>113</v>
      </c>
    </row>
    <row r="31" spans="1:7" ht="16.5" customHeight="1">
      <c r="A31" s="253">
        <v>1</v>
      </c>
      <c r="B31" s="254" t="s">
        <v>128</v>
      </c>
      <c r="C31" s="255">
        <f ca="1">ROUND((C5+C19+C20+C22+C27)/(1-C21-D22-D27-C30/(1+'数据-取费表'!B42)),0)</f>
        <v>29026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5402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4598</v>
      </c>
      <c r="D34" s="261"/>
      <c r="E34" s="264"/>
      <c r="F34" s="301">
        <f>IF('数据-取费表'!B24=0,1,'数据-取费表'!N16)</f>
        <v>8.3000000000000004E-2</v>
      </c>
      <c r="G34" s="263" t="s">
        <v>116</v>
      </c>
    </row>
    <row r="35" spans="1:7" ht="13.5" customHeight="1">
      <c r="A35" s="954" t="s">
        <v>796</v>
      </c>
      <c r="B35" s="259" t="s">
        <v>60</v>
      </c>
      <c r="C35" s="264">
        <f>ROUND(C34*F35,0)</f>
        <v>230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156</v>
      </c>
      <c r="D36" s="264"/>
      <c r="E36" s="264"/>
      <c r="F36" s="303">
        <f>'数据-取费表'!B34</f>
        <v>0.05</v>
      </c>
      <c r="G36" s="304" t="s">
        <v>62</v>
      </c>
    </row>
    <row r="37" spans="1:7" s="302" customFormat="1" ht="13.5" customHeight="1">
      <c r="A37" s="954" t="s">
        <v>798</v>
      </c>
      <c r="B37" s="259" t="s">
        <v>118</v>
      </c>
      <c r="C37" s="293">
        <f>ROUND(E37*D37*F34/10000,0)</f>
        <v>349</v>
      </c>
      <c r="D37" s="261">
        <f>'数据-汇总表'!E3</f>
        <v>210072.84</v>
      </c>
      <c r="E37" s="293">
        <f>'数据-取费表'!B35</f>
        <v>200</v>
      </c>
      <c r="F37" s="303"/>
      <c r="G37" s="305" t="s">
        <v>119</v>
      </c>
    </row>
    <row r="38" spans="1:7" ht="13.5" customHeight="1">
      <c r="A38" s="954" t="s">
        <v>799</v>
      </c>
      <c r="B38" s="259" t="s">
        <v>63</v>
      </c>
      <c r="C38" s="264">
        <f>ROUND(C34*F38,0)</f>
        <v>69</v>
      </c>
      <c r="D38" s="264"/>
      <c r="E38" s="264"/>
      <c r="F38" s="303">
        <f>'数据-取费表'!B36</f>
        <v>1.4999999999999999E-2</v>
      </c>
      <c r="G38" s="263" t="s">
        <v>117</v>
      </c>
    </row>
    <row r="39" spans="1:7" s="258" customFormat="1" ht="13.5" customHeight="1">
      <c r="A39" s="951" t="s">
        <v>783</v>
      </c>
      <c r="B39" s="254" t="s">
        <v>104</v>
      </c>
      <c r="C39" s="276">
        <f>ROUND(C33*F20,0)</f>
        <v>108</v>
      </c>
      <c r="D39" s="276"/>
      <c r="E39" s="276"/>
      <c r="F39" s="277"/>
      <c r="G39" s="1291"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64</v>
      </c>
      <c r="D41" s="279">
        <f ca="1">C44</f>
        <v>4.0000000000000002E-4</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63</v>
      </c>
      <c r="D42" s="282"/>
      <c r="E42" s="282"/>
      <c r="F42" s="283"/>
      <c r="G42" s="3141" t="s">
        <v>121</v>
      </c>
    </row>
    <row r="43" spans="1:7" ht="13.5" customHeight="1">
      <c r="A43" s="954" t="s">
        <v>792</v>
      </c>
      <c r="B43" s="259" t="s">
        <v>1064</v>
      </c>
      <c r="C43" s="282">
        <f ca="1">ROUND(IF('数据-取费表'!B22&lt;=1,C39*F22*'数据-取费表'!B21/2,C39*(POWER((1+F22),'数据-取费表'!B21/2)-1)),0)</f>
        <v>1</v>
      </c>
      <c r="D43" s="282"/>
      <c r="E43" s="282"/>
      <c r="F43" s="283"/>
      <c r="G43" s="3142"/>
    </row>
    <row r="44" spans="1:7" ht="13.5" customHeight="1">
      <c r="A44" s="954" t="s">
        <v>793</v>
      </c>
      <c r="B44" s="259" t="s">
        <v>1066</v>
      </c>
      <c r="C44" s="282">
        <f ca="1">ROUND(IF('数据-取费表'!B22&lt;=1,C40*F22*'数据-取费表'!B21/2,C40*(POWER((1+F22),'数据-取费表'!B21/2)-1)),4)</f>
        <v>4.0000000000000002E-4</v>
      </c>
      <c r="D44" s="282"/>
      <c r="E44" s="282"/>
      <c r="F44" s="283"/>
      <c r="G44" s="3143"/>
    </row>
    <row r="45" spans="1:7" s="258" customFormat="1" ht="13.5" customHeight="1">
      <c r="A45" s="951" t="s">
        <v>786</v>
      </c>
      <c r="B45" s="288" t="s">
        <v>112</v>
      </c>
      <c r="C45" s="289">
        <f>C46</f>
        <v>441</v>
      </c>
      <c r="D45" s="279">
        <f>C47</f>
        <v>2.3999999999999998E-3</v>
      </c>
      <c r="E45" s="280" t="s">
        <v>129</v>
      </c>
      <c r="F45" s="290"/>
      <c r="G45" s="291" t="s">
        <v>1072</v>
      </c>
    </row>
    <row r="46" spans="1:7" s="258" customFormat="1" ht="13.5" customHeight="1">
      <c r="A46" s="954" t="s">
        <v>794</v>
      </c>
      <c r="B46" s="292" t="s">
        <v>1065</v>
      </c>
      <c r="C46" s="293">
        <f>ROUND((C33+C39)*F27,0)</f>
        <v>441</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6.2719999999999998E-2</v>
      </c>
      <c r="D48" s="280" t="s">
        <v>130</v>
      </c>
      <c r="E48" s="276"/>
      <c r="F48" s="281"/>
      <c r="G48" s="278" t="s">
        <v>123</v>
      </c>
    </row>
    <row r="49" spans="1:7" ht="16.5" customHeight="1">
      <c r="A49" s="951" t="s">
        <v>788</v>
      </c>
      <c r="B49" s="254" t="s">
        <v>131</v>
      </c>
      <c r="C49" s="276">
        <f ca="1">ROUND((C33+C39+C41+C45)/(1-C40-D41-D45-C48/(1+'数据-取费表'!B42)),0)</f>
        <v>6626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6626</v>
      </c>
      <c r="D51" s="276"/>
      <c r="E51" s="276"/>
      <c r="F51" s="308"/>
      <c r="G51" s="278" t="s">
        <v>64</v>
      </c>
    </row>
    <row r="52" spans="1:7" s="252" customFormat="1" ht="16.5" thickBot="1">
      <c r="A52" s="309" t="s">
        <v>65</v>
      </c>
      <c r="B52" s="310"/>
      <c r="C52" s="311">
        <f ca="1">C31+C51</f>
        <v>35652</v>
      </c>
      <c r="D52" s="310"/>
      <c r="E52" s="310"/>
      <c r="F52" s="310"/>
      <c r="G52" s="312"/>
    </row>
    <row r="55" spans="1:7" ht="15">
      <c r="B55" s="314" t="s">
        <v>66</v>
      </c>
      <c r="C55" s="315"/>
    </row>
    <row r="56" spans="1:7">
      <c r="B56" s="317" t="s">
        <v>67</v>
      </c>
      <c r="C56" s="318">
        <f ca="1">ROUND(C51/C52,3)</f>
        <v>0.186</v>
      </c>
    </row>
    <row r="57" spans="1:7">
      <c r="B57" s="317" t="s">
        <v>68</v>
      </c>
      <c r="C57" s="319">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871</v>
      </c>
      <c r="B1" s="328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43025</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B2:E9"/>
  <sheetViews>
    <sheetView workbookViewId="0">
      <selection activeCell="E9" sqref="E9"/>
    </sheetView>
  </sheetViews>
  <sheetFormatPr defaultRowHeight="13.5"/>
  <sheetData>
    <row r="2" spans="2:5">
      <c r="B2" s="2941" t="s">
        <v>3132</v>
      </c>
    </row>
    <row r="3" spans="2:5" ht="14.25" thickBot="1">
      <c r="B3" s="2942" t="s">
        <v>3133</v>
      </c>
      <c r="C3" s="2943" t="s">
        <v>3134</v>
      </c>
      <c r="D3" s="2943" t="s">
        <v>3135</v>
      </c>
      <c r="E3" s="2943" t="s">
        <v>3136</v>
      </c>
    </row>
    <row r="4" spans="2:5">
      <c r="B4" s="2944">
        <v>2016.3</v>
      </c>
      <c r="C4" s="2946">
        <v>5527</v>
      </c>
      <c r="D4" s="2946">
        <v>0.64</v>
      </c>
      <c r="E4" s="2945"/>
    </row>
    <row r="5" spans="2:5">
      <c r="B5" s="2947">
        <v>2016.4</v>
      </c>
      <c r="C5" s="2949">
        <v>5585</v>
      </c>
      <c r="D5" s="2949">
        <v>1.05</v>
      </c>
      <c r="E5" s="2948"/>
    </row>
    <row r="6" spans="2:5">
      <c r="B6" s="2944">
        <v>2017.1</v>
      </c>
      <c r="C6" s="2946">
        <v>5705</v>
      </c>
      <c r="D6" s="2946">
        <v>2.15</v>
      </c>
      <c r="E6" s="2945"/>
    </row>
    <row r="7" spans="2:5">
      <c r="B7" s="2947">
        <v>2017.2</v>
      </c>
      <c r="C7" s="2949">
        <v>5891</v>
      </c>
      <c r="D7" s="2949">
        <v>3.26</v>
      </c>
      <c r="E7" s="2948"/>
    </row>
    <row r="8" spans="2:5" ht="14.25">
      <c r="B8" s="2950">
        <v>2017.3</v>
      </c>
      <c r="C8" s="2951">
        <v>6105</v>
      </c>
      <c r="D8" s="2951">
        <v>3.63</v>
      </c>
    </row>
    <row r="9" spans="2:5">
      <c r="D9">
        <f>SUM(D4:D8)</f>
        <v>10.73</v>
      </c>
      <c r="E9">
        <f>D9/4</f>
        <v>2.6825000000000001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1643</v>
      </c>
      <c r="B2" s="2976" t="s">
        <v>1644</v>
      </c>
      <c r="C2" s="2976" t="s">
        <v>1645</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0"/>
      <c r="B3" s="2970"/>
      <c r="C3" s="2970"/>
      <c r="D3" s="1047" t="s">
        <v>1640</v>
      </c>
      <c r="E3" s="1047" t="s">
        <v>1646</v>
      </c>
      <c r="F3" s="1047" t="s">
        <v>1640</v>
      </c>
      <c r="G3" s="1047" t="s">
        <v>1641</v>
      </c>
      <c r="H3" s="1047" t="s">
        <v>1640</v>
      </c>
      <c r="I3" s="1047" t="s">
        <v>1641</v>
      </c>
    </row>
    <row r="4" spans="1:9" ht="60">
      <c r="A4" s="1976" t="str">
        <f>项目基本情况!S2</f>
        <v>陕西省西安市新城区华清西路以南、金花北路以西出让国有建设用地使用权及在建建筑物房地产</v>
      </c>
      <c r="B4" s="1047">
        <f>项目基本情况!C17</f>
        <v>210072.84</v>
      </c>
      <c r="C4" s="1047">
        <f>项目基本情况!C18</f>
        <v>60945.37</v>
      </c>
      <c r="D4" s="1047">
        <f ca="1">结果表!D118</f>
        <v>168799</v>
      </c>
      <c r="E4" s="1047">
        <f ca="1">结果表!E118</f>
        <v>8035</v>
      </c>
      <c r="F4" s="1047">
        <f ca="1">结果表!F118</f>
        <v>10013</v>
      </c>
      <c r="G4" s="1047">
        <f ca="1">结果表!G118</f>
        <v>477</v>
      </c>
      <c r="H4" s="1047">
        <f ca="1">结果表!H118</f>
        <v>178812</v>
      </c>
      <c r="I4" s="1047">
        <f ca="1">结果表!I118</f>
        <v>8512</v>
      </c>
    </row>
    <row r="5" spans="1:9" ht="30" customHeight="1">
      <c r="A5" s="2970" t="s">
        <v>1642</v>
      </c>
      <c r="B5" s="2970"/>
      <c r="C5" s="2970"/>
      <c r="D5" s="2971" t="str">
        <f ca="1">结果表!D119</f>
        <v>壹拾陆亿捌仟柒佰玖拾玖万元整</v>
      </c>
      <c r="E5" s="2971"/>
      <c r="F5" s="2971" t="str">
        <f ca="1">结果表!F119</f>
        <v>壹亿零壹拾叁万元整</v>
      </c>
      <c r="G5" s="2971"/>
      <c r="H5" s="2971" t="str">
        <f ca="1">结果表!H119</f>
        <v>壹拾柒亿捌仟捌佰壹拾贰万元整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1642</v>
      </c>
      <c r="B7" s="2970"/>
      <c r="C7" s="2970"/>
      <c r="D7" s="2972" t="str">
        <f>结果表!D121</f>
        <v>零元整</v>
      </c>
      <c r="E7" s="2973"/>
      <c r="F7" s="2973"/>
      <c r="G7" s="2973"/>
      <c r="H7" s="2973"/>
      <c r="I7" s="2974"/>
    </row>
    <row r="8" spans="1:9" ht="15.75">
      <c r="A8" s="2969" t="str">
        <f>结果表!A122</f>
        <v>房地产抵押价值</v>
      </c>
      <c r="B8" s="2969"/>
      <c r="C8" s="2969"/>
      <c r="D8" s="2969">
        <f ca="1">结果表!D122</f>
        <v>178812</v>
      </c>
      <c r="E8" s="2969"/>
      <c r="F8" s="2969"/>
      <c r="G8" s="2969"/>
      <c r="H8" s="2969"/>
      <c r="I8" s="2969"/>
    </row>
    <row r="9" spans="1:9" ht="15">
      <c r="A9" s="2970" t="s">
        <v>1642</v>
      </c>
      <c r="B9" s="2970"/>
      <c r="C9" s="2970"/>
      <c r="D9" s="2971" t="str">
        <f ca="1">结果表!D123</f>
        <v>壹拾柒亿捌仟捌佰壹拾贰万元整</v>
      </c>
      <c r="E9" s="2971"/>
      <c r="F9" s="2971"/>
      <c r="G9" s="2971"/>
      <c r="H9" s="2971"/>
      <c r="I9" s="2971"/>
    </row>
    <row r="10" spans="1:9" ht="15.75">
      <c r="A10" s="2969" t="str">
        <f>结果表!A124</f>
        <v>抵押担保权已注销时的房地产抵押价值</v>
      </c>
      <c r="B10" s="2969"/>
      <c r="C10" s="2969"/>
      <c r="D10" s="2969">
        <f ca="1">结果表!D124</f>
        <v>178812</v>
      </c>
      <c r="E10" s="2969"/>
      <c r="F10" s="2969"/>
      <c r="G10" s="2969"/>
      <c r="H10" s="2969"/>
      <c r="I10" s="2969"/>
    </row>
    <row r="11" spans="1:9" ht="15">
      <c r="A11" s="2970" t="s">
        <v>1642</v>
      </c>
      <c r="B11" s="2970"/>
      <c r="C11" s="2970"/>
      <c r="D11" s="2971" t="str">
        <f ca="1">结果表!D125</f>
        <v>壹拾柒亿捌仟捌佰壹拾贰万元整</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1642</v>
      </c>
      <c r="B13" s="2966"/>
      <c r="C13" s="2966"/>
      <c r="D13" s="2967" t="e">
        <f>结果表!D127</f>
        <v>#VALUE!</v>
      </c>
      <c r="E13" s="2967"/>
      <c r="F13" s="2967"/>
      <c r="G13" s="2967"/>
      <c r="H13" s="2967"/>
      <c r="I13" s="2967"/>
    </row>
    <row r="14" spans="1:9" ht="15" thickTop="1">
      <c r="A14" s="2968" t="s">
        <v>1647</v>
      </c>
      <c r="B14" s="2968"/>
      <c r="C14" s="2968"/>
      <c r="D14" s="2968"/>
      <c r="E14" s="2968"/>
      <c r="F14" s="2968"/>
      <c r="G14" s="2968"/>
      <c r="H14" s="2968"/>
      <c r="I14" s="2968"/>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3" t="s">
        <v>1664</v>
      </c>
      <c r="B1" s="2983"/>
      <c r="C1" s="2983"/>
      <c r="D1" s="2983"/>
    </row>
    <row r="2" spans="1:4" ht="18">
      <c r="A2" s="2984" t="s">
        <v>1648</v>
      </c>
      <c r="B2" s="2984"/>
      <c r="C2" s="2984"/>
      <c r="D2" s="2984"/>
    </row>
    <row r="3" spans="1:4" ht="18.75">
      <c r="A3" s="1980" t="s">
        <v>1649</v>
      </c>
      <c r="B3" s="1980" t="s">
        <v>1650</v>
      </c>
      <c r="C3" s="1980" t="s">
        <v>1651</v>
      </c>
      <c r="D3" s="1980" t="s">
        <v>1652</v>
      </c>
    </row>
    <row r="4" spans="1:4" ht="56.25" customHeight="1">
      <c r="A4" s="1981" t="str">
        <f>项目基本情况!B4</f>
        <v>郑燚</v>
      </c>
      <c r="B4" s="1982">
        <f ca="1">项目基本情况!C4</f>
        <v>1120070131</v>
      </c>
      <c r="C4" s="1983"/>
      <c r="D4" s="1984" t="s">
        <v>1653</v>
      </c>
    </row>
    <row r="5" spans="1:4" ht="56.25" customHeight="1">
      <c r="A5" s="1981" t="str">
        <f>项目基本情况!D4</f>
        <v>王萌</v>
      </c>
      <c r="B5" s="1982">
        <f ca="1">项目基本情况!E4</f>
        <v>1120130048</v>
      </c>
      <c r="C5" s="1985"/>
      <c r="D5" s="1984" t="s">
        <v>1653</v>
      </c>
    </row>
    <row r="6" spans="1:4" ht="18">
      <c r="A6" s="2984" t="s">
        <v>1654</v>
      </c>
      <c r="B6" s="2984"/>
      <c r="C6" s="2984"/>
      <c r="D6" s="2984"/>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85" t="s">
        <v>1657</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根据《房屋他项权利证书》复印件，估价对象已抵押给，权利范围为，权利价值为。</v>
      </c>
      <c r="B15" s="2977"/>
      <c r="C15" s="2977"/>
      <c r="D15" s="2977"/>
    </row>
    <row r="16" spans="1:4" ht="30" customHeight="1">
      <c r="A16" s="2979" t="s">
        <v>1658</v>
      </c>
      <c r="B16" s="2979"/>
      <c r="C16" s="2979"/>
      <c r="D16" s="2979"/>
    </row>
    <row r="17" spans="1:4" ht="144" customHeight="1">
      <c r="A17" s="2979" t="s">
        <v>1659</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1660</v>
      </c>
      <c r="B22" s="2981"/>
      <c r="C22" s="2981"/>
      <c r="D22" s="2981"/>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91" t="s">
        <v>1671</v>
      </c>
      <c r="B15" s="2986" t="s">
        <v>136</v>
      </c>
      <c r="C15" s="2987"/>
    </row>
    <row r="16" spans="1:7" ht="13.5">
      <c r="A16" s="2992"/>
      <c r="B16" s="2986" t="s">
        <v>69</v>
      </c>
      <c r="C16" s="2987"/>
    </row>
    <row r="17" spans="1:3" ht="13.5">
      <c r="A17" s="2992"/>
      <c r="B17" s="2989" t="s">
        <v>1672</v>
      </c>
      <c r="C17" s="2003" t="s">
        <v>1671</v>
      </c>
    </row>
    <row r="18" spans="1:3" ht="13.5">
      <c r="A18" s="2992"/>
      <c r="B18" s="2989"/>
      <c r="C18" s="2003" t="s">
        <v>1673</v>
      </c>
    </row>
    <row r="19" spans="1:3" ht="13.5">
      <c r="A19" s="2992"/>
      <c r="B19" s="2989"/>
      <c r="C19" s="2003" t="s">
        <v>1674</v>
      </c>
    </row>
    <row r="20" spans="1:3" ht="13.5">
      <c r="A20" s="2993"/>
      <c r="B20" s="2988" t="s">
        <v>1675</v>
      </c>
      <c r="C20" s="2987"/>
    </row>
    <row r="21" spans="1:3" ht="13.5">
      <c r="A21" s="2004" t="s">
        <v>1676</v>
      </c>
      <c r="B21" s="2005"/>
      <c r="C21" s="2006"/>
    </row>
    <row r="22" spans="1:3" ht="13.5">
      <c r="A22" s="2990" t="s">
        <v>1677</v>
      </c>
      <c r="B22" s="2988" t="s">
        <v>1678</v>
      </c>
      <c r="C22" s="2987"/>
    </row>
    <row r="23" spans="1:3" ht="13.5">
      <c r="A23" s="2990"/>
      <c r="B23" s="2988" t="s">
        <v>1679</v>
      </c>
      <c r="C23" s="2987"/>
    </row>
    <row r="24" spans="1:3" ht="13.5">
      <c r="A24" s="2990"/>
      <c r="B24" s="2988" t="s">
        <v>1680</v>
      </c>
      <c r="C24" s="2987"/>
    </row>
    <row r="25" spans="1:3" ht="13.5">
      <c r="A25" s="2990"/>
      <c r="B25" s="2989" t="s">
        <v>1681</v>
      </c>
      <c r="C25" s="2003" t="s">
        <v>1682</v>
      </c>
    </row>
    <row r="26" spans="1:3" ht="13.5">
      <c r="A26" s="2990"/>
      <c r="B26" s="2989"/>
      <c r="C26" s="2003" t="s">
        <v>1683</v>
      </c>
    </row>
    <row r="27" spans="1:3" ht="13.5">
      <c r="A27" s="2990"/>
      <c r="B27" s="2989"/>
      <c r="C27" s="2003" t="s">
        <v>1684</v>
      </c>
    </row>
    <row r="28" spans="1:3" ht="13.5">
      <c r="A28" s="2990"/>
      <c r="B28" s="2989"/>
      <c r="C28" s="2003" t="s">
        <v>1685</v>
      </c>
    </row>
    <row r="29" spans="1:3" ht="13.5">
      <c r="A29" s="2990"/>
      <c r="B29" s="2989"/>
      <c r="C29" s="2003" t="s">
        <v>1686</v>
      </c>
    </row>
    <row r="30" spans="1:3" ht="13.5">
      <c r="A30" s="2990"/>
      <c r="B30" s="2989"/>
      <c r="C30" s="2003" t="s">
        <v>1687</v>
      </c>
    </row>
    <row r="31" spans="1:3" ht="13.5">
      <c r="A31" s="2990"/>
      <c r="B31" s="2989"/>
      <c r="C31" s="2003" t="s">
        <v>1688</v>
      </c>
    </row>
    <row r="32" spans="1:3" ht="13.5">
      <c r="A32" s="2990"/>
      <c r="B32" s="2989"/>
      <c r="C32" s="2003" t="s">
        <v>1689</v>
      </c>
    </row>
    <row r="33" spans="1:3" ht="13.5">
      <c r="A33" s="2990"/>
      <c r="B33" s="2989"/>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43028</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43359</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f ca="1">IF(C10&lt;B2,"已过期",1120060040)</f>
        <v>1120060040</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c r="B12" s="1025"/>
      <c r="C12" s="2346"/>
      <c r="D12" s="2349"/>
      <c r="E12" s="1025"/>
      <c r="F12" s="1025"/>
    </row>
    <row r="13" spans="1:6" ht="24" customHeight="1">
      <c r="A13" s="1705" t="s">
        <v>840</v>
      </c>
      <c r="B13" s="1025">
        <f ca="1">IF(C13&lt;B2,"已过期",1120070131)</f>
        <v>1120070131</v>
      </c>
      <c r="C13" s="2346">
        <v>43814</v>
      </c>
      <c r="D13" s="2349" t="s">
        <v>840</v>
      </c>
      <c r="E13" s="1025">
        <v>2014110011</v>
      </c>
      <c r="F13" s="1033">
        <v>49302</v>
      </c>
    </row>
    <row r="14" spans="1:6" ht="24" customHeight="1">
      <c r="A14" s="1705" t="s">
        <v>841</v>
      </c>
      <c r="B14" s="1025">
        <f ca="1">IF(C14&lt;B2,"已过期",1120130020)</f>
        <v>1120130020</v>
      </c>
      <c r="C14" s="2346">
        <v>43622</v>
      </c>
      <c r="D14" s="2349"/>
      <c r="E14" s="1025"/>
      <c r="F14" s="1025"/>
    </row>
    <row r="15" spans="1:6" ht="24" customHeight="1">
      <c r="A15" s="1706" t="s">
        <v>1149</v>
      </c>
      <c r="B15" s="1025">
        <v>1120070085</v>
      </c>
      <c r="C15" s="2346">
        <v>43814</v>
      </c>
      <c r="D15" s="2350" t="s">
        <v>1149</v>
      </c>
      <c r="E15" s="1025">
        <v>2004110128</v>
      </c>
      <c r="F15" s="1026">
        <v>47118</v>
      </c>
    </row>
    <row r="16" spans="1:6" ht="24" customHeight="1">
      <c r="A16" s="1705" t="s">
        <v>842</v>
      </c>
      <c r="B16" s="1025">
        <f ca="1">IF(C16&lt;B2,"已过期",1120140022)</f>
        <v>1120140022</v>
      </c>
      <c r="C16" s="2346">
        <v>44029</v>
      </c>
      <c r="D16" s="2349" t="s">
        <v>842</v>
      </c>
      <c r="E16" s="1025">
        <f ca="1">IF(F16&lt;B2,"已过期",2008110059)</f>
        <v>2008110059</v>
      </c>
      <c r="F16" s="1033">
        <v>47177</v>
      </c>
    </row>
    <row r="17" spans="1:7" ht="24" customHeight="1">
      <c r="A17" s="1705"/>
      <c r="B17" s="1025"/>
      <c r="C17" s="2346"/>
      <c r="D17" s="2349"/>
      <c r="E17" s="1025"/>
      <c r="F17" s="1033"/>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843</v>
      </c>
      <c r="E21" s="1025">
        <f ca="1">IF(F21&lt;B2,"已过期",2011110090)</f>
        <v>2011110090</v>
      </c>
      <c r="F21" s="1033">
        <v>48302</v>
      </c>
    </row>
    <row r="22" spans="1:7" ht="24" customHeight="1">
      <c r="A22" s="1705" t="s">
        <v>844</v>
      </c>
      <c r="B22" s="1025">
        <f ca="1">IF(C22&lt;B2,"已过期",1120020033)</f>
        <v>1120020033</v>
      </c>
      <c r="C22" s="2346">
        <v>43304</v>
      </c>
      <c r="D22" s="2349" t="s">
        <v>844</v>
      </c>
      <c r="E22" s="1025">
        <f ca="1">IF(F22&lt;B2,"已过期",2000110137)</f>
        <v>2000110137</v>
      </c>
      <c r="F22" s="1033">
        <v>46387</v>
      </c>
    </row>
    <row r="23" spans="1:7" ht="24" customHeight="1">
      <c r="A23" s="1705" t="s">
        <v>845</v>
      </c>
      <c r="B23" s="1025">
        <f ca="1">IF(C23&lt;B2,"已过期",1120130048)</f>
        <v>1120130048</v>
      </c>
      <c r="C23" s="2346">
        <v>43686</v>
      </c>
      <c r="D23" s="2349"/>
      <c r="E23" s="1025"/>
      <c r="F23" s="1025"/>
    </row>
    <row r="24" spans="1:7" s="1027" customFormat="1" ht="24" customHeight="1">
      <c r="A24" s="1706" t="s">
        <v>1334</v>
      </c>
      <c r="B24" s="1706" t="s">
        <v>1334</v>
      </c>
      <c r="C24" s="2347" t="s">
        <v>1334</v>
      </c>
      <c r="D24" s="2350" t="s">
        <v>1334</v>
      </c>
      <c r="E24" s="1706" t="s">
        <v>1334</v>
      </c>
      <c r="F24" s="1706" t="s">
        <v>1334</v>
      </c>
    </row>
    <row r="25" spans="1:7" ht="24" customHeight="1">
      <c r="A25" s="2994" t="s">
        <v>846</v>
      </c>
      <c r="B25" s="2994"/>
      <c r="C25" s="2994"/>
      <c r="D25" s="2994"/>
      <c r="E25" s="2994"/>
      <c r="F25" s="2994"/>
      <c r="G25" s="2994"/>
    </row>
    <row r="26" spans="1:7" s="1028" customFormat="1" ht="24" customHeight="1">
      <c r="A26" s="2995" t="s">
        <v>847</v>
      </c>
      <c r="B26" s="2995"/>
      <c r="C26" s="2996"/>
      <c r="D26" s="2997" t="s">
        <v>848</v>
      </c>
      <c r="E26" s="2995"/>
      <c r="F26" s="2995"/>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4" t="s">
        <v>1385</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2017-10-20T05:35:26Z</dcterms:modified>
</cp:coreProperties>
</file>