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480" yWindow="210" windowWidth="12120" windowHeight="7620" tabRatio="895" firstSheet="17"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sheetId="15" state="hidden" r:id="rId23"/>
    <sheet name="收益法 (元)" sheetId="67" state="hidden" r:id="rId24"/>
    <sheet name="收益法（汇总）" sheetId="70" state="hidden" r:id="rId25"/>
    <sheet name="酒店收入计算" sheetId="66" state="hidden" r:id="rId26"/>
    <sheet name="比较法-住宅" sheetId="21" r:id="rId27"/>
    <sheet name="比较法-商业" sheetId="33" state="hidden" r:id="rId28"/>
    <sheet name="比较法-办公" sheetId="34" state="hidden" r:id="rId29"/>
    <sheet name="比较法-工业" sheetId="37" state="hidden" r:id="rId30"/>
    <sheet name="比较法-车位" sheetId="35"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 name="Sheet2"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4519"/>
</workbook>
</file>

<file path=xl/calcChain.xml><?xml version="1.0" encoding="utf-8"?>
<calcChain xmlns="http://schemas.openxmlformats.org/spreadsheetml/2006/main">
  <c r="G14" i="77"/>
  <c r="H14"/>
  <c r="I14"/>
  <c r="J14"/>
  <c r="K14"/>
  <c r="F14"/>
  <c r="F6"/>
  <c r="F7"/>
  <c r="F8"/>
  <c r="F9"/>
  <c r="F10"/>
  <c r="F11"/>
  <c r="F5"/>
  <c r="F13"/>
  <c r="K12"/>
  <c r="G12" s="1"/>
  <c r="F12"/>
  <c r="H6"/>
  <c r="G6" s="1"/>
  <c r="G7"/>
  <c r="H7"/>
  <c r="G8"/>
  <c r="H8"/>
  <c r="G9"/>
  <c r="H9"/>
  <c r="G10"/>
  <c r="H10"/>
  <c r="G11"/>
  <c r="H11"/>
  <c r="H12"/>
  <c r="G13"/>
  <c r="H13"/>
  <c r="G5"/>
  <c r="H5"/>
  <c r="I8"/>
  <c r="I7"/>
  <c r="I6"/>
  <c r="I15" i="3"/>
  <c r="I47" i="21" l="1"/>
  <c r="G47"/>
  <c r="E47"/>
  <c r="I37" i="35"/>
  <c r="G37"/>
  <c r="E37"/>
  <c r="C6"/>
  <c r="C5"/>
  <c r="C6" i="21"/>
  <c r="C5"/>
  <c r="E71" i="39"/>
  <c r="F71" s="1"/>
  <c r="D71"/>
  <c r="C38"/>
  <c r="C10"/>
  <c r="F25" i="6" l="1"/>
  <c r="F24"/>
  <c r="F23"/>
  <c r="F22"/>
  <c r="F21"/>
  <c r="F20"/>
  <c r="F19"/>
  <c r="G26" l="1"/>
  <c r="K25" i="3"/>
  <c r="I5" i="71" l="1"/>
  <c r="I4" s="1"/>
  <c r="N4" s="1"/>
  <c r="L5"/>
  <c r="K5"/>
  <c r="J5"/>
  <c r="N5" l="1"/>
  <c r="P5"/>
  <c r="K4"/>
  <c r="P4" s="1"/>
  <c r="O5"/>
  <c r="J4"/>
  <c r="O4" s="1"/>
  <c r="Q5"/>
  <c r="L4"/>
  <c r="Q4" s="1"/>
  <c r="A2" i="53"/>
  <c r="K59" i="67" l="1"/>
  <c r="P61" s="1"/>
  <c r="K59" i="15"/>
  <c r="P74"/>
  <c r="P61"/>
  <c r="P74" i="67" l="1"/>
  <c r="D116" i="39"/>
  <c r="E116"/>
  <c r="F116"/>
  <c r="G116"/>
  <c r="H116"/>
  <c r="I116"/>
  <c r="J116"/>
  <c r="K116"/>
  <c r="L116"/>
  <c r="M116"/>
  <c r="C116"/>
  <c r="A21" i="62" l="1"/>
  <c r="A20"/>
  <c r="A22" i="51"/>
  <c r="A21"/>
  <c r="A20"/>
  <c r="A14" i="62" l="1"/>
  <c r="A13"/>
  <c r="A19" l="1"/>
  <c r="A12"/>
  <c r="A120" i="9"/>
  <c r="H2" i="52"/>
  <c r="A1"/>
  <c r="A3" i="53"/>
  <c r="Q6" i="71" l="1"/>
  <c r="P6"/>
  <c r="O6"/>
  <c r="N6"/>
  <c r="D5" i="43" l="1"/>
  <c r="A15" i="51" l="1"/>
  <c r="E8" i="76"/>
  <c r="E7"/>
  <c r="B7"/>
  <c r="E11"/>
  <c r="B11"/>
  <c r="B13"/>
  <c r="E10"/>
  <c r="B12"/>
  <c r="B9"/>
  <c r="E13"/>
  <c r="B10"/>
  <c r="E12"/>
  <c r="B8"/>
  <c r="E9"/>
  <c r="C76" i="9" l="1"/>
  <c r="I107" i="40" l="1"/>
  <c r="K6" i="4" l="1"/>
  <c r="B22" i="31" l="1"/>
  <c r="N56" i="9" l="1"/>
  <c r="M56"/>
  <c r="K56"/>
  <c r="E15" i="74" l="1"/>
  <c r="F15"/>
  <c r="E16"/>
  <c r="F16"/>
  <c r="E17"/>
  <c r="F17"/>
  <c r="E18"/>
  <c r="F18"/>
  <c r="E19"/>
  <c r="F19"/>
  <c r="E20"/>
  <c r="F20"/>
  <c r="E21"/>
  <c r="F21"/>
  <c r="E22"/>
  <c r="F22"/>
  <c r="E23"/>
  <c r="F23"/>
  <c r="B3" l="1"/>
  <c r="C91" i="9" l="1"/>
  <c r="B8" i="72" l="1"/>
  <c r="M19" i="43" l="1"/>
  <c r="O7" i="71" l="1"/>
  <c r="P7"/>
  <c r="Q7"/>
  <c r="N7"/>
  <c r="AD3" l="1"/>
  <c r="AE3"/>
  <c r="AF3" s="1"/>
  <c r="AG3"/>
  <c r="AH3"/>
  <c r="AD5"/>
  <c r="AE5"/>
  <c r="AF5" s="1"/>
  <c r="AG5"/>
  <c r="AH5"/>
  <c r="AD6"/>
  <c r="AE6"/>
  <c r="AF6" s="1"/>
  <c r="AG6"/>
  <c r="AH6"/>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s="1"/>
  <c r="AG17"/>
  <c r="AH17"/>
  <c r="AD18"/>
  <c r="AE18"/>
  <c r="AF18" s="1"/>
  <c r="AG18"/>
  <c r="AH18"/>
  <c r="AH19"/>
  <c r="AG19"/>
  <c r="AE19"/>
  <c r="AF19" s="1"/>
  <c r="AD19"/>
  <c r="AD20"/>
  <c r="AE20"/>
  <c r="AF20"/>
  <c r="AG20"/>
  <c r="AH20"/>
  <c r="S2" i="31" l="1"/>
  <c r="M2"/>
  <c r="N2"/>
  <c r="O2"/>
  <c r="P2"/>
  <c r="Q2"/>
  <c r="R2"/>
  <c r="C1" i="73" l="1"/>
  <c r="L1" s="1"/>
  <c r="F7"/>
  <c r="J1" l="1"/>
  <c r="B74" i="72"/>
  <c r="F5" i="73"/>
  <c r="F6"/>
  <c r="D6"/>
  <c r="D3"/>
  <c r="F4"/>
  <c r="D5"/>
  <c r="F3"/>
  <c r="I1" l="1"/>
  <c r="B39" i="1" s="1"/>
  <c r="D7" i="73"/>
  <c r="D4"/>
  <c r="E20" i="43" l="1"/>
  <c r="Y12"/>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49" i="9" l="1"/>
  <c r="E107"/>
  <c r="A122" s="1"/>
  <c r="A8" i="52" s="1"/>
  <c r="E111" i="9"/>
  <c r="A126" s="1"/>
  <c r="E109"/>
  <c r="A124" s="1"/>
  <c r="B44" i="72" l="1"/>
  <c r="B42"/>
  <c r="B69"/>
  <c r="B68"/>
  <c r="B63"/>
  <c r="B62"/>
  <c r="B16"/>
  <c r="B65" l="1"/>
  <c r="B60"/>
  <c r="B59"/>
  <c r="B58"/>
  <c r="B67"/>
  <c r="B66"/>
  <c r="B12" l="1"/>
  <c r="B10" l="1"/>
  <c r="C53" i="10" l="1"/>
  <c r="B51"/>
  <c r="B19" i="72"/>
  <c r="A18" i="51"/>
  <c r="B13" i="72" s="1"/>
  <c r="C8" i="68" l="1"/>
  <c r="B49" i="48" l="1"/>
  <c r="B5" i="72" s="1"/>
  <c r="I19" i="43" l="1"/>
  <c r="D69" i="71" l="1"/>
  <c r="F68"/>
  <c r="E68"/>
  <c r="E67" s="1"/>
  <c r="E66" s="1"/>
  <c r="C68"/>
  <c r="D68" s="1"/>
  <c r="B68"/>
  <c r="F67"/>
  <c r="F66" s="1"/>
  <c r="B67"/>
  <c r="B66" s="1"/>
  <c r="D65"/>
  <c r="F64"/>
  <c r="E64"/>
  <c r="E63" s="1"/>
  <c r="E62" s="1"/>
  <c r="C64"/>
  <c r="D64" s="1"/>
  <c r="B64"/>
  <c r="F63"/>
  <c r="F62" s="1"/>
  <c r="B63"/>
  <c r="B62" s="1"/>
  <c r="D61"/>
  <c r="Q60"/>
  <c r="P60"/>
  <c r="O60"/>
  <c r="N60"/>
  <c r="F60"/>
  <c r="V60" s="1"/>
  <c r="E60"/>
  <c r="U60" s="1"/>
  <c r="C60"/>
  <c r="T60" s="1"/>
  <c r="B60"/>
  <c r="S60" s="1"/>
  <c r="Q59"/>
  <c r="P59"/>
  <c r="O59"/>
  <c r="N59"/>
  <c r="F59"/>
  <c r="F58" s="1"/>
  <c r="B59"/>
  <c r="B58" s="1"/>
  <c r="Q58"/>
  <c r="P58"/>
  <c r="O58"/>
  <c r="N58"/>
  <c r="Q57"/>
  <c r="P57"/>
  <c r="O57"/>
  <c r="N57"/>
  <c r="D57"/>
  <c r="Q56"/>
  <c r="P56"/>
  <c r="O56"/>
  <c r="N56"/>
  <c r="F56"/>
  <c r="V56" s="1"/>
  <c r="E56"/>
  <c r="U56" s="1"/>
  <c r="C56"/>
  <c r="T56" s="1"/>
  <c r="B56"/>
  <c r="S56" s="1"/>
  <c r="Q55"/>
  <c r="P55"/>
  <c r="O55"/>
  <c r="N55"/>
  <c r="F55"/>
  <c r="F54" s="1"/>
  <c r="B55"/>
  <c r="B54" s="1"/>
  <c r="Q54"/>
  <c r="P54"/>
  <c r="O54"/>
  <c r="N54"/>
  <c r="Q53"/>
  <c r="P53"/>
  <c r="O53"/>
  <c r="N53"/>
  <c r="D53"/>
  <c r="Q52"/>
  <c r="P52"/>
  <c r="O52"/>
  <c r="N52"/>
  <c r="F52"/>
  <c r="V52" s="1"/>
  <c r="E52"/>
  <c r="U52" s="1"/>
  <c r="C52"/>
  <c r="T52" s="1"/>
  <c r="B52"/>
  <c r="S52" s="1"/>
  <c r="Q51"/>
  <c r="P51"/>
  <c r="O51"/>
  <c r="N51"/>
  <c r="F51"/>
  <c r="F50" s="1"/>
  <c r="B51"/>
  <c r="B50" s="1"/>
  <c r="Q50"/>
  <c r="P50"/>
  <c r="O50"/>
  <c r="N50"/>
  <c r="Q49"/>
  <c r="P49"/>
  <c r="O49"/>
  <c r="N49"/>
  <c r="D49"/>
  <c r="F48"/>
  <c r="V48" s="1"/>
  <c r="E48"/>
  <c r="P48" s="1"/>
  <c r="C48"/>
  <c r="B48"/>
  <c r="S48" s="1"/>
  <c r="F47"/>
  <c r="F46" s="1"/>
  <c r="Q46" s="1"/>
  <c r="B47"/>
  <c r="D45"/>
  <c r="Q44"/>
  <c r="P44"/>
  <c r="O44"/>
  <c r="N44"/>
  <c r="Q43"/>
  <c r="P43"/>
  <c r="O43"/>
  <c r="N43"/>
  <c r="Q42"/>
  <c r="P42"/>
  <c r="O42"/>
  <c r="N42"/>
  <c r="Q41"/>
  <c r="F42" s="1"/>
  <c r="F43" s="1"/>
  <c r="F44" s="1"/>
  <c r="V44" s="1"/>
  <c r="P41"/>
  <c r="E42" s="1"/>
  <c r="O41"/>
  <c r="C42" s="1"/>
  <c r="N41"/>
  <c r="B42" s="1"/>
  <c r="B43" s="1"/>
  <c r="B44" s="1"/>
  <c r="S44" s="1"/>
  <c r="D41"/>
  <c r="Q40"/>
  <c r="P40"/>
  <c r="O40"/>
  <c r="N40"/>
  <c r="Q39"/>
  <c r="P39"/>
  <c r="O39"/>
  <c r="N39"/>
  <c r="Q38"/>
  <c r="P38"/>
  <c r="O38"/>
  <c r="N38"/>
  <c r="Q37"/>
  <c r="F38" s="1"/>
  <c r="F39" s="1"/>
  <c r="F40" s="1"/>
  <c r="V40" s="1"/>
  <c r="P37"/>
  <c r="E38" s="1"/>
  <c r="O37"/>
  <c r="C38" s="1"/>
  <c r="N37"/>
  <c r="B38" s="1"/>
  <c r="B39" s="1"/>
  <c r="B40" s="1"/>
  <c r="S40" s="1"/>
  <c r="D37"/>
  <c r="Q36"/>
  <c r="P36"/>
  <c r="O36"/>
  <c r="N36"/>
  <c r="Q35"/>
  <c r="P35"/>
  <c r="O35"/>
  <c r="N35"/>
  <c r="Q34"/>
  <c r="P34"/>
  <c r="O34"/>
  <c r="N34"/>
  <c r="Q33"/>
  <c r="F34" s="1"/>
  <c r="F35" s="1"/>
  <c r="F36" s="1"/>
  <c r="V36" s="1"/>
  <c r="P33"/>
  <c r="E34" s="1"/>
  <c r="O33"/>
  <c r="C34" s="1"/>
  <c r="N33"/>
  <c r="B34" s="1"/>
  <c r="D33"/>
  <c r="Q32"/>
  <c r="P32"/>
  <c r="O32"/>
  <c r="N32"/>
  <c r="Q31"/>
  <c r="P31"/>
  <c r="O31"/>
  <c r="N31"/>
  <c r="Q30"/>
  <c r="P30"/>
  <c r="O30"/>
  <c r="N30"/>
  <c r="Q29"/>
  <c r="F30" s="1"/>
  <c r="P29"/>
  <c r="E30" s="1"/>
  <c r="E31" s="1"/>
  <c r="E32" s="1"/>
  <c r="U32" s="1"/>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Q18"/>
  <c r="AB18" s="1"/>
  <c r="P18"/>
  <c r="O18"/>
  <c r="Y18" s="1"/>
  <c r="Z18" s="1"/>
  <c r="N18"/>
  <c r="F18"/>
  <c r="F19" s="1"/>
  <c r="F20" s="1"/>
  <c r="V20" s="1"/>
  <c r="Q17"/>
  <c r="P17"/>
  <c r="O17"/>
  <c r="N17"/>
  <c r="D17"/>
  <c r="Q16"/>
  <c r="AB16" s="1"/>
  <c r="P16"/>
  <c r="O16"/>
  <c r="Y16" s="1"/>
  <c r="Z16" s="1"/>
  <c r="N16"/>
  <c r="Q15"/>
  <c r="AB15" s="1"/>
  <c r="P15"/>
  <c r="O15"/>
  <c r="Y15" s="1"/>
  <c r="Z15" s="1"/>
  <c r="N15"/>
  <c r="Q14"/>
  <c r="AB14" s="1"/>
  <c r="P14"/>
  <c r="O14"/>
  <c r="Y14" s="1"/>
  <c r="Z14" s="1"/>
  <c r="N14"/>
  <c r="F14"/>
  <c r="F15" s="1"/>
  <c r="F16" s="1"/>
  <c r="V16" s="1"/>
  <c r="Q13"/>
  <c r="P13"/>
  <c r="O13"/>
  <c r="N13"/>
  <c r="D13"/>
  <c r="Q12"/>
  <c r="AB12" s="1"/>
  <c r="P12"/>
  <c r="O12"/>
  <c r="Y12" s="1"/>
  <c r="Z12" s="1"/>
  <c r="N12"/>
  <c r="Q11"/>
  <c r="AB11" s="1"/>
  <c r="P11"/>
  <c r="O11"/>
  <c r="Y11" s="1"/>
  <c r="Z11" s="1"/>
  <c r="N11"/>
  <c r="Q10"/>
  <c r="AB10" s="1"/>
  <c r="P10"/>
  <c r="O10"/>
  <c r="Y10" s="1"/>
  <c r="Z10" s="1"/>
  <c r="N10"/>
  <c r="F10"/>
  <c r="F11" s="1"/>
  <c r="F12" s="1"/>
  <c r="V12" s="1"/>
  <c r="Q9"/>
  <c r="P9"/>
  <c r="O9"/>
  <c r="N9"/>
  <c r="D9"/>
  <c r="O8"/>
  <c r="N8"/>
  <c r="B35" l="1"/>
  <c r="B36" s="1"/>
  <c r="S36" s="1"/>
  <c r="B10"/>
  <c r="B11" s="1"/>
  <c r="B12" s="1"/>
  <c r="S12" s="1"/>
  <c r="X9"/>
  <c r="E10"/>
  <c r="E11" s="1"/>
  <c r="E12" s="1"/>
  <c r="U12" s="1"/>
  <c r="AA9"/>
  <c r="B14"/>
  <c r="B15" s="1"/>
  <c r="B16" s="1"/>
  <c r="S16" s="1"/>
  <c r="X13"/>
  <c r="B18"/>
  <c r="B19" s="1"/>
  <c r="B20" s="1"/>
  <c r="S20" s="1"/>
  <c r="X17"/>
  <c r="E18"/>
  <c r="E19" s="1"/>
  <c r="E20" s="1"/>
  <c r="U20" s="1"/>
  <c r="AA17"/>
  <c r="N48"/>
  <c r="E14"/>
  <c r="E15" s="1"/>
  <c r="E16" s="1"/>
  <c r="U16" s="1"/>
  <c r="AA13"/>
  <c r="C10"/>
  <c r="Y9"/>
  <c r="Z9" s="1"/>
  <c r="AB9"/>
  <c r="X10"/>
  <c r="AA10"/>
  <c r="X11"/>
  <c r="AA11"/>
  <c r="X12"/>
  <c r="AA12"/>
  <c r="C14"/>
  <c r="C15" s="1"/>
  <c r="Y13"/>
  <c r="Z13" s="1"/>
  <c r="AB13"/>
  <c r="X14"/>
  <c r="AA14"/>
  <c r="X15"/>
  <c r="AA15"/>
  <c r="X16"/>
  <c r="AA16"/>
  <c r="C18"/>
  <c r="Y17"/>
  <c r="Z17" s="1"/>
  <c r="AB17"/>
  <c r="X18"/>
  <c r="AA18"/>
  <c r="F31"/>
  <c r="F32" s="1"/>
  <c r="V32" s="1"/>
  <c r="C8"/>
  <c r="Y3"/>
  <c r="Z3" s="1"/>
  <c r="Y5"/>
  <c r="Z5" s="1"/>
  <c r="Y6"/>
  <c r="Z6" s="1"/>
  <c r="Y7"/>
  <c r="Z7" s="1"/>
  <c r="Y8"/>
  <c r="Z8" s="1"/>
  <c r="B8"/>
  <c r="B7" s="1"/>
  <c r="B6" s="1"/>
  <c r="B5" s="1"/>
  <c r="B4" s="1"/>
  <c r="X5"/>
  <c r="X6"/>
  <c r="X7"/>
  <c r="X3"/>
  <c r="X8"/>
  <c r="C11"/>
  <c r="D10"/>
  <c r="D14"/>
  <c r="C19"/>
  <c r="D18"/>
  <c r="C23"/>
  <c r="D22"/>
  <c r="C27"/>
  <c r="D27" s="1"/>
  <c r="D26"/>
  <c r="C31"/>
  <c r="D30"/>
  <c r="P8"/>
  <c r="E35"/>
  <c r="E36" s="1"/>
  <c r="U36" s="1"/>
  <c r="E39"/>
  <c r="E40" s="1"/>
  <c r="U40" s="1"/>
  <c r="E43"/>
  <c r="E44" s="1"/>
  <c r="U44" s="1"/>
  <c r="Q45"/>
  <c r="U48"/>
  <c r="E47"/>
  <c r="Q8"/>
  <c r="C35"/>
  <c r="D34"/>
  <c r="C39"/>
  <c r="D38"/>
  <c r="C43"/>
  <c r="D42"/>
  <c r="N47"/>
  <c r="B46"/>
  <c r="Q47"/>
  <c r="T48"/>
  <c r="O48"/>
  <c r="D48"/>
  <c r="C47"/>
  <c r="Q48"/>
  <c r="C51"/>
  <c r="E51"/>
  <c r="E50" s="1"/>
  <c r="D52"/>
  <c r="C55"/>
  <c r="E55"/>
  <c r="E54" s="1"/>
  <c r="D56"/>
  <c r="C59"/>
  <c r="E59"/>
  <c r="E58" s="1"/>
  <c r="D60"/>
  <c r="C63"/>
  <c r="C67"/>
  <c r="T8" l="1"/>
  <c r="C7"/>
  <c r="S8"/>
  <c r="F8"/>
  <c r="F7" s="1"/>
  <c r="F6" s="1"/>
  <c r="F5" s="1"/>
  <c r="F4" s="1"/>
  <c r="AB3"/>
  <c r="AB5"/>
  <c r="AB6"/>
  <c r="AB7"/>
  <c r="AB8"/>
  <c r="E8"/>
  <c r="E7" s="1"/>
  <c r="E6" s="1"/>
  <c r="E5" s="1"/>
  <c r="E4" s="1"/>
  <c r="AA3"/>
  <c r="AA5"/>
  <c r="AA6"/>
  <c r="AA7"/>
  <c r="AA8"/>
  <c r="D8"/>
  <c r="U8" s="1"/>
  <c r="C46"/>
  <c r="O47"/>
  <c r="D47"/>
  <c r="C44"/>
  <c r="D43"/>
  <c r="D63"/>
  <c r="C62"/>
  <c r="D62" s="1"/>
  <c r="D55"/>
  <c r="C54"/>
  <c r="D54" s="1"/>
  <c r="N45"/>
  <c r="N46"/>
  <c r="D67"/>
  <c r="C66"/>
  <c r="D66" s="1"/>
  <c r="D59"/>
  <c r="C58"/>
  <c r="D58" s="1"/>
  <c r="D51"/>
  <c r="C50"/>
  <c r="D50" s="1"/>
  <c r="C40"/>
  <c r="D39"/>
  <c r="C36"/>
  <c r="D35"/>
  <c r="P47"/>
  <c r="E46"/>
  <c r="C32"/>
  <c r="D31"/>
  <c r="C24"/>
  <c r="D23"/>
  <c r="C20"/>
  <c r="D19"/>
  <c r="C16"/>
  <c r="D15"/>
  <c r="C12"/>
  <c r="D11"/>
  <c r="C6" l="1"/>
  <c r="D7"/>
  <c r="V8"/>
  <c r="P45"/>
  <c r="P46"/>
  <c r="O46"/>
  <c r="D46"/>
  <c r="O45"/>
  <c r="T12"/>
  <c r="D12"/>
  <c r="T16"/>
  <c r="D16"/>
  <c r="T20"/>
  <c r="D20"/>
  <c r="T24"/>
  <c r="D24"/>
  <c r="T32"/>
  <c r="D32"/>
  <c r="T36"/>
  <c r="D36"/>
  <c r="T40"/>
  <c r="D40"/>
  <c r="T44"/>
  <c r="D44"/>
  <c r="D6" l="1"/>
  <c r="C5"/>
  <c r="O27" i="6"/>
  <c r="N27"/>
  <c r="P20"/>
  <c r="P21"/>
  <c r="P22"/>
  <c r="P23"/>
  <c r="P24"/>
  <c r="P25"/>
  <c r="P26"/>
  <c r="P19"/>
  <c r="AP13" i="1"/>
  <c r="L21" i="6"/>
  <c r="L22"/>
  <c r="L23"/>
  <c r="L24"/>
  <c r="L25"/>
  <c r="L26"/>
  <c r="D5" i="71" l="1"/>
  <c r="C4"/>
  <c r="D4" s="1"/>
  <c r="P27" i="6"/>
  <c r="A7" i="70"/>
  <c r="A8"/>
  <c r="E8" s="1"/>
  <c r="A9"/>
  <c r="E9" s="1"/>
  <c r="A10"/>
  <c r="E10" s="1"/>
  <c r="A11"/>
  <c r="E11" s="1"/>
  <c r="A12"/>
  <c r="E12" s="1"/>
  <c r="A13"/>
  <c r="E13" s="1"/>
  <c r="A6"/>
  <c r="Q25" i="40" l="1"/>
  <c r="Z25" s="1"/>
  <c r="D94"/>
  <c r="E94" s="1"/>
  <c r="F25"/>
  <c r="AA25" s="1"/>
  <c r="Q29" i="39"/>
  <c r="Z29" s="1"/>
  <c r="D103"/>
  <c r="E103" s="1"/>
  <c r="F29"/>
  <c r="AA29" s="1"/>
  <c r="Q18" i="36"/>
  <c r="Z18" s="1"/>
  <c r="D66"/>
  <c r="E66" s="1"/>
  <c r="F66" s="1"/>
  <c r="H18"/>
  <c r="AB18" s="1"/>
  <c r="F18"/>
  <c r="AA18" s="1"/>
  <c r="C18"/>
  <c r="Z18" i="35"/>
  <c r="Q18"/>
  <c r="D68"/>
  <c r="E68" s="1"/>
  <c r="F18"/>
  <c r="AA18" s="1"/>
  <c r="C18"/>
  <c r="Q21" i="37"/>
  <c r="Z21" s="1"/>
  <c r="D77"/>
  <c r="E77" s="1"/>
  <c r="C21"/>
  <c r="Q21" i="34"/>
  <c r="Z21" s="1"/>
  <c r="D84"/>
  <c r="E84" s="1"/>
  <c r="F21"/>
  <c r="AA21" s="1"/>
  <c r="C21"/>
  <c r="Z21" i="33"/>
  <c r="Q21"/>
  <c r="D83"/>
  <c r="E83" s="1"/>
  <c r="C21"/>
  <c r="C21" i="21"/>
  <c r="Q21"/>
  <c r="Z21" s="1"/>
  <c r="D83"/>
  <c r="F21" s="1"/>
  <c r="AA21" s="1"/>
  <c r="D81"/>
  <c r="H19" s="1"/>
  <c r="G20" i="20"/>
  <c r="B86" i="43" s="1"/>
  <c r="C22" i="20"/>
  <c r="AO9" i="1"/>
  <c r="AO13"/>
  <c r="AO12"/>
  <c r="AO11"/>
  <c r="AO10"/>
  <c r="B11" i="70" l="1"/>
  <c r="B13"/>
  <c r="B12"/>
  <c r="B10"/>
  <c r="B9"/>
  <c r="B75" i="43"/>
  <c r="B55"/>
  <c r="B66"/>
  <c r="C25" i="40"/>
  <c r="C29" i="39"/>
  <c r="S25" i="40"/>
  <c r="S29" i="39"/>
  <c r="S18" i="36"/>
  <c r="U18"/>
  <c r="S21" i="34"/>
  <c r="F94" i="40"/>
  <c r="H25"/>
  <c r="G94"/>
  <c r="J25"/>
  <c r="F103" i="39"/>
  <c r="H29"/>
  <c r="G103"/>
  <c r="J29"/>
  <c r="G66" i="36"/>
  <c r="J18"/>
  <c r="F68" i="35"/>
  <c r="H18"/>
  <c r="S18"/>
  <c r="G68"/>
  <c r="J18"/>
  <c r="F77" i="37"/>
  <c r="H21"/>
  <c r="F21"/>
  <c r="F84" i="34"/>
  <c r="H21"/>
  <c r="F83" i="33"/>
  <c r="H21"/>
  <c r="F21"/>
  <c r="E83" i="21"/>
  <c r="S21"/>
  <c r="H1" i="69"/>
  <c r="AC25" i="40" l="1"/>
  <c r="W25"/>
  <c r="AB25"/>
  <c r="U25"/>
  <c r="AB29" i="39"/>
  <c r="U29"/>
  <c r="AC29"/>
  <c r="W29"/>
  <c r="AC18" i="36"/>
  <c r="W18"/>
  <c r="AB21" i="37"/>
  <c r="U21"/>
  <c r="AA21"/>
  <c r="S21"/>
  <c r="AB21" i="34"/>
  <c r="U21"/>
  <c r="U21" i="33"/>
  <c r="AB21"/>
  <c r="AA21"/>
  <c r="S21"/>
  <c r="AB18" i="35"/>
  <c r="U18"/>
  <c r="AC18"/>
  <c r="W18"/>
  <c r="G77" i="37"/>
  <c r="J21"/>
  <c r="G84" i="34"/>
  <c r="J21"/>
  <c r="G83" i="33"/>
  <c r="J21"/>
  <c r="F83" i="21"/>
  <c r="H21"/>
  <c r="F38" i="69"/>
  <c r="E37"/>
  <c r="F36"/>
  <c r="F35"/>
  <c r="F21"/>
  <c r="C21" s="1"/>
  <c r="F20"/>
  <c r="E9"/>
  <c r="F7"/>
  <c r="C7" s="1"/>
  <c r="AC21" i="37" l="1"/>
  <c r="W21"/>
  <c r="AC21" i="34"/>
  <c r="W21"/>
  <c r="AC21" i="33"/>
  <c r="W21"/>
  <c r="AB21" i="21"/>
  <c r="U21"/>
  <c r="G83"/>
  <c r="J21"/>
  <c r="C40" i="69"/>
  <c r="F38" i="68"/>
  <c r="E37"/>
  <c r="F36"/>
  <c r="F35"/>
  <c r="F21"/>
  <c r="C21" s="1"/>
  <c r="F20"/>
  <c r="E9"/>
  <c r="F7"/>
  <c r="W21" i="21" l="1"/>
  <c r="AC21"/>
  <c r="C40" i="68"/>
  <c r="Q72" i="67" l="1"/>
  <c r="Q59"/>
  <c r="Q58"/>
  <c r="Q51"/>
  <c r="J50"/>
  <c r="M47"/>
  <c r="D46"/>
  <c r="F33"/>
  <c r="F61" s="1"/>
  <c r="F23"/>
  <c r="D24" s="1"/>
  <c r="F21"/>
  <c r="F20"/>
  <c r="M19"/>
  <c r="F18"/>
  <c r="F17"/>
  <c r="F15"/>
  <c r="D22" l="1"/>
  <c r="D23"/>
  <c r="S2" i="4" l="1"/>
  <c r="C51" i="10" s="1"/>
  <c r="A13" i="51" s="1"/>
  <c r="B11" i="72" s="1"/>
  <c r="S1" i="4"/>
  <c r="B1"/>
  <c r="B37" i="48" s="1"/>
  <c r="B2" i="72" s="1"/>
  <c r="C31" i="66"/>
  <c r="C27"/>
  <c r="C32" s="1"/>
  <c r="I23"/>
  <c r="D20"/>
  <c r="I19"/>
  <c r="I18"/>
  <c r="I17"/>
  <c r="E15"/>
  <c r="I14"/>
  <c r="I13"/>
  <c r="I12"/>
  <c r="I15"/>
  <c r="I9"/>
  <c r="I8"/>
  <c r="I7"/>
  <c r="I6"/>
  <c r="I5"/>
  <c r="I4"/>
  <c r="I3"/>
  <c r="I10"/>
  <c r="I21" s="1"/>
  <c r="M11" i="15"/>
  <c r="D1" i="43"/>
  <c r="F113"/>
  <c r="N99"/>
  <c r="N108" s="1"/>
  <c r="D99"/>
  <c r="D108" s="1"/>
  <c r="E99"/>
  <c r="E108" s="1"/>
  <c r="F99"/>
  <c r="F108" s="1"/>
  <c r="G99"/>
  <c r="G108" s="1"/>
  <c r="H99"/>
  <c r="H108" s="1"/>
  <c r="I99"/>
  <c r="I108" s="1"/>
  <c r="J99"/>
  <c r="J108" s="1"/>
  <c r="K99"/>
  <c r="K108" s="1"/>
  <c r="L99"/>
  <c r="L108" s="1"/>
  <c r="M99"/>
  <c r="M108" s="1"/>
  <c r="C99"/>
  <c r="C108" s="1"/>
  <c r="N100"/>
  <c r="D100"/>
  <c r="L100"/>
  <c r="G100"/>
  <c r="K100"/>
  <c r="B48"/>
  <c r="B84"/>
  <c r="B83"/>
  <c r="B72"/>
  <c r="B61"/>
  <c r="B50"/>
  <c r="D82"/>
  <c r="D83"/>
  <c r="D84"/>
  <c r="D85"/>
  <c r="D86"/>
  <c r="D87"/>
  <c r="D88"/>
  <c r="D81"/>
  <c r="D67"/>
  <c r="D60"/>
  <c r="D61"/>
  <c r="D62"/>
  <c r="D63"/>
  <c r="D64"/>
  <c r="D65"/>
  <c r="D66"/>
  <c r="D59"/>
  <c r="E59" s="1"/>
  <c r="B57" s="1"/>
  <c r="C24" s="1"/>
  <c r="M88"/>
  <c r="N88"/>
  <c r="K88"/>
  <c r="J88"/>
  <c r="M87"/>
  <c r="N87"/>
  <c r="K87"/>
  <c r="J87"/>
  <c r="M86"/>
  <c r="N86"/>
  <c r="K86"/>
  <c r="J86"/>
  <c r="M85"/>
  <c r="N85"/>
  <c r="K85"/>
  <c r="J85"/>
  <c r="M84"/>
  <c r="N84"/>
  <c r="K84"/>
  <c r="J84"/>
  <c r="M83"/>
  <c r="N83"/>
  <c r="K83"/>
  <c r="J83"/>
  <c r="M82"/>
  <c r="N82"/>
  <c r="K82"/>
  <c r="J82"/>
  <c r="M81"/>
  <c r="N81"/>
  <c r="K81"/>
  <c r="J81"/>
  <c r="M78"/>
  <c r="N78"/>
  <c r="K78"/>
  <c r="J78"/>
  <c r="D78" s="1"/>
  <c r="M77"/>
  <c r="N77" s="1"/>
  <c r="K77"/>
  <c r="J77" s="1"/>
  <c r="D77" s="1"/>
  <c r="M76"/>
  <c r="N76"/>
  <c r="K76"/>
  <c r="J76"/>
  <c r="D76" s="1"/>
  <c r="M75"/>
  <c r="N75" s="1"/>
  <c r="K75"/>
  <c r="J75" s="1"/>
  <c r="D75" s="1"/>
  <c r="M74"/>
  <c r="N74"/>
  <c r="K74"/>
  <c r="J74"/>
  <c r="D74" s="1"/>
  <c r="M73"/>
  <c r="N73" s="1"/>
  <c r="K73"/>
  <c r="J73" s="1"/>
  <c r="D73" s="1"/>
  <c r="M72"/>
  <c r="N72" s="1"/>
  <c r="K72"/>
  <c r="J72" s="1"/>
  <c r="D72" s="1"/>
  <c r="M71"/>
  <c r="N71" s="1"/>
  <c r="K71"/>
  <c r="J71" s="1"/>
  <c r="D71" s="1"/>
  <c r="M70"/>
  <c r="N70" s="1"/>
  <c r="K70"/>
  <c r="J70" s="1"/>
  <c r="D70" s="1"/>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s="1"/>
  <c r="M55"/>
  <c r="N55" s="1"/>
  <c r="K55"/>
  <c r="J55" s="1"/>
  <c r="D55" s="1"/>
  <c r="M54"/>
  <c r="N54"/>
  <c r="K54"/>
  <c r="J54"/>
  <c r="D54" s="1"/>
  <c r="M53"/>
  <c r="N53" s="1"/>
  <c r="K53"/>
  <c r="J53" s="1"/>
  <c r="D53" s="1"/>
  <c r="M52"/>
  <c r="N52"/>
  <c r="K52"/>
  <c r="J52"/>
  <c r="D52" s="1"/>
  <c r="M51"/>
  <c r="N51" s="1"/>
  <c r="K51"/>
  <c r="J51" s="1"/>
  <c r="D51" s="1"/>
  <c r="M50"/>
  <c r="N50"/>
  <c r="K50"/>
  <c r="J50"/>
  <c r="D50" s="1"/>
  <c r="M49"/>
  <c r="N49" s="1"/>
  <c r="K49"/>
  <c r="J49" s="1"/>
  <c r="D49" s="1"/>
  <c r="M48"/>
  <c r="N48"/>
  <c r="K48"/>
  <c r="J48"/>
  <c r="D48" s="1"/>
  <c r="Q72" i="15"/>
  <c r="Q58"/>
  <c r="Q51"/>
  <c r="Q59"/>
  <c r="AE10" i="1"/>
  <c r="AE11"/>
  <c r="AE12"/>
  <c r="AE13"/>
  <c r="M47" i="15"/>
  <c r="AG7" i="1"/>
  <c r="AG8"/>
  <c r="AG9"/>
  <c r="AG10"/>
  <c r="AG11"/>
  <c r="AG12"/>
  <c r="AG13"/>
  <c r="J50" i="15"/>
  <c r="J51" s="1"/>
  <c r="D12" i="31"/>
  <c r="E12" s="1"/>
  <c r="F12" s="1"/>
  <c r="G12" s="1"/>
  <c r="H12" s="1"/>
  <c r="I12" s="1"/>
  <c r="J12" s="1"/>
  <c r="K12" s="1"/>
  <c r="L12" s="1"/>
  <c r="M12" s="1"/>
  <c r="N12" s="1"/>
  <c r="O12" s="1"/>
  <c r="P12" s="1"/>
  <c r="Q12" s="1"/>
  <c r="R12" s="1"/>
  <c r="S12" s="1"/>
  <c r="D10"/>
  <c r="E10" s="1"/>
  <c r="F10" s="1"/>
  <c r="G10" s="1"/>
  <c r="H10" s="1"/>
  <c r="I10" s="1"/>
  <c r="J10" s="1"/>
  <c r="K10" s="1"/>
  <c r="L10" s="1"/>
  <c r="M10" s="1"/>
  <c r="N10" s="1"/>
  <c r="O10" s="1"/>
  <c r="P10" s="1"/>
  <c r="Q10" s="1"/>
  <c r="R10" s="1"/>
  <c r="S10" s="1"/>
  <c r="D8"/>
  <c r="E8" s="1"/>
  <c r="F8" s="1"/>
  <c r="G8" s="1"/>
  <c r="H8" s="1"/>
  <c r="I8" s="1"/>
  <c r="J8" s="1"/>
  <c r="K8" s="1"/>
  <c r="L8" s="1"/>
  <c r="M8" s="1"/>
  <c r="N8" s="1"/>
  <c r="O8" s="1"/>
  <c r="P8" s="1"/>
  <c r="Q8" s="1"/>
  <c r="R8" s="1"/>
  <c r="S8" s="1"/>
  <c r="D6"/>
  <c r="E6" s="1"/>
  <c r="F6" s="1"/>
  <c r="G6" s="1"/>
  <c r="H6" s="1"/>
  <c r="I6" s="1"/>
  <c r="J6" s="1"/>
  <c r="K6" s="1"/>
  <c r="L6" s="1"/>
  <c r="M6" s="1"/>
  <c r="N6" s="1"/>
  <c r="O6" s="1"/>
  <c r="P6" s="1"/>
  <c r="Q6" s="1"/>
  <c r="R6" s="1"/>
  <c r="S6" s="1"/>
  <c r="B2" i="1"/>
  <c r="F15" i="4"/>
  <c r="D6" i="1"/>
  <c r="D9"/>
  <c r="D10"/>
  <c r="D11"/>
  <c r="D12"/>
  <c r="D13"/>
  <c r="D7"/>
  <c r="D8"/>
  <c r="A7"/>
  <c r="B7" s="1"/>
  <c r="E7" s="1"/>
  <c r="A8"/>
  <c r="B8" s="1"/>
  <c r="E8" s="1"/>
  <c r="A9"/>
  <c r="A10"/>
  <c r="A11"/>
  <c r="A12"/>
  <c r="A13"/>
  <c r="A6"/>
  <c r="B11"/>
  <c r="E11" s="1"/>
  <c r="B13"/>
  <c r="E13" s="1"/>
  <c r="G79" i="36"/>
  <c r="G85" i="35"/>
  <c r="G97" i="37"/>
  <c r="G110" i="34"/>
  <c r="G111" i="21"/>
  <c r="G109" i="33"/>
  <c r="D23" i="31"/>
  <c r="L2"/>
  <c r="K2"/>
  <c r="J2"/>
  <c r="I2"/>
  <c r="H2"/>
  <c r="G2"/>
  <c r="F2"/>
  <c r="E2"/>
  <c r="D2"/>
  <c r="C2"/>
  <c r="D46" i="15"/>
  <c r="BT112" i="3"/>
  <c r="BS112"/>
  <c r="BR112"/>
  <c r="BQ112"/>
  <c r="BP112"/>
  <c r="BO112"/>
  <c r="BN112"/>
  <c r="BM112"/>
  <c r="BL112" s="1"/>
  <c r="BK112"/>
  <c r="BJ112"/>
  <c r="BI112"/>
  <c r="BH112"/>
  <c r="BG112"/>
  <c r="BF112"/>
  <c r="BE112"/>
  <c r="BD112"/>
  <c r="BC112"/>
  <c r="BB112"/>
  <c r="AX112"/>
  <c r="AW112"/>
  <c r="AV112"/>
  <c r="AC112"/>
  <c r="H112"/>
  <c r="G112"/>
  <c r="BT111"/>
  <c r="BS111"/>
  <c r="BR111"/>
  <c r="BQ111"/>
  <c r="BP111"/>
  <c r="BO111"/>
  <c r="BN111"/>
  <c r="BM111"/>
  <c r="BL111" s="1"/>
  <c r="BK111"/>
  <c r="BJ111"/>
  <c r="BI111"/>
  <c r="BH111"/>
  <c r="BG111"/>
  <c r="BF111"/>
  <c r="BE111"/>
  <c r="BD111"/>
  <c r="BC111"/>
  <c r="BB111"/>
  <c r="BA111" s="1"/>
  <c r="AX111"/>
  <c r="AW111"/>
  <c r="AV111"/>
  <c r="AC111"/>
  <c r="H111"/>
  <c r="G111" s="1"/>
  <c r="BT110"/>
  <c r="BS110"/>
  <c r="BR110"/>
  <c r="BQ110"/>
  <c r="BP110"/>
  <c r="BO110"/>
  <c r="BN110"/>
  <c r="BM110"/>
  <c r="BL110" s="1"/>
  <c r="BK110"/>
  <c r="BJ110"/>
  <c r="BI110"/>
  <c r="BH110"/>
  <c r="BG110"/>
  <c r="BF110"/>
  <c r="BE110"/>
  <c r="BD110"/>
  <c r="BC110"/>
  <c r="BB110"/>
  <c r="AX110"/>
  <c r="AW110"/>
  <c r="AV110"/>
  <c r="AC110"/>
  <c r="H110"/>
  <c r="G110" s="1"/>
  <c r="BT109"/>
  <c r="BS109"/>
  <c r="BR109"/>
  <c r="BQ109"/>
  <c r="BP109"/>
  <c r="BO109"/>
  <c r="BN109"/>
  <c r="BM109"/>
  <c r="BL109" s="1"/>
  <c r="BK109"/>
  <c r="BJ109"/>
  <c r="BI109"/>
  <c r="BH109"/>
  <c r="BG109"/>
  <c r="BF109"/>
  <c r="BE109"/>
  <c r="BD109"/>
  <c r="BC109"/>
  <c r="BB109"/>
  <c r="AX109"/>
  <c r="AW109"/>
  <c r="AV109"/>
  <c r="AC109"/>
  <c r="H109"/>
  <c r="G109" s="1"/>
  <c r="BT108"/>
  <c r="BS108"/>
  <c r="BR108"/>
  <c r="BQ108"/>
  <c r="BP108"/>
  <c r="BO108"/>
  <c r="BN108"/>
  <c r="BM108"/>
  <c r="BL108" s="1"/>
  <c r="BK108"/>
  <c r="BJ108"/>
  <c r="BI108"/>
  <c r="BH108"/>
  <c r="BG108"/>
  <c r="BF108"/>
  <c r="BE108"/>
  <c r="BD108"/>
  <c r="BC108"/>
  <c r="BB108"/>
  <c r="AX108"/>
  <c r="AW108"/>
  <c r="AV108"/>
  <c r="AC108"/>
  <c r="H108"/>
  <c r="G108"/>
  <c r="BT107"/>
  <c r="BS107"/>
  <c r="BR107"/>
  <c r="BQ107"/>
  <c r="BP107"/>
  <c r="BO107"/>
  <c r="BN107"/>
  <c r="BM107"/>
  <c r="BL107" s="1"/>
  <c r="BK107"/>
  <c r="BJ107"/>
  <c r="BI107"/>
  <c r="BH107"/>
  <c r="BG107"/>
  <c r="BF107"/>
  <c r="BE107"/>
  <c r="BD107"/>
  <c r="BC107"/>
  <c r="BB107"/>
  <c r="BA107" s="1"/>
  <c r="AX107"/>
  <c r="AW107"/>
  <c r="AV107"/>
  <c r="AC107"/>
  <c r="H107"/>
  <c r="G107" s="1"/>
  <c r="BT106"/>
  <c r="BS106"/>
  <c r="BR106"/>
  <c r="BQ106"/>
  <c r="BP106"/>
  <c r="BO106"/>
  <c r="BN106"/>
  <c r="BM106"/>
  <c r="BL106" s="1"/>
  <c r="BK106"/>
  <c r="BJ106"/>
  <c r="BI106"/>
  <c r="BH106"/>
  <c r="BG106"/>
  <c r="BF106"/>
  <c r="BE106"/>
  <c r="BD106"/>
  <c r="BC106"/>
  <c r="BB106"/>
  <c r="AX106"/>
  <c r="AW106"/>
  <c r="AV106"/>
  <c r="AC106"/>
  <c r="H106"/>
  <c r="G106"/>
  <c r="BT105"/>
  <c r="BS105"/>
  <c r="BR105"/>
  <c r="BQ105"/>
  <c r="BP105"/>
  <c r="BO105"/>
  <c r="BN105"/>
  <c r="BM105"/>
  <c r="BL105" s="1"/>
  <c r="BK105"/>
  <c r="BJ105"/>
  <c r="BI105"/>
  <c r="BH105"/>
  <c r="BG105"/>
  <c r="BF105"/>
  <c r="BE105"/>
  <c r="BD105"/>
  <c r="BC105"/>
  <c r="BB105"/>
  <c r="BA105" s="1"/>
  <c r="AX105"/>
  <c r="AW105"/>
  <c r="AV105"/>
  <c r="AC105"/>
  <c r="H105"/>
  <c r="G105" s="1"/>
  <c r="BT104"/>
  <c r="BS104"/>
  <c r="BR104"/>
  <c r="BQ104"/>
  <c r="BP104"/>
  <c r="BO104"/>
  <c r="BN104"/>
  <c r="BM104"/>
  <c r="BK104"/>
  <c r="BJ104"/>
  <c r="BI104"/>
  <c r="BH104"/>
  <c r="BG104"/>
  <c r="BF104"/>
  <c r="BE104"/>
  <c r="BD104"/>
  <c r="BC104"/>
  <c r="BB104"/>
  <c r="BA104"/>
  <c r="AX104"/>
  <c r="AW104"/>
  <c r="AV104"/>
  <c r="AC104"/>
  <c r="H104"/>
  <c r="BT103"/>
  <c r="BS103"/>
  <c r="BR103"/>
  <c r="BQ103"/>
  <c r="BP103"/>
  <c r="BO103"/>
  <c r="BN103"/>
  <c r="BM103"/>
  <c r="BL103"/>
  <c r="BK103"/>
  <c r="BJ103"/>
  <c r="BI103"/>
  <c r="BH103"/>
  <c r="BG103"/>
  <c r="BF103"/>
  <c r="BE103"/>
  <c r="BD103"/>
  <c r="BC103"/>
  <c r="BB103"/>
  <c r="BA103" s="1"/>
  <c r="AZ103" s="1"/>
  <c r="AX103"/>
  <c r="AW103"/>
  <c r="AV103"/>
  <c r="AC103"/>
  <c r="H103"/>
  <c r="G103"/>
  <c r="BT102"/>
  <c r="BS102"/>
  <c r="BR102"/>
  <c r="BQ102"/>
  <c r="BP102"/>
  <c r="BO102"/>
  <c r="BN102"/>
  <c r="BM102"/>
  <c r="BL102" s="1"/>
  <c r="BK102"/>
  <c r="BJ102"/>
  <c r="BI102"/>
  <c r="BH102"/>
  <c r="BG102"/>
  <c r="BF102"/>
  <c r="BE102"/>
  <c r="BD102"/>
  <c r="BC102"/>
  <c r="BB102"/>
  <c r="BA102" s="1"/>
  <c r="AX102"/>
  <c r="AW102"/>
  <c r="AV102"/>
  <c r="AC102"/>
  <c r="H102"/>
  <c r="G102" s="1"/>
  <c r="BT101"/>
  <c r="BS101"/>
  <c r="BR101"/>
  <c r="BQ101"/>
  <c r="BP101"/>
  <c r="BO101"/>
  <c r="BN101"/>
  <c r="BM101"/>
  <c r="BK101"/>
  <c r="BJ101"/>
  <c r="BI101"/>
  <c r="BH101"/>
  <c r="BG101"/>
  <c r="BF101"/>
  <c r="BE101"/>
  <c r="BD101"/>
  <c r="BC101"/>
  <c r="BB101"/>
  <c r="BA101"/>
  <c r="AX101"/>
  <c r="AW101"/>
  <c r="AV101"/>
  <c r="AC101"/>
  <c r="H101"/>
  <c r="G101"/>
  <c r="BT100"/>
  <c r="BS100"/>
  <c r="BR100"/>
  <c r="BQ100"/>
  <c r="BP100"/>
  <c r="BO100"/>
  <c r="BN100"/>
  <c r="BM100"/>
  <c r="BL100" s="1"/>
  <c r="BK100"/>
  <c r="BJ100"/>
  <c r="BI100"/>
  <c r="BH100"/>
  <c r="BG100"/>
  <c r="BF100"/>
  <c r="BE100"/>
  <c r="BD100"/>
  <c r="BC100"/>
  <c r="BB100"/>
  <c r="BA100" s="1"/>
  <c r="AZ100" s="1"/>
  <c r="AX100"/>
  <c r="AW100"/>
  <c r="AV100"/>
  <c r="AC100"/>
  <c r="H100"/>
  <c r="G100" s="1"/>
  <c r="BT99"/>
  <c r="BS99"/>
  <c r="BR99"/>
  <c r="BQ99"/>
  <c r="BP99"/>
  <c r="BO99"/>
  <c r="BN99"/>
  <c r="BM99"/>
  <c r="BL99" s="1"/>
  <c r="BK99"/>
  <c r="BJ99"/>
  <c r="BI99"/>
  <c r="BH99"/>
  <c r="BG99"/>
  <c r="BF99"/>
  <c r="BE99"/>
  <c r="BD99"/>
  <c r="BC99"/>
  <c r="BB99"/>
  <c r="AX99"/>
  <c r="AW99"/>
  <c r="AV99"/>
  <c r="AC99"/>
  <c r="H99"/>
  <c r="G99" s="1"/>
  <c r="BT98"/>
  <c r="BS98"/>
  <c r="BR98"/>
  <c r="BQ98"/>
  <c r="BP98"/>
  <c r="BO98"/>
  <c r="BN98"/>
  <c r="BM98"/>
  <c r="BK98"/>
  <c r="BJ98"/>
  <c r="BI98"/>
  <c r="BH98"/>
  <c r="BG98"/>
  <c r="BF98"/>
  <c r="BE98"/>
  <c r="BD98"/>
  <c r="BC98"/>
  <c r="BB98"/>
  <c r="BA98"/>
  <c r="AX98"/>
  <c r="AW98"/>
  <c r="AV98"/>
  <c r="AC98"/>
  <c r="H98"/>
  <c r="BT97"/>
  <c r="BS97"/>
  <c r="BR97"/>
  <c r="BQ97"/>
  <c r="BP97"/>
  <c r="BO97"/>
  <c r="BN97"/>
  <c r="BM97"/>
  <c r="BL97"/>
  <c r="BK97"/>
  <c r="BJ97"/>
  <c r="BI97"/>
  <c r="BH97"/>
  <c r="BG97"/>
  <c r="BF97"/>
  <c r="BE97"/>
  <c r="BD97"/>
  <c r="BC97"/>
  <c r="BB97"/>
  <c r="BA97" s="1"/>
  <c r="AX97"/>
  <c r="AW97"/>
  <c r="AV97"/>
  <c r="AC97"/>
  <c r="H97"/>
  <c r="BT96"/>
  <c r="BS96"/>
  <c r="BR96"/>
  <c r="BQ96"/>
  <c r="BP96"/>
  <c r="BO96"/>
  <c r="BN96"/>
  <c r="BM96"/>
  <c r="BL96"/>
  <c r="BK96"/>
  <c r="BJ96"/>
  <c r="BI96"/>
  <c r="BH96"/>
  <c r="BG96"/>
  <c r="BF96"/>
  <c r="BE96"/>
  <c r="BD96"/>
  <c r="BC96"/>
  <c r="BB96"/>
  <c r="BA96" s="1"/>
  <c r="AZ96" s="1"/>
  <c r="AX96"/>
  <c r="AW96"/>
  <c r="AV96"/>
  <c r="AC96"/>
  <c r="H96"/>
  <c r="G96"/>
  <c r="BT95"/>
  <c r="BS95"/>
  <c r="BR95"/>
  <c r="BQ95"/>
  <c r="BP95"/>
  <c r="BO95"/>
  <c r="BN95"/>
  <c r="BM95"/>
  <c r="BL95" s="1"/>
  <c r="BK95"/>
  <c r="BJ95"/>
  <c r="BI95"/>
  <c r="BH95"/>
  <c r="BG95"/>
  <c r="BF95"/>
  <c r="BE95"/>
  <c r="BD95"/>
  <c r="BC95"/>
  <c r="BB95"/>
  <c r="BA95" s="1"/>
  <c r="AZ95" s="1"/>
  <c r="AX95"/>
  <c r="AW95"/>
  <c r="AV95"/>
  <c r="AC95"/>
  <c r="H95"/>
  <c r="G95" s="1"/>
  <c r="BT94"/>
  <c r="BS94"/>
  <c r="BR94"/>
  <c r="BQ94"/>
  <c r="BP94"/>
  <c r="BO94"/>
  <c r="BN94"/>
  <c r="BM94"/>
  <c r="BL94" s="1"/>
  <c r="BK94"/>
  <c r="BJ94"/>
  <c r="BI94"/>
  <c r="BH94"/>
  <c r="BG94"/>
  <c r="BF94"/>
  <c r="BE94"/>
  <c r="BD94"/>
  <c r="BC94"/>
  <c r="BB94"/>
  <c r="AX94"/>
  <c r="AW94"/>
  <c r="AV94"/>
  <c r="AC94"/>
  <c r="H94"/>
  <c r="G94" s="1"/>
  <c r="BT93"/>
  <c r="BS93"/>
  <c r="BR93"/>
  <c r="BQ93"/>
  <c r="BP93"/>
  <c r="BO93"/>
  <c r="BN93"/>
  <c r="BM93"/>
  <c r="BL93" s="1"/>
  <c r="BK93"/>
  <c r="BJ93"/>
  <c r="BI93"/>
  <c r="BH93"/>
  <c r="BG93"/>
  <c r="BF93"/>
  <c r="BE93"/>
  <c r="BD93"/>
  <c r="BC93"/>
  <c r="BB93"/>
  <c r="AX93"/>
  <c r="AW93"/>
  <c r="AV93"/>
  <c r="AC93"/>
  <c r="H93"/>
  <c r="G93" s="1"/>
  <c r="BT92"/>
  <c r="BS92"/>
  <c r="BR92"/>
  <c r="BQ92"/>
  <c r="BP92"/>
  <c r="BO92"/>
  <c r="BN92"/>
  <c r="BM92"/>
  <c r="BL92" s="1"/>
  <c r="BK92"/>
  <c r="BJ92"/>
  <c r="BI92"/>
  <c r="BH92"/>
  <c r="BG92"/>
  <c r="BF92"/>
  <c r="BE92"/>
  <c r="BD92"/>
  <c r="BC92"/>
  <c r="BB92"/>
  <c r="AX92"/>
  <c r="AW92"/>
  <c r="AV92"/>
  <c r="AC92"/>
  <c r="H92"/>
  <c r="G92" s="1"/>
  <c r="BT91"/>
  <c r="BS91"/>
  <c r="BR91"/>
  <c r="BQ91"/>
  <c r="BP91"/>
  <c r="BO91"/>
  <c r="BN91"/>
  <c r="BM91"/>
  <c r="BK91"/>
  <c r="BJ91"/>
  <c r="BI91"/>
  <c r="BH91"/>
  <c r="BG91"/>
  <c r="BF91"/>
  <c r="BE91"/>
  <c r="BD91"/>
  <c r="BC91"/>
  <c r="BB91"/>
  <c r="BA91"/>
  <c r="AX91"/>
  <c r="AW91"/>
  <c r="AV91"/>
  <c r="AC91"/>
  <c r="H91"/>
  <c r="BT90"/>
  <c r="BS90"/>
  <c r="BR90"/>
  <c r="BQ90"/>
  <c r="BP90"/>
  <c r="BO90"/>
  <c r="BN90"/>
  <c r="BM90"/>
  <c r="BL90"/>
  <c r="BK90"/>
  <c r="BJ90"/>
  <c r="BI90"/>
  <c r="BH90"/>
  <c r="BG90"/>
  <c r="BF90"/>
  <c r="BE90"/>
  <c r="BD90"/>
  <c r="BC90"/>
  <c r="BB90"/>
  <c r="BA90" s="1"/>
  <c r="AZ90" s="1"/>
  <c r="AX90"/>
  <c r="AW90"/>
  <c r="AV90"/>
  <c r="AC90"/>
  <c r="H90"/>
  <c r="G90"/>
  <c r="BT89"/>
  <c r="BS89"/>
  <c r="BR89"/>
  <c r="BQ89"/>
  <c r="BP89"/>
  <c r="BO89"/>
  <c r="BN89"/>
  <c r="BM89"/>
  <c r="BL89" s="1"/>
  <c r="BK89"/>
  <c r="BJ89"/>
  <c r="BI89"/>
  <c r="BH89"/>
  <c r="BG89"/>
  <c r="BF89"/>
  <c r="BE89"/>
  <c r="BD89"/>
  <c r="BC89"/>
  <c r="BB89"/>
  <c r="BA89" s="1"/>
  <c r="AX89"/>
  <c r="AW89"/>
  <c r="AV89"/>
  <c r="AC89"/>
  <c r="H89"/>
  <c r="G89" s="1"/>
  <c r="BT88"/>
  <c r="BS88"/>
  <c r="BR88"/>
  <c r="BQ88"/>
  <c r="BP88"/>
  <c r="BO88"/>
  <c r="BN88"/>
  <c r="BM88"/>
  <c r="BK88"/>
  <c r="BJ88"/>
  <c r="BI88"/>
  <c r="BH88"/>
  <c r="BG88"/>
  <c r="BF88"/>
  <c r="BE88"/>
  <c r="BD88"/>
  <c r="BC88"/>
  <c r="BB88"/>
  <c r="BA88"/>
  <c r="AX88"/>
  <c r="AW88"/>
  <c r="AV88"/>
  <c r="AC88"/>
  <c r="H88"/>
  <c r="BT87"/>
  <c r="BS87"/>
  <c r="BR87"/>
  <c r="BQ87"/>
  <c r="BP87"/>
  <c r="BO87"/>
  <c r="BN87"/>
  <c r="BM87"/>
  <c r="BL87"/>
  <c r="BK87"/>
  <c r="BJ87"/>
  <c r="BI87"/>
  <c r="BH87"/>
  <c r="BG87"/>
  <c r="BF87"/>
  <c r="BE87"/>
  <c r="BD87"/>
  <c r="BC87"/>
  <c r="BB87"/>
  <c r="BA87" s="1"/>
  <c r="AZ87" s="1"/>
  <c r="AX87"/>
  <c r="AW87"/>
  <c r="AV87"/>
  <c r="AC87"/>
  <c r="H87"/>
  <c r="G87" s="1"/>
  <c r="BT86"/>
  <c r="BS86"/>
  <c r="BR86"/>
  <c r="BQ86"/>
  <c r="BP86"/>
  <c r="BO86"/>
  <c r="BN86"/>
  <c r="BM86"/>
  <c r="BK86"/>
  <c r="BJ86"/>
  <c r="BI86"/>
  <c r="BH86"/>
  <c r="BG86"/>
  <c r="BF86"/>
  <c r="BE86"/>
  <c r="BD86"/>
  <c r="BC86"/>
  <c r="BB86"/>
  <c r="BA86"/>
  <c r="AX86"/>
  <c r="AW86"/>
  <c r="AV86"/>
  <c r="AC86"/>
  <c r="H86"/>
  <c r="G86"/>
  <c r="BT85"/>
  <c r="BS85"/>
  <c r="BR85"/>
  <c r="BQ85"/>
  <c r="BP85"/>
  <c r="BO85"/>
  <c r="BN85"/>
  <c r="BM85"/>
  <c r="BL85" s="1"/>
  <c r="BK85"/>
  <c r="BJ85"/>
  <c r="BI85"/>
  <c r="BH85"/>
  <c r="BG85"/>
  <c r="BF85"/>
  <c r="BE85"/>
  <c r="BD85"/>
  <c r="BC85"/>
  <c r="BB85"/>
  <c r="BA85" s="1"/>
  <c r="AX85"/>
  <c r="AW85"/>
  <c r="AV85"/>
  <c r="AC85"/>
  <c r="H85"/>
  <c r="G85" s="1"/>
  <c r="BT84"/>
  <c r="BS84"/>
  <c r="BR84"/>
  <c r="BQ84"/>
  <c r="BP84"/>
  <c r="BO84"/>
  <c r="BN84"/>
  <c r="BM84"/>
  <c r="BK84"/>
  <c r="BJ84"/>
  <c r="BI84"/>
  <c r="BH84"/>
  <c r="BG84"/>
  <c r="BF84"/>
  <c r="BE84"/>
  <c r="BD84"/>
  <c r="BC84"/>
  <c r="BB84"/>
  <c r="BA84"/>
  <c r="AX84"/>
  <c r="AW84"/>
  <c r="AV84"/>
  <c r="AC84"/>
  <c r="H84"/>
  <c r="BT83"/>
  <c r="BS83"/>
  <c r="BR83"/>
  <c r="BQ83"/>
  <c r="BP83"/>
  <c r="BO83"/>
  <c r="BN83"/>
  <c r="BM83"/>
  <c r="BL83"/>
  <c r="BK83"/>
  <c r="BJ83"/>
  <c r="BI83"/>
  <c r="BH83"/>
  <c r="BG83"/>
  <c r="BF83"/>
  <c r="BE83"/>
  <c r="BD83"/>
  <c r="BC83"/>
  <c r="BB83"/>
  <c r="BA83" s="1"/>
  <c r="AX83"/>
  <c r="AW83"/>
  <c r="AV83"/>
  <c r="AC83"/>
  <c r="H83"/>
  <c r="BT82"/>
  <c r="BS82"/>
  <c r="BR82"/>
  <c r="BQ82"/>
  <c r="BP82"/>
  <c r="BO82"/>
  <c r="BN82"/>
  <c r="BM82"/>
  <c r="BL82"/>
  <c r="BK82"/>
  <c r="BJ82"/>
  <c r="BI82"/>
  <c r="BH82"/>
  <c r="BG82"/>
  <c r="BF82"/>
  <c r="BE82"/>
  <c r="BD82"/>
  <c r="BC82"/>
  <c r="BB82"/>
  <c r="BA82" s="1"/>
  <c r="AX82"/>
  <c r="AW82"/>
  <c r="AV82"/>
  <c r="AC82"/>
  <c r="H82"/>
  <c r="BT81"/>
  <c r="BS81"/>
  <c r="BR81"/>
  <c r="BQ81"/>
  <c r="BP81"/>
  <c r="BO81"/>
  <c r="BN81"/>
  <c r="BM81"/>
  <c r="BL81"/>
  <c r="BK81"/>
  <c r="BJ81"/>
  <c r="BI81"/>
  <c r="BH81"/>
  <c r="BG81"/>
  <c r="BF81"/>
  <c r="BE81"/>
  <c r="BD81"/>
  <c r="BC81"/>
  <c r="BB81"/>
  <c r="BA81" s="1"/>
  <c r="AZ81" s="1"/>
  <c r="AX81"/>
  <c r="AW81"/>
  <c r="AV81"/>
  <c r="AC81"/>
  <c r="H81"/>
  <c r="G81" s="1"/>
  <c r="BT80"/>
  <c r="BS80"/>
  <c r="BR80"/>
  <c r="BQ80"/>
  <c r="BP80"/>
  <c r="BO80"/>
  <c r="BN80"/>
  <c r="BM80"/>
  <c r="BK80"/>
  <c r="BJ80"/>
  <c r="BI80"/>
  <c r="BH80"/>
  <c r="BG80"/>
  <c r="BF80"/>
  <c r="BE80"/>
  <c r="BD80"/>
  <c r="BC80"/>
  <c r="BB80"/>
  <c r="BA80"/>
  <c r="AX80"/>
  <c r="AW80"/>
  <c r="AV80"/>
  <c r="AC80"/>
  <c r="H80"/>
  <c r="BT79"/>
  <c r="BS79"/>
  <c r="BR79"/>
  <c r="BQ79"/>
  <c r="BP79"/>
  <c r="BO79"/>
  <c r="BN79"/>
  <c r="BM79"/>
  <c r="BL79"/>
  <c r="BK79"/>
  <c r="BJ79"/>
  <c r="BI79"/>
  <c r="BH79"/>
  <c r="BG79"/>
  <c r="BF79"/>
  <c r="BE79"/>
  <c r="BD79"/>
  <c r="BC79"/>
  <c r="BB79"/>
  <c r="BA79" s="1"/>
  <c r="AX79"/>
  <c r="AW79"/>
  <c r="AV79"/>
  <c r="AC79"/>
  <c r="H79"/>
  <c r="BT78"/>
  <c r="BS78"/>
  <c r="BR78"/>
  <c r="BQ78"/>
  <c r="BP78"/>
  <c r="BO78"/>
  <c r="BN78"/>
  <c r="BM78"/>
  <c r="BL78"/>
  <c r="BK78"/>
  <c r="BJ78"/>
  <c r="BI78"/>
  <c r="BH78"/>
  <c r="BG78"/>
  <c r="BF78"/>
  <c r="BE78"/>
  <c r="BD78"/>
  <c r="BC78"/>
  <c r="BB78"/>
  <c r="BA78" s="1"/>
  <c r="AZ78" s="1"/>
  <c r="AX78"/>
  <c r="AW78"/>
  <c r="AV78"/>
  <c r="AC78"/>
  <c r="H78"/>
  <c r="G78" s="1"/>
  <c r="BT77"/>
  <c r="BS77"/>
  <c r="BR77"/>
  <c r="BQ77"/>
  <c r="BP77"/>
  <c r="BO77"/>
  <c r="BN77"/>
  <c r="BM77"/>
  <c r="BK77"/>
  <c r="BJ77"/>
  <c r="BI77"/>
  <c r="BH77"/>
  <c r="BG77"/>
  <c r="BF77"/>
  <c r="BE77"/>
  <c r="BD77"/>
  <c r="BC77"/>
  <c r="BB77"/>
  <c r="BA77"/>
  <c r="AX77"/>
  <c r="AW77"/>
  <c r="AV77"/>
  <c r="AC77"/>
  <c r="H77"/>
  <c r="G77"/>
  <c r="BT76"/>
  <c r="BS76"/>
  <c r="BR76"/>
  <c r="BQ76"/>
  <c r="BP76"/>
  <c r="BO76"/>
  <c r="BN76"/>
  <c r="BM76"/>
  <c r="BL76" s="1"/>
  <c r="BK76"/>
  <c r="BJ76"/>
  <c r="BI76"/>
  <c r="BH76"/>
  <c r="BG76"/>
  <c r="BF76"/>
  <c r="BE76"/>
  <c r="BD76"/>
  <c r="BC76"/>
  <c r="BB76"/>
  <c r="BA76" s="1"/>
  <c r="AZ76" s="1"/>
  <c r="AX76"/>
  <c r="AW76"/>
  <c r="AV76"/>
  <c r="AC76"/>
  <c r="H76"/>
  <c r="G76" s="1"/>
  <c r="BT75"/>
  <c r="BS75"/>
  <c r="BR75"/>
  <c r="BQ75"/>
  <c r="BP75"/>
  <c r="BO75"/>
  <c r="BN75"/>
  <c r="BM75"/>
  <c r="BL75" s="1"/>
  <c r="BK75"/>
  <c r="BJ75"/>
  <c r="BI75"/>
  <c r="BH75"/>
  <c r="BG75"/>
  <c r="BF75"/>
  <c r="BE75"/>
  <c r="BD75"/>
  <c r="BC75"/>
  <c r="BB75"/>
  <c r="AX75"/>
  <c r="AW75"/>
  <c r="AV75"/>
  <c r="AC75"/>
  <c r="H75"/>
  <c r="G75" s="1"/>
  <c r="BT74"/>
  <c r="BS74"/>
  <c r="BR74"/>
  <c r="BQ74"/>
  <c r="BP74"/>
  <c r="BO74"/>
  <c r="BN74"/>
  <c r="BM74"/>
  <c r="BL74" s="1"/>
  <c r="BK74"/>
  <c r="BJ74"/>
  <c r="BI74"/>
  <c r="BH74"/>
  <c r="BG74"/>
  <c r="BF74"/>
  <c r="BE74"/>
  <c r="BD74"/>
  <c r="BC74"/>
  <c r="BB74"/>
  <c r="AX74"/>
  <c r="AW74"/>
  <c r="AV74"/>
  <c r="AC74"/>
  <c r="H74"/>
  <c r="G74" s="1"/>
  <c r="BT73"/>
  <c r="BS73"/>
  <c r="BR73"/>
  <c r="BQ73"/>
  <c r="BP73"/>
  <c r="BO73"/>
  <c r="BN73"/>
  <c r="BM73"/>
  <c r="BL73" s="1"/>
  <c r="BK73"/>
  <c r="BJ73"/>
  <c r="BI73"/>
  <c r="BH73"/>
  <c r="BG73"/>
  <c r="BF73"/>
  <c r="BE73"/>
  <c r="BD73"/>
  <c r="BC73"/>
  <c r="BB73"/>
  <c r="AX73"/>
  <c r="AW73"/>
  <c r="AV73"/>
  <c r="AC73"/>
  <c r="H73"/>
  <c r="G73" s="1"/>
  <c r="BT72"/>
  <c r="BS72"/>
  <c r="BR72"/>
  <c r="BQ72"/>
  <c r="BP72"/>
  <c r="BO72"/>
  <c r="BN72"/>
  <c r="BM72"/>
  <c r="BK72"/>
  <c r="BJ72"/>
  <c r="BI72"/>
  <c r="BH72"/>
  <c r="BG72"/>
  <c r="BF72"/>
  <c r="BE72"/>
  <c r="BD72"/>
  <c r="BC72"/>
  <c r="BB72"/>
  <c r="BA72"/>
  <c r="AX72"/>
  <c r="AW72"/>
  <c r="AV72"/>
  <c r="AC72"/>
  <c r="H72"/>
  <c r="G72"/>
  <c r="BT71"/>
  <c r="BS71"/>
  <c r="BR71"/>
  <c r="BQ71"/>
  <c r="BP71"/>
  <c r="BO71"/>
  <c r="BN71"/>
  <c r="BM71"/>
  <c r="BL71" s="1"/>
  <c r="BK71"/>
  <c r="BJ71"/>
  <c r="BI71"/>
  <c r="BH71"/>
  <c r="BG71"/>
  <c r="BF71"/>
  <c r="BE71"/>
  <c r="BD71"/>
  <c r="BC71"/>
  <c r="BB71"/>
  <c r="BA71" s="1"/>
  <c r="AX71"/>
  <c r="AW71"/>
  <c r="AV71"/>
  <c r="AC71"/>
  <c r="H71"/>
  <c r="G71" s="1"/>
  <c r="BT70"/>
  <c r="BS70"/>
  <c r="BR70"/>
  <c r="BQ70"/>
  <c r="BP70"/>
  <c r="BO70"/>
  <c r="BN70"/>
  <c r="BM70"/>
  <c r="BK70"/>
  <c r="BJ70"/>
  <c r="BI70"/>
  <c r="BH70"/>
  <c r="BG70"/>
  <c r="BF70"/>
  <c r="BE70"/>
  <c r="BD70"/>
  <c r="BC70"/>
  <c r="BB70"/>
  <c r="BA70"/>
  <c r="AX70"/>
  <c r="AW70"/>
  <c r="AV70"/>
  <c r="AC70"/>
  <c r="H70"/>
  <c r="BT69"/>
  <c r="BS69"/>
  <c r="BR69"/>
  <c r="BQ69"/>
  <c r="BP69"/>
  <c r="BO69"/>
  <c r="BN69"/>
  <c r="BM69"/>
  <c r="BL69"/>
  <c r="BK69"/>
  <c r="BJ69"/>
  <c r="BI69"/>
  <c r="BH69"/>
  <c r="BG69"/>
  <c r="BF69"/>
  <c r="BE69"/>
  <c r="BD69"/>
  <c r="BC69"/>
  <c r="BB69"/>
  <c r="BA69" s="1"/>
  <c r="AX69"/>
  <c r="AW69"/>
  <c r="AV69"/>
  <c r="AC69"/>
  <c r="H69"/>
  <c r="BT68"/>
  <c r="BS68"/>
  <c r="BR68"/>
  <c r="BQ68"/>
  <c r="BP68"/>
  <c r="BO68"/>
  <c r="BN68"/>
  <c r="BM68"/>
  <c r="BL68"/>
  <c r="BK68"/>
  <c r="BJ68"/>
  <c r="BI68"/>
  <c r="BH68"/>
  <c r="BG68"/>
  <c r="BF68"/>
  <c r="BE68"/>
  <c r="BD68"/>
  <c r="BC68"/>
  <c r="BB68"/>
  <c r="BA68" s="1"/>
  <c r="AZ68" s="1"/>
  <c r="AX68"/>
  <c r="AW68"/>
  <c r="AV68"/>
  <c r="AC68"/>
  <c r="H68"/>
  <c r="G68"/>
  <c r="BT67"/>
  <c r="BS67"/>
  <c r="BR67"/>
  <c r="BQ67"/>
  <c r="BP67"/>
  <c r="BO67"/>
  <c r="BN67"/>
  <c r="BM67"/>
  <c r="BL67" s="1"/>
  <c r="BK67"/>
  <c r="BJ67"/>
  <c r="BI67"/>
  <c r="BH67"/>
  <c r="BG67"/>
  <c r="BF67"/>
  <c r="BE67"/>
  <c r="BD67"/>
  <c r="BC67"/>
  <c r="BB67"/>
  <c r="BA67" s="1"/>
  <c r="AX67"/>
  <c r="AW67"/>
  <c r="AV67"/>
  <c r="AC67"/>
  <c r="H67"/>
  <c r="G67" s="1"/>
  <c r="BT66"/>
  <c r="BS66"/>
  <c r="BR66"/>
  <c r="BQ66"/>
  <c r="BP66"/>
  <c r="BO66"/>
  <c r="BN66"/>
  <c r="BM66"/>
  <c r="BK66"/>
  <c r="BJ66"/>
  <c r="BI66"/>
  <c r="BH66"/>
  <c r="BG66"/>
  <c r="BF66"/>
  <c r="BE66"/>
  <c r="BD66"/>
  <c r="BC66"/>
  <c r="BB66"/>
  <c r="BA66"/>
  <c r="AX66"/>
  <c r="AW66"/>
  <c r="AV66"/>
  <c r="AC66"/>
  <c r="H66"/>
  <c r="G66"/>
  <c r="BT65"/>
  <c r="BS65"/>
  <c r="BR65"/>
  <c r="BQ65"/>
  <c r="BP65"/>
  <c r="BO65"/>
  <c r="BN65"/>
  <c r="BM65"/>
  <c r="BL65" s="1"/>
  <c r="BK65"/>
  <c r="BJ65"/>
  <c r="BI65"/>
  <c r="BH65"/>
  <c r="BG65"/>
  <c r="BF65"/>
  <c r="BE65"/>
  <c r="BD65"/>
  <c r="BC65"/>
  <c r="BB65"/>
  <c r="BA65" s="1"/>
  <c r="AZ65" s="1"/>
  <c r="AX65"/>
  <c r="AW65"/>
  <c r="AV65"/>
  <c r="AC65"/>
  <c r="H65"/>
  <c r="G65" s="1"/>
  <c r="BT64"/>
  <c r="BS64"/>
  <c r="BR64"/>
  <c r="BQ64"/>
  <c r="BP64"/>
  <c r="BO64"/>
  <c r="BN64"/>
  <c r="BM64"/>
  <c r="BL64" s="1"/>
  <c r="BK64"/>
  <c r="BJ64"/>
  <c r="BI64"/>
  <c r="BH64"/>
  <c r="BG64"/>
  <c r="BF64"/>
  <c r="BE64"/>
  <c r="BD64"/>
  <c r="BC64"/>
  <c r="BB64"/>
  <c r="AX64"/>
  <c r="AW64"/>
  <c r="AV64"/>
  <c r="AC64"/>
  <c r="H64"/>
  <c r="G64" s="1"/>
  <c r="BT63"/>
  <c r="BS63"/>
  <c r="BR63"/>
  <c r="BQ63"/>
  <c r="BP63"/>
  <c r="BO63"/>
  <c r="BN63"/>
  <c r="BM63"/>
  <c r="BK63"/>
  <c r="BJ63"/>
  <c r="BI63"/>
  <c r="BH63"/>
  <c r="BG63"/>
  <c r="BF63"/>
  <c r="BE63"/>
  <c r="BD63"/>
  <c r="BC63"/>
  <c r="BB63"/>
  <c r="BA63"/>
  <c r="AX63"/>
  <c r="AW63"/>
  <c r="AV63"/>
  <c r="AC63"/>
  <c r="H63"/>
  <c r="G63"/>
  <c r="BT62"/>
  <c r="BS62"/>
  <c r="BR62"/>
  <c r="BQ62"/>
  <c r="BP62"/>
  <c r="BO62"/>
  <c r="BN62"/>
  <c r="BM62"/>
  <c r="BL62" s="1"/>
  <c r="BK62"/>
  <c r="BJ62"/>
  <c r="BI62"/>
  <c r="BH62"/>
  <c r="BG62"/>
  <c r="BF62"/>
  <c r="BE62"/>
  <c r="BD62"/>
  <c r="BC62"/>
  <c r="BB62"/>
  <c r="BA62" s="1"/>
  <c r="AZ62" s="1"/>
  <c r="AX62"/>
  <c r="AW62"/>
  <c r="AV62"/>
  <c r="AC62"/>
  <c r="H62"/>
  <c r="G62" s="1"/>
  <c r="BT61"/>
  <c r="BS61"/>
  <c r="BR61"/>
  <c r="BQ61"/>
  <c r="BP61"/>
  <c r="BO61"/>
  <c r="BN61"/>
  <c r="BM61"/>
  <c r="BL61" s="1"/>
  <c r="BK61"/>
  <c r="BJ61"/>
  <c r="BI61"/>
  <c r="BH61"/>
  <c r="BG61"/>
  <c r="BF61"/>
  <c r="BE61"/>
  <c r="BD61"/>
  <c r="BC61"/>
  <c r="BB61"/>
  <c r="AX61"/>
  <c r="AW61"/>
  <c r="AV61"/>
  <c r="AC61"/>
  <c r="H61"/>
  <c r="G61" s="1"/>
  <c r="BT60"/>
  <c r="BS60"/>
  <c r="BR60"/>
  <c r="BQ60"/>
  <c r="BP60"/>
  <c r="BO60"/>
  <c r="BN60"/>
  <c r="BM60"/>
  <c r="BL60" s="1"/>
  <c r="BK60"/>
  <c r="BJ60"/>
  <c r="BI60"/>
  <c r="BH60"/>
  <c r="BG60"/>
  <c r="BF60"/>
  <c r="BE60"/>
  <c r="BD60"/>
  <c r="BC60"/>
  <c r="BB60"/>
  <c r="AX60"/>
  <c r="AW60"/>
  <c r="AV60"/>
  <c r="AC60"/>
  <c r="H60"/>
  <c r="G60" s="1"/>
  <c r="BT59"/>
  <c r="BS59"/>
  <c r="BR59"/>
  <c r="BQ59"/>
  <c r="BP59"/>
  <c r="BO59"/>
  <c r="BN59"/>
  <c r="BM59"/>
  <c r="BK59"/>
  <c r="BJ59"/>
  <c r="BI59"/>
  <c r="BH59"/>
  <c r="BG59"/>
  <c r="BF59"/>
  <c r="BE59"/>
  <c r="BD59"/>
  <c r="BC59"/>
  <c r="BB59"/>
  <c r="BA59"/>
  <c r="AX59"/>
  <c r="AW59"/>
  <c r="AV59"/>
  <c r="AC59"/>
  <c r="H59"/>
  <c r="G59"/>
  <c r="BT58"/>
  <c r="BS58"/>
  <c r="BR58"/>
  <c r="BQ58"/>
  <c r="BP58"/>
  <c r="BO58"/>
  <c r="BN58"/>
  <c r="BM58"/>
  <c r="BL58" s="1"/>
  <c r="BK58"/>
  <c r="BJ58"/>
  <c r="BI58"/>
  <c r="BH58"/>
  <c r="BG58"/>
  <c r="BF58"/>
  <c r="BE58"/>
  <c r="BD58"/>
  <c r="BC58"/>
  <c r="BB58"/>
  <c r="BA58" s="1"/>
  <c r="AX58"/>
  <c r="AW58"/>
  <c r="AV58"/>
  <c r="AC58"/>
  <c r="H58"/>
  <c r="G58" s="1"/>
  <c r="BT57"/>
  <c r="BS57"/>
  <c r="BR57"/>
  <c r="BQ57"/>
  <c r="BP57"/>
  <c r="BO57"/>
  <c r="BN57"/>
  <c r="BM57"/>
  <c r="BK57"/>
  <c r="BJ57"/>
  <c r="BI57"/>
  <c r="BH57"/>
  <c r="BG57"/>
  <c r="BF57"/>
  <c r="BE57"/>
  <c r="BD57"/>
  <c r="BC57"/>
  <c r="BB57"/>
  <c r="BA57"/>
  <c r="AX57"/>
  <c r="AW57"/>
  <c r="AV57"/>
  <c r="AC57"/>
  <c r="H57"/>
  <c r="BT56"/>
  <c r="BS56"/>
  <c r="BR56"/>
  <c r="BQ56"/>
  <c r="BP56"/>
  <c r="BO56"/>
  <c r="BN56"/>
  <c r="BM56"/>
  <c r="BL56"/>
  <c r="BK56"/>
  <c r="BJ56"/>
  <c r="BI56"/>
  <c r="BH56"/>
  <c r="BG56"/>
  <c r="BF56"/>
  <c r="BE56"/>
  <c r="BD56"/>
  <c r="BC56"/>
  <c r="BB56"/>
  <c r="BA56" s="1"/>
  <c r="AZ56" s="1"/>
  <c r="AX56"/>
  <c r="AW56"/>
  <c r="AV56"/>
  <c r="AC56"/>
  <c r="H56"/>
  <c r="G56"/>
  <c r="BT55"/>
  <c r="BS55"/>
  <c r="BR55"/>
  <c r="BQ55"/>
  <c r="BP55"/>
  <c r="BO55"/>
  <c r="BN55"/>
  <c r="BM55"/>
  <c r="BL55" s="1"/>
  <c r="BK55"/>
  <c r="BJ55"/>
  <c r="BI55"/>
  <c r="BH55"/>
  <c r="BG55"/>
  <c r="BF55"/>
  <c r="BE55"/>
  <c r="BD55"/>
  <c r="BC55"/>
  <c r="BB55"/>
  <c r="BA55" s="1"/>
  <c r="AX55"/>
  <c r="AW55"/>
  <c r="AV55"/>
  <c r="AC55"/>
  <c r="H55"/>
  <c r="G55" s="1"/>
  <c r="BT54"/>
  <c r="BS54"/>
  <c r="BR54"/>
  <c r="BQ54"/>
  <c r="BP54"/>
  <c r="BO54"/>
  <c r="BN54"/>
  <c r="BM54"/>
  <c r="BK54"/>
  <c r="BJ54"/>
  <c r="BI54"/>
  <c r="BH54"/>
  <c r="BG54"/>
  <c r="BF54"/>
  <c r="BE54"/>
  <c r="BD54"/>
  <c r="BC54"/>
  <c r="BB54"/>
  <c r="BA54"/>
  <c r="AX54"/>
  <c r="AW54"/>
  <c r="AV54"/>
  <c r="AC54"/>
  <c r="H54"/>
  <c r="BT53"/>
  <c r="BS53"/>
  <c r="BR53"/>
  <c r="BQ53"/>
  <c r="BP53"/>
  <c r="BO53"/>
  <c r="BN53"/>
  <c r="BM53"/>
  <c r="BL53"/>
  <c r="BK53"/>
  <c r="BJ53"/>
  <c r="BI53"/>
  <c r="BH53"/>
  <c r="BG53"/>
  <c r="BF53"/>
  <c r="BE53"/>
  <c r="BD53"/>
  <c r="BC53"/>
  <c r="BB53"/>
  <c r="BA53" s="1"/>
  <c r="AX53"/>
  <c r="AW53"/>
  <c r="AV53"/>
  <c r="AC53"/>
  <c r="H53"/>
  <c r="BT52"/>
  <c r="BS52"/>
  <c r="BR52"/>
  <c r="BQ52"/>
  <c r="BP52"/>
  <c r="BO52"/>
  <c r="BN52"/>
  <c r="BM52"/>
  <c r="BL52"/>
  <c r="BK52"/>
  <c r="BJ52"/>
  <c r="BI52"/>
  <c r="BH52"/>
  <c r="BG52"/>
  <c r="BF52"/>
  <c r="BE52"/>
  <c r="BD52"/>
  <c r="BC52"/>
  <c r="BB52"/>
  <c r="BA52" s="1"/>
  <c r="AZ52" s="1"/>
  <c r="AX52"/>
  <c r="AW52"/>
  <c r="AV52"/>
  <c r="AC52"/>
  <c r="H52"/>
  <c r="G52"/>
  <c r="BT51"/>
  <c r="BS51"/>
  <c r="BR51"/>
  <c r="BQ51"/>
  <c r="BP51"/>
  <c r="BO51"/>
  <c r="BN51"/>
  <c r="BM51"/>
  <c r="BL51" s="1"/>
  <c r="BK51"/>
  <c r="BJ51"/>
  <c r="BI51"/>
  <c r="BH51"/>
  <c r="BG51"/>
  <c r="BF51"/>
  <c r="BE51"/>
  <c r="BD51"/>
  <c r="BC51"/>
  <c r="BB51"/>
  <c r="BA51" s="1"/>
  <c r="AX51"/>
  <c r="AW51"/>
  <c r="AV51"/>
  <c r="AC51"/>
  <c r="H51"/>
  <c r="G51" s="1"/>
  <c r="BT50"/>
  <c r="BS50"/>
  <c r="BR50"/>
  <c r="BQ50"/>
  <c r="BP50"/>
  <c r="BO50"/>
  <c r="BN50"/>
  <c r="BM50"/>
  <c r="BK50"/>
  <c r="BJ50"/>
  <c r="BI50"/>
  <c r="BH50"/>
  <c r="BG50"/>
  <c r="BF50"/>
  <c r="BE50"/>
  <c r="BD50"/>
  <c r="BC50"/>
  <c r="BB50"/>
  <c r="BA50"/>
  <c r="AX50"/>
  <c r="AW50"/>
  <c r="AV50"/>
  <c r="AC50"/>
  <c r="H50"/>
  <c r="G50"/>
  <c r="BT49"/>
  <c r="BS49"/>
  <c r="BR49"/>
  <c r="BQ49"/>
  <c r="BP49"/>
  <c r="BO49"/>
  <c r="BN49"/>
  <c r="BM49"/>
  <c r="BL49" s="1"/>
  <c r="BK49"/>
  <c r="BJ49"/>
  <c r="BI49"/>
  <c r="BH49"/>
  <c r="BG49"/>
  <c r="BF49"/>
  <c r="BE49"/>
  <c r="BD49"/>
  <c r="BC49"/>
  <c r="BB49"/>
  <c r="BA49" s="1"/>
  <c r="AZ49" s="1"/>
  <c r="AX49"/>
  <c r="AW49"/>
  <c r="AV49"/>
  <c r="AC49"/>
  <c r="H49"/>
  <c r="G49" s="1"/>
  <c r="BT48"/>
  <c r="BS48"/>
  <c r="BR48"/>
  <c r="BQ48"/>
  <c r="BP48"/>
  <c r="BO48"/>
  <c r="BN48"/>
  <c r="BM48"/>
  <c r="BL48" s="1"/>
  <c r="BK48"/>
  <c r="BJ48"/>
  <c r="BI48"/>
  <c r="BH48"/>
  <c r="BG48"/>
  <c r="BF48"/>
  <c r="BE48"/>
  <c r="BD48"/>
  <c r="BC48"/>
  <c r="BB48"/>
  <c r="AX48"/>
  <c r="AW48"/>
  <c r="AV48"/>
  <c r="AC48"/>
  <c r="H48"/>
  <c r="G48" s="1"/>
  <c r="BT47"/>
  <c r="BS47"/>
  <c r="BR47"/>
  <c r="BQ47"/>
  <c r="BP47"/>
  <c r="BO47"/>
  <c r="BN47"/>
  <c r="BM47"/>
  <c r="BK47"/>
  <c r="BJ47"/>
  <c r="BI47"/>
  <c r="BH47"/>
  <c r="BG47"/>
  <c r="BF47"/>
  <c r="BE47"/>
  <c r="BD47"/>
  <c r="BC47"/>
  <c r="BB47"/>
  <c r="BA47"/>
  <c r="AX47"/>
  <c r="AW47"/>
  <c r="AV47"/>
  <c r="AC47"/>
  <c r="H47"/>
  <c r="G47"/>
  <c r="BT46"/>
  <c r="BS46"/>
  <c r="BR46"/>
  <c r="BQ46"/>
  <c r="BP46"/>
  <c r="BO46"/>
  <c r="BN46"/>
  <c r="BM46"/>
  <c r="BL46" s="1"/>
  <c r="BK46"/>
  <c r="BJ46"/>
  <c r="BI46"/>
  <c r="BH46"/>
  <c r="BG46"/>
  <c r="BF46"/>
  <c r="BE46"/>
  <c r="BD46"/>
  <c r="BC46"/>
  <c r="BB46"/>
  <c r="BA46" s="1"/>
  <c r="AZ46" s="1"/>
  <c r="AX46"/>
  <c r="AW46"/>
  <c r="AV46"/>
  <c r="AC46"/>
  <c r="H46"/>
  <c r="G46" s="1"/>
  <c r="BT45"/>
  <c r="BS45"/>
  <c r="BR45"/>
  <c r="BQ45"/>
  <c r="BP45"/>
  <c r="BO45"/>
  <c r="BN45"/>
  <c r="BM45"/>
  <c r="BL45" s="1"/>
  <c r="BK45"/>
  <c r="BJ45"/>
  <c r="BI45"/>
  <c r="BH45"/>
  <c r="BG45"/>
  <c r="BF45"/>
  <c r="BE45"/>
  <c r="BD45"/>
  <c r="BC45"/>
  <c r="BB45"/>
  <c r="AX45"/>
  <c r="AW45"/>
  <c r="AV45"/>
  <c r="AC45"/>
  <c r="H45"/>
  <c r="G45" s="1"/>
  <c r="BT44"/>
  <c r="BS44"/>
  <c r="BR44"/>
  <c r="BQ44"/>
  <c r="BP44"/>
  <c r="BO44"/>
  <c r="BN44"/>
  <c r="BM44"/>
  <c r="BL44" s="1"/>
  <c r="BK44"/>
  <c r="BJ44"/>
  <c r="BI44"/>
  <c r="BH44"/>
  <c r="BG44"/>
  <c r="BF44"/>
  <c r="BE44"/>
  <c r="BD44"/>
  <c r="BC44"/>
  <c r="BB44"/>
  <c r="AX44"/>
  <c r="AW44"/>
  <c r="AV44"/>
  <c r="AC44"/>
  <c r="H44"/>
  <c r="G44" s="1"/>
  <c r="BT43"/>
  <c r="BS43"/>
  <c r="BR43"/>
  <c r="BQ43"/>
  <c r="BP43"/>
  <c r="BO43"/>
  <c r="BN43"/>
  <c r="BM43"/>
  <c r="BK43"/>
  <c r="BJ43"/>
  <c r="BI43"/>
  <c r="BH43"/>
  <c r="BG43"/>
  <c r="BF43"/>
  <c r="BE43"/>
  <c r="BD43"/>
  <c r="BC43"/>
  <c r="BB43"/>
  <c r="BA43"/>
  <c r="AX43"/>
  <c r="AW43"/>
  <c r="AV43"/>
  <c r="AC43"/>
  <c r="H43"/>
  <c r="G43"/>
  <c r="BT42"/>
  <c r="BS42"/>
  <c r="BR42"/>
  <c r="BQ42"/>
  <c r="BP42"/>
  <c r="BO42"/>
  <c r="BN42"/>
  <c r="BM42"/>
  <c r="BL42" s="1"/>
  <c r="BK42"/>
  <c r="BJ42"/>
  <c r="BI42"/>
  <c r="BH42"/>
  <c r="BG42"/>
  <c r="BF42"/>
  <c r="BE42"/>
  <c r="BD42"/>
  <c r="BC42"/>
  <c r="BB42"/>
  <c r="BA42" s="1"/>
  <c r="AX42"/>
  <c r="AW42"/>
  <c r="AV42"/>
  <c r="AC42"/>
  <c r="H42"/>
  <c r="G42" s="1"/>
  <c r="BT41"/>
  <c r="BS41"/>
  <c r="BR41"/>
  <c r="BQ41"/>
  <c r="BP41"/>
  <c r="BO41"/>
  <c r="BN41"/>
  <c r="BM41"/>
  <c r="BK41"/>
  <c r="BJ41"/>
  <c r="BI41"/>
  <c r="BH41"/>
  <c r="BG41"/>
  <c r="BF41"/>
  <c r="BE41"/>
  <c r="BD41"/>
  <c r="BC41"/>
  <c r="BB41"/>
  <c r="BA41"/>
  <c r="AX41"/>
  <c r="AW41"/>
  <c r="AV41"/>
  <c r="AC41"/>
  <c r="H41"/>
  <c r="BT40"/>
  <c r="BS40"/>
  <c r="BR40"/>
  <c r="BQ40"/>
  <c r="BP40"/>
  <c r="BO40"/>
  <c r="BN40"/>
  <c r="BM40"/>
  <c r="BL40"/>
  <c r="BK40"/>
  <c r="BJ40"/>
  <c r="BI40"/>
  <c r="BH40"/>
  <c r="BG40"/>
  <c r="BF40"/>
  <c r="BE40"/>
  <c r="BD40"/>
  <c r="BC40"/>
  <c r="BB40"/>
  <c r="BA40" s="1"/>
  <c r="AZ40" s="1"/>
  <c r="AX40"/>
  <c r="AW40"/>
  <c r="AV40"/>
  <c r="AC40"/>
  <c r="H40"/>
  <c r="G40"/>
  <c r="BT39"/>
  <c r="BS39"/>
  <c r="BR39"/>
  <c r="BQ39"/>
  <c r="BP39"/>
  <c r="BO39"/>
  <c r="BN39"/>
  <c r="BM39"/>
  <c r="BL39" s="1"/>
  <c r="BK39"/>
  <c r="BJ39"/>
  <c r="BI39"/>
  <c r="BH39"/>
  <c r="BG39"/>
  <c r="BF39"/>
  <c r="BE39"/>
  <c r="BD39"/>
  <c r="BC39"/>
  <c r="BB39"/>
  <c r="BA39" s="1"/>
  <c r="AX39"/>
  <c r="AW39"/>
  <c r="AV39"/>
  <c r="AC39"/>
  <c r="H39"/>
  <c r="G39" s="1"/>
  <c r="BT38"/>
  <c r="BS38"/>
  <c r="BR38"/>
  <c r="BQ38"/>
  <c r="BP38"/>
  <c r="BO38"/>
  <c r="BN38"/>
  <c r="BM38"/>
  <c r="BK38"/>
  <c r="BJ38"/>
  <c r="BI38"/>
  <c r="BH38"/>
  <c r="BG38"/>
  <c r="BF38"/>
  <c r="BE38"/>
  <c r="BD38"/>
  <c r="BC38"/>
  <c r="BB38"/>
  <c r="BA38"/>
  <c r="AX38"/>
  <c r="AW38"/>
  <c r="AV38"/>
  <c r="AC38"/>
  <c r="H38"/>
  <c r="BT37"/>
  <c r="BS37"/>
  <c r="BR37"/>
  <c r="BQ37"/>
  <c r="BP37"/>
  <c r="BO37"/>
  <c r="BN37"/>
  <c r="BM37"/>
  <c r="BL37"/>
  <c r="BK37"/>
  <c r="BJ37"/>
  <c r="BI37"/>
  <c r="BH37"/>
  <c r="BG37"/>
  <c r="BF37"/>
  <c r="BE37"/>
  <c r="BD37"/>
  <c r="BC37"/>
  <c r="BB37"/>
  <c r="BA37" s="1"/>
  <c r="AX37"/>
  <c r="AW37"/>
  <c r="AV37"/>
  <c r="AC37"/>
  <c r="H37"/>
  <c r="BT36"/>
  <c r="BS36"/>
  <c r="BR36"/>
  <c r="BQ36"/>
  <c r="BP36"/>
  <c r="BO36"/>
  <c r="BN36"/>
  <c r="BM36"/>
  <c r="BL36"/>
  <c r="BK36"/>
  <c r="BJ36"/>
  <c r="BI36"/>
  <c r="BH36"/>
  <c r="BG36"/>
  <c r="BF36"/>
  <c r="BE36"/>
  <c r="BD36"/>
  <c r="BC36"/>
  <c r="BB36"/>
  <c r="BA36" s="1"/>
  <c r="AZ36" s="1"/>
  <c r="AX36"/>
  <c r="AW36"/>
  <c r="AV36"/>
  <c r="AC36"/>
  <c r="H36"/>
  <c r="G36" s="1"/>
  <c r="BT35"/>
  <c r="BS35"/>
  <c r="BR35"/>
  <c r="BQ35"/>
  <c r="BP35"/>
  <c r="BO35"/>
  <c r="BN35"/>
  <c r="BM35"/>
  <c r="BK35"/>
  <c r="BJ35"/>
  <c r="BI35"/>
  <c r="BH35"/>
  <c r="BG35"/>
  <c r="BF35"/>
  <c r="BE35"/>
  <c r="BD35"/>
  <c r="BC35"/>
  <c r="BB35"/>
  <c r="BA35"/>
  <c r="AX35"/>
  <c r="AW35"/>
  <c r="AV35"/>
  <c r="AC35"/>
  <c r="H35"/>
  <c r="BT34"/>
  <c r="BS34"/>
  <c r="BR34"/>
  <c r="BQ34"/>
  <c r="BP34"/>
  <c r="BO34"/>
  <c r="BN34"/>
  <c r="BM34"/>
  <c r="BL34"/>
  <c r="BK34"/>
  <c r="BJ34"/>
  <c r="BI34"/>
  <c r="BH34"/>
  <c r="BG34"/>
  <c r="BF34"/>
  <c r="BE34"/>
  <c r="BD34"/>
  <c r="BC34"/>
  <c r="BB34"/>
  <c r="BA34" s="1"/>
  <c r="AZ34" s="1"/>
  <c r="AX34"/>
  <c r="AW34"/>
  <c r="AV34"/>
  <c r="AC34"/>
  <c r="H34"/>
  <c r="G34" s="1"/>
  <c r="BT33"/>
  <c r="BS33"/>
  <c r="BR33"/>
  <c r="BQ33"/>
  <c r="BP33"/>
  <c r="BO33"/>
  <c r="BN33"/>
  <c r="BM33"/>
  <c r="BK33"/>
  <c r="BJ33"/>
  <c r="BI33"/>
  <c r="BH33"/>
  <c r="BG33"/>
  <c r="BF33"/>
  <c r="BE33"/>
  <c r="BD33"/>
  <c r="BC33"/>
  <c r="BB33"/>
  <c r="BA33"/>
  <c r="AX33"/>
  <c r="AW33"/>
  <c r="AV33"/>
  <c r="AC33"/>
  <c r="H33"/>
  <c r="G33"/>
  <c r="BT32"/>
  <c r="BS32"/>
  <c r="BR32"/>
  <c r="BQ32"/>
  <c r="BP32"/>
  <c r="BO32"/>
  <c r="BN32"/>
  <c r="BM32"/>
  <c r="BL32" s="1"/>
  <c r="BK32"/>
  <c r="BJ32"/>
  <c r="BI32"/>
  <c r="BH32"/>
  <c r="BG32"/>
  <c r="BF32"/>
  <c r="BE32"/>
  <c r="BD32"/>
  <c r="BC32"/>
  <c r="BB32"/>
  <c r="BA32" s="1"/>
  <c r="AX32"/>
  <c r="AW32"/>
  <c r="AV32"/>
  <c r="AC32"/>
  <c r="H32"/>
  <c r="G32" s="1"/>
  <c r="BT31"/>
  <c r="BS31"/>
  <c r="BR31"/>
  <c r="BQ31"/>
  <c r="BP31"/>
  <c r="BO31"/>
  <c r="BN31"/>
  <c r="BM31"/>
  <c r="BK31"/>
  <c r="BJ31"/>
  <c r="BI31"/>
  <c r="BH31"/>
  <c r="BG31"/>
  <c r="BF31"/>
  <c r="BE31"/>
  <c r="BD31"/>
  <c r="BC31"/>
  <c r="BB31"/>
  <c r="BA31"/>
  <c r="AX31"/>
  <c r="AW31"/>
  <c r="AV31"/>
  <c r="AC31"/>
  <c r="H31"/>
  <c r="G31"/>
  <c r="BT30"/>
  <c r="BS30"/>
  <c r="BR30"/>
  <c r="BQ30"/>
  <c r="BP30"/>
  <c r="BO30"/>
  <c r="BN30"/>
  <c r="BM30"/>
  <c r="BL30" s="1"/>
  <c r="BK30"/>
  <c r="BJ30"/>
  <c r="BI30"/>
  <c r="BH30"/>
  <c r="BG30"/>
  <c r="BF30"/>
  <c r="BE30"/>
  <c r="BD30"/>
  <c r="BC30"/>
  <c r="BB30"/>
  <c r="BA30" s="1"/>
  <c r="AZ30" s="1"/>
  <c r="AX30"/>
  <c r="AW30"/>
  <c r="AV30"/>
  <c r="AC30"/>
  <c r="H30"/>
  <c r="G30" s="1"/>
  <c r="BT29"/>
  <c r="BS29"/>
  <c r="BR29"/>
  <c r="BQ29"/>
  <c r="BP29"/>
  <c r="BO29"/>
  <c r="BN29"/>
  <c r="BM29"/>
  <c r="BL29" s="1"/>
  <c r="BK29"/>
  <c r="BJ29"/>
  <c r="BI29"/>
  <c r="BH29"/>
  <c r="BG29"/>
  <c r="BF29"/>
  <c r="BE29"/>
  <c r="BD29"/>
  <c r="BC29"/>
  <c r="BB29"/>
  <c r="AX29"/>
  <c r="AW29"/>
  <c r="AV29"/>
  <c r="AC29"/>
  <c r="H29"/>
  <c r="G29" s="1"/>
  <c r="BT28"/>
  <c r="BS28"/>
  <c r="BR28"/>
  <c r="BQ28"/>
  <c r="BP28"/>
  <c r="BO28"/>
  <c r="BN28"/>
  <c r="BM28"/>
  <c r="BL28" s="1"/>
  <c r="BK28"/>
  <c r="BJ28"/>
  <c r="BI28"/>
  <c r="BH28"/>
  <c r="BG28"/>
  <c r="BF28"/>
  <c r="BE28"/>
  <c r="BD28"/>
  <c r="BC28"/>
  <c r="BB28"/>
  <c r="AX28"/>
  <c r="AW28"/>
  <c r="AV28"/>
  <c r="AC28"/>
  <c r="H28"/>
  <c r="G28" s="1"/>
  <c r="BT27"/>
  <c r="BS27"/>
  <c r="BR27"/>
  <c r="BQ27"/>
  <c r="BP27"/>
  <c r="BO27"/>
  <c r="BN27"/>
  <c r="BM27"/>
  <c r="BL27" s="1"/>
  <c r="BK27"/>
  <c r="BJ27"/>
  <c r="BI27"/>
  <c r="BH27"/>
  <c r="BG27"/>
  <c r="BF27"/>
  <c r="BE27"/>
  <c r="BD27"/>
  <c r="BC27"/>
  <c r="BB27"/>
  <c r="AX27"/>
  <c r="AW27"/>
  <c r="AV27"/>
  <c r="AC27"/>
  <c r="H27"/>
  <c r="G27" s="1"/>
  <c r="BT26"/>
  <c r="BS26"/>
  <c r="BR26"/>
  <c r="BQ26"/>
  <c r="BP26"/>
  <c r="BO26"/>
  <c r="BN26"/>
  <c r="BM26"/>
  <c r="BK26"/>
  <c r="BJ26"/>
  <c r="BI26"/>
  <c r="BH26"/>
  <c r="BG26"/>
  <c r="BF26"/>
  <c r="BE26"/>
  <c r="BD26"/>
  <c r="BC26"/>
  <c r="BB26"/>
  <c r="BA26"/>
  <c r="AX26"/>
  <c r="AW26"/>
  <c r="AV26"/>
  <c r="AC26"/>
  <c r="H26"/>
  <c r="BT25"/>
  <c r="BS25"/>
  <c r="BR25"/>
  <c r="BQ25"/>
  <c r="BP25"/>
  <c r="BO25"/>
  <c r="BN25"/>
  <c r="BM25"/>
  <c r="BL25"/>
  <c r="BK25"/>
  <c r="BJ25"/>
  <c r="BI25"/>
  <c r="BH25"/>
  <c r="BG25"/>
  <c r="BF25"/>
  <c r="BE25"/>
  <c r="BD25"/>
  <c r="BC25"/>
  <c r="BB25"/>
  <c r="BA25" s="1"/>
  <c r="AZ25" s="1"/>
  <c r="AX25"/>
  <c r="AW25"/>
  <c r="AV25"/>
  <c r="AC25"/>
  <c r="H25"/>
  <c r="G25"/>
  <c r="BT24"/>
  <c r="BS24"/>
  <c r="BR24"/>
  <c r="BQ24"/>
  <c r="BP24"/>
  <c r="BO24"/>
  <c r="BN24"/>
  <c r="BM24"/>
  <c r="BL24" s="1"/>
  <c r="BK24"/>
  <c r="BJ24"/>
  <c r="BI24"/>
  <c r="BH24"/>
  <c r="BG24"/>
  <c r="BF24"/>
  <c r="BE24"/>
  <c r="BD24"/>
  <c r="BC24"/>
  <c r="BB24"/>
  <c r="BA24" s="1"/>
  <c r="AZ24" s="1"/>
  <c r="AX24"/>
  <c r="AW24"/>
  <c r="AV24"/>
  <c r="AC24"/>
  <c r="H24"/>
  <c r="G24"/>
  <c r="BT23"/>
  <c r="BS23"/>
  <c r="BR23"/>
  <c r="BQ23"/>
  <c r="BP23"/>
  <c r="BO23"/>
  <c r="BN23"/>
  <c r="BM23"/>
  <c r="BK23"/>
  <c r="BJ23"/>
  <c r="BI23"/>
  <c r="BH23"/>
  <c r="BG23"/>
  <c r="BF23"/>
  <c r="BE23"/>
  <c r="BD23"/>
  <c r="BC23"/>
  <c r="BB23"/>
  <c r="BA23" s="1"/>
  <c r="AX23"/>
  <c r="AW23"/>
  <c r="AV23"/>
  <c r="AC23"/>
  <c r="H23"/>
  <c r="BT22"/>
  <c r="BS22"/>
  <c r="BR22"/>
  <c r="BQ22"/>
  <c r="BP22"/>
  <c r="BO22"/>
  <c r="BN22"/>
  <c r="BM22"/>
  <c r="BL22"/>
  <c r="BK22"/>
  <c r="BJ22"/>
  <c r="BI22"/>
  <c r="BH22"/>
  <c r="BG22"/>
  <c r="BF22"/>
  <c r="BE22"/>
  <c r="BD22"/>
  <c r="BC22"/>
  <c r="BB22"/>
  <c r="BA22" s="1"/>
  <c r="AZ22" s="1"/>
  <c r="AX22"/>
  <c r="AW22"/>
  <c r="AV22"/>
  <c r="AC22"/>
  <c r="H22"/>
  <c r="BT21"/>
  <c r="BS21"/>
  <c r="BR21"/>
  <c r="BQ21"/>
  <c r="BP21"/>
  <c r="BO21"/>
  <c r="BN21"/>
  <c r="BM21"/>
  <c r="BK21"/>
  <c r="BJ21"/>
  <c r="BI21"/>
  <c r="BH21"/>
  <c r="BG21"/>
  <c r="BF21"/>
  <c r="BE21"/>
  <c r="BD21"/>
  <c r="BC21"/>
  <c r="BB21"/>
  <c r="AX21"/>
  <c r="AW21"/>
  <c r="AV21"/>
  <c r="AC21"/>
  <c r="H21"/>
  <c r="G21" s="1"/>
  <c r="BT20"/>
  <c r="BS20"/>
  <c r="BR20"/>
  <c r="BQ20"/>
  <c r="BP20"/>
  <c r="BO20"/>
  <c r="BN20"/>
  <c r="BM20"/>
  <c r="BK20"/>
  <c r="BJ20"/>
  <c r="BI20"/>
  <c r="BH20"/>
  <c r="BG20"/>
  <c r="BF20"/>
  <c r="BE20"/>
  <c r="BD20"/>
  <c r="BC20"/>
  <c r="BB20"/>
  <c r="BA20"/>
  <c r="AX20"/>
  <c r="AW20"/>
  <c r="AV20"/>
  <c r="AC20"/>
  <c r="H20"/>
  <c r="G20"/>
  <c r="BT19"/>
  <c r="BS19"/>
  <c r="BR19"/>
  <c r="BQ19"/>
  <c r="BP19"/>
  <c r="BO19"/>
  <c r="BN19"/>
  <c r="BM19"/>
  <c r="BL19" s="1"/>
  <c r="BK19"/>
  <c r="BJ19"/>
  <c r="BI19"/>
  <c r="BH19"/>
  <c r="BG19"/>
  <c r="BF19"/>
  <c r="BE19"/>
  <c r="BD19"/>
  <c r="BC19"/>
  <c r="BB19"/>
  <c r="BA19" s="1"/>
  <c r="AX19"/>
  <c r="AW19"/>
  <c r="AV19"/>
  <c r="AC19"/>
  <c r="H19"/>
  <c r="BT18"/>
  <c r="BS18"/>
  <c r="BR18"/>
  <c r="BQ18"/>
  <c r="BP18"/>
  <c r="BO18"/>
  <c r="BN18"/>
  <c r="BM18"/>
  <c r="BK18"/>
  <c r="BJ18"/>
  <c r="BI18"/>
  <c r="BH18"/>
  <c r="BG18"/>
  <c r="BF18"/>
  <c r="BE18"/>
  <c r="BD18"/>
  <c r="BC18"/>
  <c r="BB18"/>
  <c r="AX18"/>
  <c r="AW18"/>
  <c r="AV18"/>
  <c r="AC18"/>
  <c r="H18"/>
  <c r="G18" s="1"/>
  <c r="BT207"/>
  <c r="BS207"/>
  <c r="BR207"/>
  <c r="BQ207"/>
  <c r="BP207"/>
  <c r="BO207"/>
  <c r="BN207"/>
  <c r="BM207"/>
  <c r="BK207"/>
  <c r="BJ207"/>
  <c r="BI207"/>
  <c r="BH207"/>
  <c r="BG207"/>
  <c r="BF207"/>
  <c r="BE207"/>
  <c r="BD207"/>
  <c r="BC207"/>
  <c r="BB207"/>
  <c r="BA207"/>
  <c r="AX207"/>
  <c r="AW207"/>
  <c r="AV207"/>
  <c r="AC207"/>
  <c r="H207"/>
  <c r="BT206"/>
  <c r="BS206"/>
  <c r="BR206"/>
  <c r="BQ206"/>
  <c r="BP206"/>
  <c r="BO206"/>
  <c r="BN206"/>
  <c r="BM206"/>
  <c r="BL206"/>
  <c r="BK206"/>
  <c r="BJ206"/>
  <c r="BI206"/>
  <c r="BH206"/>
  <c r="BG206"/>
  <c r="BF206"/>
  <c r="BE206"/>
  <c r="BD206"/>
  <c r="BC206"/>
  <c r="BB206"/>
  <c r="BA206" s="1"/>
  <c r="AX206"/>
  <c r="AW206"/>
  <c r="AV206"/>
  <c r="AC206"/>
  <c r="H206"/>
  <c r="BT205"/>
  <c r="BS205"/>
  <c r="BR205"/>
  <c r="BQ205"/>
  <c r="BP205"/>
  <c r="BO205"/>
  <c r="BN205"/>
  <c r="BM205"/>
  <c r="BL205"/>
  <c r="BK205"/>
  <c r="BJ205"/>
  <c r="BI205"/>
  <c r="BH205"/>
  <c r="BG205"/>
  <c r="BF205"/>
  <c r="BE205"/>
  <c r="BD205"/>
  <c r="BC205"/>
  <c r="BB205"/>
  <c r="BA205" s="1"/>
  <c r="AZ205" s="1"/>
  <c r="AX205"/>
  <c r="AW205"/>
  <c r="AV205"/>
  <c r="AC205"/>
  <c r="H205"/>
  <c r="G205"/>
  <c r="BT204"/>
  <c r="BS204"/>
  <c r="BR204"/>
  <c r="BQ204"/>
  <c r="BP204"/>
  <c r="BO204"/>
  <c r="BN204"/>
  <c r="BM204"/>
  <c r="BK204"/>
  <c r="BJ204"/>
  <c r="BI204"/>
  <c r="BH204"/>
  <c r="BG204"/>
  <c r="BF204"/>
  <c r="BE204"/>
  <c r="BD204"/>
  <c r="BC204"/>
  <c r="BB204"/>
  <c r="BA204" s="1"/>
  <c r="AX204"/>
  <c r="AW204"/>
  <c r="AV204"/>
  <c r="AC204"/>
  <c r="H204"/>
  <c r="BT203"/>
  <c r="BS203"/>
  <c r="BR203"/>
  <c r="BQ203"/>
  <c r="BP203"/>
  <c r="BO203"/>
  <c r="BN203"/>
  <c r="BM203"/>
  <c r="BL203"/>
  <c r="BK203"/>
  <c r="BJ203"/>
  <c r="BI203"/>
  <c r="BH203"/>
  <c r="BG203"/>
  <c r="BF203"/>
  <c r="BE203"/>
  <c r="BD203"/>
  <c r="BC203"/>
  <c r="BB203"/>
  <c r="AX203"/>
  <c r="AW203"/>
  <c r="AV203"/>
  <c r="AC203"/>
  <c r="H203"/>
  <c r="G203"/>
  <c r="BT202"/>
  <c r="BS202"/>
  <c r="BR202"/>
  <c r="BQ202"/>
  <c r="BP202"/>
  <c r="BO202"/>
  <c r="BN202"/>
  <c r="BM202"/>
  <c r="BL202" s="1"/>
  <c r="BK202"/>
  <c r="BJ202"/>
  <c r="BI202"/>
  <c r="BH202"/>
  <c r="BG202"/>
  <c r="BF202"/>
  <c r="BE202"/>
  <c r="BD202"/>
  <c r="BC202"/>
  <c r="BB202"/>
  <c r="BA202" s="1"/>
  <c r="AX202"/>
  <c r="AW202"/>
  <c r="AV202"/>
  <c r="AC202"/>
  <c r="H202"/>
  <c r="G202" s="1"/>
  <c r="BT201"/>
  <c r="BS201"/>
  <c r="BR201"/>
  <c r="BQ201"/>
  <c r="BP201"/>
  <c r="BO201"/>
  <c r="BN201"/>
  <c r="BM201"/>
  <c r="BK201"/>
  <c r="BJ201"/>
  <c r="BI201"/>
  <c r="BH201"/>
  <c r="BG201"/>
  <c r="BF201"/>
  <c r="BE201"/>
  <c r="BD201"/>
  <c r="BC201"/>
  <c r="BB201"/>
  <c r="BA201"/>
  <c r="AX201"/>
  <c r="AW201"/>
  <c r="AV201"/>
  <c r="AC201"/>
  <c r="H201"/>
  <c r="BT200"/>
  <c r="BS200"/>
  <c r="BR200"/>
  <c r="BQ200"/>
  <c r="BP200"/>
  <c r="BO200"/>
  <c r="BN200"/>
  <c r="BM200"/>
  <c r="BK200"/>
  <c r="BJ200"/>
  <c r="BI200"/>
  <c r="BH200"/>
  <c r="BG200"/>
  <c r="BF200"/>
  <c r="BE200"/>
  <c r="BD200"/>
  <c r="BC200"/>
  <c r="BB200"/>
  <c r="AX200"/>
  <c r="AW200"/>
  <c r="AV200"/>
  <c r="AC200"/>
  <c r="H200"/>
  <c r="G200" s="1"/>
  <c r="BT199"/>
  <c r="BS199"/>
  <c r="BR199"/>
  <c r="BQ199"/>
  <c r="BP199"/>
  <c r="BO199"/>
  <c r="BN199"/>
  <c r="BM199"/>
  <c r="BL199" s="1"/>
  <c r="BK199"/>
  <c r="BJ199"/>
  <c r="BI199"/>
  <c r="BH199"/>
  <c r="BG199"/>
  <c r="BF199"/>
  <c r="BE199"/>
  <c r="BD199"/>
  <c r="BC199"/>
  <c r="BB199"/>
  <c r="AX199"/>
  <c r="AW199"/>
  <c r="AV199"/>
  <c r="AC199"/>
  <c r="H199"/>
  <c r="G199" s="1"/>
  <c r="BT198"/>
  <c r="BS198"/>
  <c r="BR198"/>
  <c r="BQ198"/>
  <c r="BP198"/>
  <c r="BO198"/>
  <c r="BN198"/>
  <c r="BM198"/>
  <c r="BK198"/>
  <c r="BJ198"/>
  <c r="BI198"/>
  <c r="BH198"/>
  <c r="BG198"/>
  <c r="BF198"/>
  <c r="BE198"/>
  <c r="BD198"/>
  <c r="BC198"/>
  <c r="BB198"/>
  <c r="BA198"/>
  <c r="AX198"/>
  <c r="AW198"/>
  <c r="AV198"/>
  <c r="AC198"/>
  <c r="H198"/>
  <c r="G198"/>
  <c r="BT197"/>
  <c r="BS197"/>
  <c r="BR197"/>
  <c r="BQ197"/>
  <c r="BP197"/>
  <c r="BO197"/>
  <c r="BN197"/>
  <c r="BM197"/>
  <c r="BL197" s="1"/>
  <c r="BK197"/>
  <c r="BJ197"/>
  <c r="BI197"/>
  <c r="BH197"/>
  <c r="BG197"/>
  <c r="BF197"/>
  <c r="BE197"/>
  <c r="BD197"/>
  <c r="BC197"/>
  <c r="BB197"/>
  <c r="BA197" s="1"/>
  <c r="AX197"/>
  <c r="AW197"/>
  <c r="AV197"/>
  <c r="AC197"/>
  <c r="H197"/>
  <c r="BT196"/>
  <c r="BS196"/>
  <c r="BR196"/>
  <c r="BQ196"/>
  <c r="BP196"/>
  <c r="BO196"/>
  <c r="BN196"/>
  <c r="BM196"/>
  <c r="BK196"/>
  <c r="BJ196"/>
  <c r="BI196"/>
  <c r="BH196"/>
  <c r="BG196"/>
  <c r="BF196"/>
  <c r="BE196"/>
  <c r="BD196"/>
  <c r="BC196"/>
  <c r="BB196"/>
  <c r="BA196" s="1"/>
  <c r="AX196"/>
  <c r="AW196"/>
  <c r="AV196"/>
  <c r="AC196"/>
  <c r="H196"/>
  <c r="BT195"/>
  <c r="BS195"/>
  <c r="BR195"/>
  <c r="BQ195"/>
  <c r="BP195"/>
  <c r="BO195"/>
  <c r="BN195"/>
  <c r="BM195"/>
  <c r="BL195"/>
  <c r="BK195"/>
  <c r="BJ195"/>
  <c r="BI195"/>
  <c r="BH195"/>
  <c r="BG195"/>
  <c r="BF195"/>
  <c r="BE195"/>
  <c r="BD195"/>
  <c r="BC195"/>
  <c r="BB195"/>
  <c r="AX195"/>
  <c r="AW195"/>
  <c r="AV195"/>
  <c r="AC195"/>
  <c r="H195"/>
  <c r="G195"/>
  <c r="BT194"/>
  <c r="BS194"/>
  <c r="BR194"/>
  <c r="BQ194"/>
  <c r="BP194"/>
  <c r="BO194"/>
  <c r="BN194"/>
  <c r="BM194"/>
  <c r="BL194" s="1"/>
  <c r="BK194"/>
  <c r="BJ194"/>
  <c r="BI194"/>
  <c r="BH194"/>
  <c r="BG194"/>
  <c r="BF194"/>
  <c r="BE194"/>
  <c r="BD194"/>
  <c r="BC194"/>
  <c r="BB194"/>
  <c r="BA194" s="1"/>
  <c r="AX194"/>
  <c r="AW194"/>
  <c r="AV194"/>
  <c r="AC194"/>
  <c r="H194"/>
  <c r="G194" s="1"/>
  <c r="BT193"/>
  <c r="BS193"/>
  <c r="BR193"/>
  <c r="BQ193"/>
  <c r="BP193"/>
  <c r="BO193"/>
  <c r="BN193"/>
  <c r="BM193"/>
  <c r="BK193"/>
  <c r="BJ193"/>
  <c r="BI193"/>
  <c r="BH193"/>
  <c r="BG193"/>
  <c r="BF193"/>
  <c r="BE193"/>
  <c r="BD193"/>
  <c r="BC193"/>
  <c r="BB193"/>
  <c r="BA193"/>
  <c r="AX193"/>
  <c r="AW193"/>
  <c r="AV193"/>
  <c r="AC193"/>
  <c r="H193"/>
  <c r="BT192"/>
  <c r="BS192"/>
  <c r="BR192"/>
  <c r="BQ192"/>
  <c r="BP192"/>
  <c r="BO192"/>
  <c r="BN192"/>
  <c r="BM192"/>
  <c r="BK192"/>
  <c r="BJ192"/>
  <c r="BI192"/>
  <c r="BH192"/>
  <c r="BG192"/>
  <c r="BF192"/>
  <c r="BE192"/>
  <c r="BD192"/>
  <c r="BC192"/>
  <c r="BB192"/>
  <c r="AX192"/>
  <c r="AW192"/>
  <c r="AV192"/>
  <c r="AC192"/>
  <c r="H192"/>
  <c r="G192" s="1"/>
  <c r="BT191"/>
  <c r="BS191"/>
  <c r="BR191"/>
  <c r="BQ191"/>
  <c r="BP191"/>
  <c r="BO191"/>
  <c r="BN191"/>
  <c r="BM191"/>
  <c r="BL191" s="1"/>
  <c r="BK191"/>
  <c r="BJ191"/>
  <c r="BI191"/>
  <c r="BH191"/>
  <c r="BG191"/>
  <c r="BF191"/>
  <c r="BE191"/>
  <c r="BD191"/>
  <c r="BC191"/>
  <c r="BB191"/>
  <c r="AX191"/>
  <c r="AW191"/>
  <c r="AV191"/>
  <c r="AC191"/>
  <c r="H191"/>
  <c r="G191" s="1"/>
  <c r="BT190"/>
  <c r="BS190"/>
  <c r="BR190"/>
  <c r="BQ190"/>
  <c r="BP190"/>
  <c r="BO190"/>
  <c r="BN190"/>
  <c r="BM190"/>
  <c r="BK190"/>
  <c r="BJ190"/>
  <c r="BI190"/>
  <c r="BH190"/>
  <c r="BG190"/>
  <c r="BF190"/>
  <c r="BE190"/>
  <c r="BD190"/>
  <c r="BC190"/>
  <c r="BB190"/>
  <c r="BA190"/>
  <c r="AX190"/>
  <c r="AW190"/>
  <c r="AV190"/>
  <c r="AC190"/>
  <c r="H190"/>
  <c r="G190"/>
  <c r="BT189"/>
  <c r="BS189"/>
  <c r="BR189"/>
  <c r="BQ189"/>
  <c r="BP189"/>
  <c r="BO189"/>
  <c r="BN189"/>
  <c r="BM189"/>
  <c r="BL189" s="1"/>
  <c r="BK189"/>
  <c r="BJ189"/>
  <c r="BI189"/>
  <c r="BH189"/>
  <c r="BG189"/>
  <c r="BF189"/>
  <c r="BE189"/>
  <c r="BD189"/>
  <c r="BC189"/>
  <c r="BB189"/>
  <c r="BA189" s="1"/>
  <c r="AX189"/>
  <c r="AW189"/>
  <c r="AV189"/>
  <c r="AC189"/>
  <c r="H189"/>
  <c r="BT188"/>
  <c r="BS188"/>
  <c r="BR188"/>
  <c r="BQ188"/>
  <c r="BP188"/>
  <c r="BO188"/>
  <c r="BN188"/>
  <c r="BM188"/>
  <c r="BK188"/>
  <c r="BJ188"/>
  <c r="BI188"/>
  <c r="BH188"/>
  <c r="BG188"/>
  <c r="BF188"/>
  <c r="BE188"/>
  <c r="BD188"/>
  <c r="BC188"/>
  <c r="BB188"/>
  <c r="BA188" s="1"/>
  <c r="AX188"/>
  <c r="AW188"/>
  <c r="AV188"/>
  <c r="AC188"/>
  <c r="H188"/>
  <c r="BT187"/>
  <c r="BS187"/>
  <c r="BR187"/>
  <c r="BQ187"/>
  <c r="BP187"/>
  <c r="BO187"/>
  <c r="BN187"/>
  <c r="BM187"/>
  <c r="BL187"/>
  <c r="BK187"/>
  <c r="BJ187"/>
  <c r="BI187"/>
  <c r="BH187"/>
  <c r="BG187"/>
  <c r="BF187"/>
  <c r="BE187"/>
  <c r="BD187"/>
  <c r="BC187"/>
  <c r="BB187"/>
  <c r="AX187"/>
  <c r="AW187"/>
  <c r="AV187"/>
  <c r="AC187"/>
  <c r="H187"/>
  <c r="G187"/>
  <c r="BT186"/>
  <c r="BS186"/>
  <c r="BR186"/>
  <c r="BQ186"/>
  <c r="BP186"/>
  <c r="BO186"/>
  <c r="BN186"/>
  <c r="BM186"/>
  <c r="BL186" s="1"/>
  <c r="BK186"/>
  <c r="BJ186"/>
  <c r="BI186"/>
  <c r="BH186"/>
  <c r="BG186"/>
  <c r="BF186"/>
  <c r="BE186"/>
  <c r="BD186"/>
  <c r="BC186"/>
  <c r="BB186"/>
  <c r="BA186" s="1"/>
  <c r="AX186"/>
  <c r="AW186"/>
  <c r="AV186"/>
  <c r="AC186"/>
  <c r="H186"/>
  <c r="G186" s="1"/>
  <c r="BT185"/>
  <c r="BS185"/>
  <c r="BR185"/>
  <c r="BQ185"/>
  <c r="BP185"/>
  <c r="BO185"/>
  <c r="BN185"/>
  <c r="BM185"/>
  <c r="BK185"/>
  <c r="BJ185"/>
  <c r="BI185"/>
  <c r="BH185"/>
  <c r="BG185"/>
  <c r="BF185"/>
  <c r="BE185"/>
  <c r="BD185"/>
  <c r="BC185"/>
  <c r="BB185"/>
  <c r="BA185"/>
  <c r="AX185"/>
  <c r="AW185"/>
  <c r="AV185"/>
  <c r="AC185"/>
  <c r="H185"/>
  <c r="BT184"/>
  <c r="BS184"/>
  <c r="BR184"/>
  <c r="BQ184"/>
  <c r="BP184"/>
  <c r="BO184"/>
  <c r="BN184"/>
  <c r="BM184"/>
  <c r="BK184"/>
  <c r="BJ184"/>
  <c r="BI184"/>
  <c r="BH184"/>
  <c r="BG184"/>
  <c r="BF184"/>
  <c r="BE184"/>
  <c r="BD184"/>
  <c r="BC184"/>
  <c r="BB184"/>
  <c r="AX184"/>
  <c r="AW184"/>
  <c r="AV184"/>
  <c r="AC184"/>
  <c r="H184"/>
  <c r="G184" s="1"/>
  <c r="BT183"/>
  <c r="BS183"/>
  <c r="BR183"/>
  <c r="BQ183"/>
  <c r="BP183"/>
  <c r="BO183"/>
  <c r="BN183"/>
  <c r="BM183"/>
  <c r="BL183" s="1"/>
  <c r="BK183"/>
  <c r="BJ183"/>
  <c r="BI183"/>
  <c r="BH183"/>
  <c r="BG183"/>
  <c r="BF183"/>
  <c r="BE183"/>
  <c r="BD183"/>
  <c r="BC183"/>
  <c r="BB183"/>
  <c r="AX183"/>
  <c r="AW183"/>
  <c r="AV183"/>
  <c r="AC183"/>
  <c r="H183"/>
  <c r="G183" s="1"/>
  <c r="BT182"/>
  <c r="BS182"/>
  <c r="BR182"/>
  <c r="BQ182"/>
  <c r="BP182"/>
  <c r="BO182"/>
  <c r="BN182"/>
  <c r="BM182"/>
  <c r="BK182"/>
  <c r="BJ182"/>
  <c r="BI182"/>
  <c r="BH182"/>
  <c r="BG182"/>
  <c r="BF182"/>
  <c r="BE182"/>
  <c r="BD182"/>
  <c r="BC182"/>
  <c r="BB182"/>
  <c r="BA182"/>
  <c r="AX182"/>
  <c r="AW182"/>
  <c r="AV182"/>
  <c r="AC182"/>
  <c r="H182"/>
  <c r="G182"/>
  <c r="BT181"/>
  <c r="BS181"/>
  <c r="BR181"/>
  <c r="BQ181"/>
  <c r="BP181"/>
  <c r="BO181"/>
  <c r="BN181"/>
  <c r="BM181"/>
  <c r="BL181" s="1"/>
  <c r="BK181"/>
  <c r="BJ181"/>
  <c r="BI181"/>
  <c r="BH181"/>
  <c r="BG181"/>
  <c r="BF181"/>
  <c r="BE181"/>
  <c r="BD181"/>
  <c r="BC181"/>
  <c r="BB181"/>
  <c r="BA181" s="1"/>
  <c r="AX181"/>
  <c r="AW181"/>
  <c r="AV181"/>
  <c r="AC181"/>
  <c r="H181"/>
  <c r="BT180"/>
  <c r="BS180"/>
  <c r="BR180"/>
  <c r="BQ180"/>
  <c r="BP180"/>
  <c r="BO180"/>
  <c r="BN180"/>
  <c r="BM180"/>
  <c r="BK180"/>
  <c r="BJ180"/>
  <c r="BI180"/>
  <c r="BH180"/>
  <c r="BG180"/>
  <c r="BF180"/>
  <c r="BE180"/>
  <c r="BD180"/>
  <c r="BC180"/>
  <c r="BB180"/>
  <c r="BA180" s="1"/>
  <c r="AX180"/>
  <c r="AW180"/>
  <c r="AV180"/>
  <c r="AC180"/>
  <c r="H180"/>
  <c r="BT179"/>
  <c r="BS179"/>
  <c r="BR179"/>
  <c r="BQ179"/>
  <c r="BP179"/>
  <c r="BO179"/>
  <c r="BN179"/>
  <c r="BM179"/>
  <c r="BL179"/>
  <c r="BK179"/>
  <c r="BJ179"/>
  <c r="BI179"/>
  <c r="BH179"/>
  <c r="BG179"/>
  <c r="BF179"/>
  <c r="BE179"/>
  <c r="BD179"/>
  <c r="BC179"/>
  <c r="BB179"/>
  <c r="AX179"/>
  <c r="AW179"/>
  <c r="AV179"/>
  <c r="AC179"/>
  <c r="H179"/>
  <c r="G179"/>
  <c r="BT178"/>
  <c r="BS178"/>
  <c r="BR178"/>
  <c r="BQ178"/>
  <c r="BP178"/>
  <c r="BO178"/>
  <c r="BN178"/>
  <c r="BM178"/>
  <c r="BL178" s="1"/>
  <c r="BK178"/>
  <c r="BJ178"/>
  <c r="BI178"/>
  <c r="BH178"/>
  <c r="BG178"/>
  <c r="BF178"/>
  <c r="BE178"/>
  <c r="BD178"/>
  <c r="BC178"/>
  <c r="BB178"/>
  <c r="BA178" s="1"/>
  <c r="AX178"/>
  <c r="AW178"/>
  <c r="AV178"/>
  <c r="AC178"/>
  <c r="H178"/>
  <c r="G178" s="1"/>
  <c r="BT177"/>
  <c r="BS177"/>
  <c r="BR177"/>
  <c r="BQ177"/>
  <c r="BP177"/>
  <c r="BO177"/>
  <c r="BN177"/>
  <c r="BM177"/>
  <c r="BK177"/>
  <c r="BJ177"/>
  <c r="BI177"/>
  <c r="BH177"/>
  <c r="BG177"/>
  <c r="BF177"/>
  <c r="BE177"/>
  <c r="BD177"/>
  <c r="BC177"/>
  <c r="BB177"/>
  <c r="BA177"/>
  <c r="AX177"/>
  <c r="AW177"/>
  <c r="AV177"/>
  <c r="AC177"/>
  <c r="H177"/>
  <c r="BT176"/>
  <c r="BS176"/>
  <c r="BR176"/>
  <c r="BQ176"/>
  <c r="BP176"/>
  <c r="BO176"/>
  <c r="BN176"/>
  <c r="BM176"/>
  <c r="BK176"/>
  <c r="BJ176"/>
  <c r="BI176"/>
  <c r="BH176"/>
  <c r="BG176"/>
  <c r="BF176"/>
  <c r="BE176"/>
  <c r="BD176"/>
  <c r="BC176"/>
  <c r="BB176"/>
  <c r="AX176"/>
  <c r="AW176"/>
  <c r="AV176"/>
  <c r="AC176"/>
  <c r="H176"/>
  <c r="G176" s="1"/>
  <c r="BT175"/>
  <c r="BS175"/>
  <c r="BR175"/>
  <c r="BQ175"/>
  <c r="BP175"/>
  <c r="BO175"/>
  <c r="BN175"/>
  <c r="BM175"/>
  <c r="BL175" s="1"/>
  <c r="BK175"/>
  <c r="BJ175"/>
  <c r="BI175"/>
  <c r="BH175"/>
  <c r="BG175"/>
  <c r="BF175"/>
  <c r="BE175"/>
  <c r="BD175"/>
  <c r="BC175"/>
  <c r="BB175"/>
  <c r="AX175"/>
  <c r="AW175"/>
  <c r="AV175"/>
  <c r="AC175"/>
  <c r="H175"/>
  <c r="G175" s="1"/>
  <c r="BT174"/>
  <c r="BS174"/>
  <c r="BR174"/>
  <c r="BQ174"/>
  <c r="BP174"/>
  <c r="BO174"/>
  <c r="BN174"/>
  <c r="BM174"/>
  <c r="BK174"/>
  <c r="BJ174"/>
  <c r="BI174"/>
  <c r="BH174"/>
  <c r="BG174"/>
  <c r="BF174"/>
  <c r="BE174"/>
  <c r="BD174"/>
  <c r="BC174"/>
  <c r="BB174"/>
  <c r="BA174"/>
  <c r="AX174"/>
  <c r="AW174"/>
  <c r="AV174"/>
  <c r="AC174"/>
  <c r="H174"/>
  <c r="G174"/>
  <c r="BT173"/>
  <c r="BS173"/>
  <c r="BR173"/>
  <c r="BQ173"/>
  <c r="BP173"/>
  <c r="BO173"/>
  <c r="BN173"/>
  <c r="BM173"/>
  <c r="BL173" s="1"/>
  <c r="BK173"/>
  <c r="BJ173"/>
  <c r="BI173"/>
  <c r="BH173"/>
  <c r="BG173"/>
  <c r="BF173"/>
  <c r="BE173"/>
  <c r="BD173"/>
  <c r="BC173"/>
  <c r="BB173"/>
  <c r="BA173" s="1"/>
  <c r="AX173"/>
  <c r="AW173"/>
  <c r="AV173"/>
  <c r="AC173"/>
  <c r="H173"/>
  <c r="BT172"/>
  <c r="BS172"/>
  <c r="BR172"/>
  <c r="BQ172"/>
  <c r="BP172"/>
  <c r="BO172"/>
  <c r="BN172"/>
  <c r="BM172"/>
  <c r="BK172"/>
  <c r="BJ172"/>
  <c r="BI172"/>
  <c r="BH172"/>
  <c r="BG172"/>
  <c r="BF172"/>
  <c r="BE172"/>
  <c r="BD172"/>
  <c r="BC172"/>
  <c r="BB172"/>
  <c r="BA172" s="1"/>
  <c r="AX172"/>
  <c r="AW172"/>
  <c r="AV172"/>
  <c r="AC172"/>
  <c r="H172"/>
  <c r="BT171"/>
  <c r="BS171"/>
  <c r="BR171"/>
  <c r="BQ171"/>
  <c r="BP171"/>
  <c r="BO171"/>
  <c r="BN171"/>
  <c r="BM171"/>
  <c r="BL171"/>
  <c r="BK171"/>
  <c r="BJ171"/>
  <c r="BI171"/>
  <c r="BH171"/>
  <c r="BG171"/>
  <c r="BF171"/>
  <c r="BE171"/>
  <c r="BD171"/>
  <c r="BC171"/>
  <c r="BB171"/>
  <c r="AX171"/>
  <c r="AW171"/>
  <c r="AV171"/>
  <c r="AC171"/>
  <c r="H171"/>
  <c r="G171"/>
  <c r="BT170"/>
  <c r="BS170"/>
  <c r="BR170"/>
  <c r="BQ170"/>
  <c r="BP170"/>
  <c r="BO170"/>
  <c r="BN170"/>
  <c r="BM170"/>
  <c r="BL170" s="1"/>
  <c r="BK170"/>
  <c r="BJ170"/>
  <c r="BI170"/>
  <c r="BH170"/>
  <c r="BG170"/>
  <c r="BF170"/>
  <c r="BE170"/>
  <c r="BD170"/>
  <c r="BC170"/>
  <c r="BB170"/>
  <c r="BA170" s="1"/>
  <c r="AX170"/>
  <c r="AW170"/>
  <c r="AV170"/>
  <c r="AC170"/>
  <c r="H170"/>
  <c r="G170" s="1"/>
  <c r="BT169"/>
  <c r="BS169"/>
  <c r="BR169"/>
  <c r="BQ169"/>
  <c r="BP169"/>
  <c r="BO169"/>
  <c r="BN169"/>
  <c r="BM169"/>
  <c r="BK169"/>
  <c r="BJ169"/>
  <c r="BI169"/>
  <c r="BH169"/>
  <c r="BG169"/>
  <c r="BF169"/>
  <c r="BE169"/>
  <c r="BD169"/>
  <c r="BC169"/>
  <c r="BB169"/>
  <c r="BA169"/>
  <c r="AX169"/>
  <c r="AW169"/>
  <c r="AV169"/>
  <c r="AC169"/>
  <c r="H169"/>
  <c r="BT168"/>
  <c r="BS168"/>
  <c r="BR168"/>
  <c r="BQ168"/>
  <c r="BP168"/>
  <c r="BO168"/>
  <c r="BN168"/>
  <c r="BM168"/>
  <c r="BK168"/>
  <c r="BJ168"/>
  <c r="BI168"/>
  <c r="BH168"/>
  <c r="BG168"/>
  <c r="BF168"/>
  <c r="BE168"/>
  <c r="BD168"/>
  <c r="BC168"/>
  <c r="BB168"/>
  <c r="AX168"/>
  <c r="AW168"/>
  <c r="AV168"/>
  <c r="AC168"/>
  <c r="H168"/>
  <c r="G168" s="1"/>
  <c r="BT167"/>
  <c r="BS167"/>
  <c r="BR167"/>
  <c r="BQ167"/>
  <c r="BP167"/>
  <c r="BO167"/>
  <c r="BN167"/>
  <c r="BM167"/>
  <c r="BL167" s="1"/>
  <c r="BK167"/>
  <c r="BJ167"/>
  <c r="BI167"/>
  <c r="BH167"/>
  <c r="BG167"/>
  <c r="BF167"/>
  <c r="BE167"/>
  <c r="BD167"/>
  <c r="BC167"/>
  <c r="BB167"/>
  <c r="AX167"/>
  <c r="AW167"/>
  <c r="AV167"/>
  <c r="AC167"/>
  <c r="H167"/>
  <c r="G167" s="1"/>
  <c r="BT166"/>
  <c r="BS166"/>
  <c r="BR166"/>
  <c r="BQ166"/>
  <c r="BP166"/>
  <c r="BO166"/>
  <c r="BN166"/>
  <c r="BM166"/>
  <c r="BK166"/>
  <c r="BJ166"/>
  <c r="BI166"/>
  <c r="BH166"/>
  <c r="BG166"/>
  <c r="BF166"/>
  <c r="BE166"/>
  <c r="BD166"/>
  <c r="BC166"/>
  <c r="BB166"/>
  <c r="BA166"/>
  <c r="AX166"/>
  <c r="AW166"/>
  <c r="AV166"/>
  <c r="AC166"/>
  <c r="H166"/>
  <c r="G166"/>
  <c r="BT165"/>
  <c r="BS165"/>
  <c r="BR165"/>
  <c r="BQ165"/>
  <c r="BP165"/>
  <c r="BO165"/>
  <c r="BN165"/>
  <c r="BM165"/>
  <c r="BL165" s="1"/>
  <c r="BK165"/>
  <c r="BJ165"/>
  <c r="BI165"/>
  <c r="BH165"/>
  <c r="BG165"/>
  <c r="BF165"/>
  <c r="BE165"/>
  <c r="BD165"/>
  <c r="BC165"/>
  <c r="BB165"/>
  <c r="BA165" s="1"/>
  <c r="AX165"/>
  <c r="AW165"/>
  <c r="AV165"/>
  <c r="AC165"/>
  <c r="H165"/>
  <c r="BT164"/>
  <c r="BS164"/>
  <c r="BR164"/>
  <c r="BQ164"/>
  <c r="BP164"/>
  <c r="BO164"/>
  <c r="BN164"/>
  <c r="BM164"/>
  <c r="BK164"/>
  <c r="BJ164"/>
  <c r="BI164"/>
  <c r="BH164"/>
  <c r="BG164"/>
  <c r="BF164"/>
  <c r="BE164"/>
  <c r="BD164"/>
  <c r="BC164"/>
  <c r="BB164"/>
  <c r="BA164" s="1"/>
  <c r="AX164"/>
  <c r="AW164"/>
  <c r="AV164"/>
  <c r="AC164"/>
  <c r="H164"/>
  <c r="BT163"/>
  <c r="BS163"/>
  <c r="BR163"/>
  <c r="BQ163"/>
  <c r="BP163"/>
  <c r="BO163"/>
  <c r="BN163"/>
  <c r="BM163"/>
  <c r="BL163"/>
  <c r="BK163"/>
  <c r="BJ163"/>
  <c r="BI163"/>
  <c r="BH163"/>
  <c r="BG163"/>
  <c r="BF163"/>
  <c r="BE163"/>
  <c r="BD163"/>
  <c r="BC163"/>
  <c r="BB163"/>
  <c r="AX163"/>
  <c r="AW163"/>
  <c r="AV163"/>
  <c r="AC163"/>
  <c r="H163"/>
  <c r="G163"/>
  <c r="BT162"/>
  <c r="BS162"/>
  <c r="BR162"/>
  <c r="BQ162"/>
  <c r="BP162"/>
  <c r="BO162"/>
  <c r="BN162"/>
  <c r="BM162"/>
  <c r="BL162" s="1"/>
  <c r="BK162"/>
  <c r="BJ162"/>
  <c r="BI162"/>
  <c r="BH162"/>
  <c r="BG162"/>
  <c r="BF162"/>
  <c r="BE162"/>
  <c r="BD162"/>
  <c r="BC162"/>
  <c r="BB162"/>
  <c r="BA162" s="1"/>
  <c r="AX162"/>
  <c r="AW162"/>
  <c r="AV162"/>
  <c r="AC162"/>
  <c r="H162"/>
  <c r="G162" s="1"/>
  <c r="BT161"/>
  <c r="BS161"/>
  <c r="BR161"/>
  <c r="BQ161"/>
  <c r="BP161"/>
  <c r="BO161"/>
  <c r="BN161"/>
  <c r="BM161"/>
  <c r="BK161"/>
  <c r="BJ161"/>
  <c r="BI161"/>
  <c r="BH161"/>
  <c r="BG161"/>
  <c r="BF161"/>
  <c r="BE161"/>
  <c r="BD161"/>
  <c r="BC161"/>
  <c r="BB161"/>
  <c r="BA161"/>
  <c r="AX161"/>
  <c r="AW161"/>
  <c r="AV161"/>
  <c r="AC161"/>
  <c r="H161"/>
  <c r="BT160"/>
  <c r="BS160"/>
  <c r="BR160"/>
  <c r="BQ160"/>
  <c r="BP160"/>
  <c r="BO160"/>
  <c r="BN160"/>
  <c r="BM160"/>
  <c r="BK160"/>
  <c r="BJ160"/>
  <c r="BI160"/>
  <c r="BH160"/>
  <c r="BG160"/>
  <c r="BF160"/>
  <c r="BE160"/>
  <c r="BD160"/>
  <c r="BC160"/>
  <c r="BB160"/>
  <c r="AX160"/>
  <c r="AW160"/>
  <c r="AV160"/>
  <c r="AC160"/>
  <c r="H160"/>
  <c r="G160" s="1"/>
  <c r="BT159"/>
  <c r="BS159"/>
  <c r="BR159"/>
  <c r="BQ159"/>
  <c r="BP159"/>
  <c r="BO159"/>
  <c r="BN159"/>
  <c r="BM159"/>
  <c r="BL159" s="1"/>
  <c r="BK159"/>
  <c r="BJ159"/>
  <c r="BI159"/>
  <c r="BH159"/>
  <c r="BG159"/>
  <c r="BF159"/>
  <c r="BE159"/>
  <c r="BD159"/>
  <c r="BC159"/>
  <c r="BB159"/>
  <c r="AX159"/>
  <c r="AW159"/>
  <c r="AV159"/>
  <c r="AC159"/>
  <c r="H159"/>
  <c r="G159" s="1"/>
  <c r="BT158"/>
  <c r="BS158"/>
  <c r="BR158"/>
  <c r="BQ158"/>
  <c r="BP158"/>
  <c r="BO158"/>
  <c r="BN158"/>
  <c r="BM158"/>
  <c r="BK158"/>
  <c r="BJ158"/>
  <c r="BI158"/>
  <c r="BH158"/>
  <c r="BG158"/>
  <c r="BF158"/>
  <c r="BE158"/>
  <c r="BD158"/>
  <c r="BC158"/>
  <c r="BB158"/>
  <c r="BA158"/>
  <c r="AX158"/>
  <c r="AW158"/>
  <c r="AV158"/>
  <c r="AC158"/>
  <c r="H158"/>
  <c r="G158"/>
  <c r="BT157"/>
  <c r="BS157"/>
  <c r="BR157"/>
  <c r="BQ157"/>
  <c r="BP157"/>
  <c r="BO157"/>
  <c r="BN157"/>
  <c r="BM157"/>
  <c r="BL157" s="1"/>
  <c r="BK157"/>
  <c r="BJ157"/>
  <c r="BI157"/>
  <c r="BH157"/>
  <c r="BG157"/>
  <c r="BF157"/>
  <c r="BE157"/>
  <c r="BD157"/>
  <c r="BC157"/>
  <c r="BB157"/>
  <c r="BA157" s="1"/>
  <c r="AX157"/>
  <c r="AW157"/>
  <c r="AV157"/>
  <c r="AC157"/>
  <c r="H157"/>
  <c r="BT156"/>
  <c r="BS156"/>
  <c r="BR156"/>
  <c r="BQ156"/>
  <c r="BP156"/>
  <c r="BO156"/>
  <c r="BN156"/>
  <c r="BM156"/>
  <c r="BK156"/>
  <c r="BJ156"/>
  <c r="BI156"/>
  <c r="BH156"/>
  <c r="BG156"/>
  <c r="BF156"/>
  <c r="BE156"/>
  <c r="BD156"/>
  <c r="BC156"/>
  <c r="BB156"/>
  <c r="BA156" s="1"/>
  <c r="AX156"/>
  <c r="AW156"/>
  <c r="AV156"/>
  <c r="AC156"/>
  <c r="H156"/>
  <c r="BT155"/>
  <c r="BS155"/>
  <c r="BR155"/>
  <c r="BQ155"/>
  <c r="BP155"/>
  <c r="BO155"/>
  <c r="BN155"/>
  <c r="BM155"/>
  <c r="BL155"/>
  <c r="BK155"/>
  <c r="BJ155"/>
  <c r="BI155"/>
  <c r="BH155"/>
  <c r="BG155"/>
  <c r="BF155"/>
  <c r="BE155"/>
  <c r="BD155"/>
  <c r="BC155"/>
  <c r="BB155"/>
  <c r="AX155"/>
  <c r="AW155"/>
  <c r="AV155"/>
  <c r="AC155"/>
  <c r="H155"/>
  <c r="G155"/>
  <c r="BT154"/>
  <c r="BS154"/>
  <c r="BR154"/>
  <c r="BQ154"/>
  <c r="BP154"/>
  <c r="BO154"/>
  <c r="BN154"/>
  <c r="BM154"/>
  <c r="BL154" s="1"/>
  <c r="BK154"/>
  <c r="BJ154"/>
  <c r="BI154"/>
  <c r="BH154"/>
  <c r="BG154"/>
  <c r="BF154"/>
  <c r="BE154"/>
  <c r="BD154"/>
  <c r="BC154"/>
  <c r="BB154"/>
  <c r="BA154" s="1"/>
  <c r="AX154"/>
  <c r="AW154"/>
  <c r="AV154"/>
  <c r="AC154"/>
  <c r="H154"/>
  <c r="G154" s="1"/>
  <c r="BT153"/>
  <c r="BS153"/>
  <c r="BR153"/>
  <c r="BQ153"/>
  <c r="BP153"/>
  <c r="BO153"/>
  <c r="BN153"/>
  <c r="BM153"/>
  <c r="BK153"/>
  <c r="BJ153"/>
  <c r="BI153"/>
  <c r="BH153"/>
  <c r="BG153"/>
  <c r="BF153"/>
  <c r="BE153"/>
  <c r="BD153"/>
  <c r="BC153"/>
  <c r="BB153"/>
  <c r="BA153"/>
  <c r="AX153"/>
  <c r="AW153"/>
  <c r="AV153"/>
  <c r="AC153"/>
  <c r="H153"/>
  <c r="BT152"/>
  <c r="BS152"/>
  <c r="BR152"/>
  <c r="BQ152"/>
  <c r="BP152"/>
  <c r="BO152"/>
  <c r="BN152"/>
  <c r="BM152"/>
  <c r="BK152"/>
  <c r="BJ152"/>
  <c r="BI152"/>
  <c r="BH152"/>
  <c r="BG152"/>
  <c r="BF152"/>
  <c r="BE152"/>
  <c r="BD152"/>
  <c r="BC152"/>
  <c r="BB152"/>
  <c r="AX152"/>
  <c r="AW152"/>
  <c r="AV152"/>
  <c r="AC152"/>
  <c r="H152"/>
  <c r="G152" s="1"/>
  <c r="BT151"/>
  <c r="BS151"/>
  <c r="BR151"/>
  <c r="BQ151"/>
  <c r="BP151"/>
  <c r="BO151"/>
  <c r="BN151"/>
  <c r="BM151"/>
  <c r="BL151" s="1"/>
  <c r="BK151"/>
  <c r="BJ151"/>
  <c r="BI151"/>
  <c r="BH151"/>
  <c r="BG151"/>
  <c r="BF151"/>
  <c r="BE151"/>
  <c r="BD151"/>
  <c r="BC151"/>
  <c r="BB151"/>
  <c r="AX151"/>
  <c r="AW151"/>
  <c r="AV151"/>
  <c r="AC151"/>
  <c r="H151"/>
  <c r="G151" s="1"/>
  <c r="BT150"/>
  <c r="BS150"/>
  <c r="BR150"/>
  <c r="BQ150"/>
  <c r="BP150"/>
  <c r="BO150"/>
  <c r="BN150"/>
  <c r="BM150"/>
  <c r="BK150"/>
  <c r="BJ150"/>
  <c r="BI150"/>
  <c r="BH150"/>
  <c r="BG150"/>
  <c r="BF150"/>
  <c r="BE150"/>
  <c r="BD150"/>
  <c r="BC150"/>
  <c r="BB150"/>
  <c r="BA150"/>
  <c r="AX150"/>
  <c r="AW150"/>
  <c r="AV150"/>
  <c r="AC150"/>
  <c r="H150"/>
  <c r="G150"/>
  <c r="BT149"/>
  <c r="BS149"/>
  <c r="BR149"/>
  <c r="BQ149"/>
  <c r="BP149"/>
  <c r="BO149"/>
  <c r="BN149"/>
  <c r="BM149"/>
  <c r="BL149" s="1"/>
  <c r="BK149"/>
  <c r="BJ149"/>
  <c r="BI149"/>
  <c r="BH149"/>
  <c r="BG149"/>
  <c r="BF149"/>
  <c r="BE149"/>
  <c r="BD149"/>
  <c r="BC149"/>
  <c r="BB149"/>
  <c r="BA149" s="1"/>
  <c r="AX149"/>
  <c r="AW149"/>
  <c r="AV149"/>
  <c r="AC149"/>
  <c r="H149"/>
  <c r="BT148"/>
  <c r="BS148"/>
  <c r="BR148"/>
  <c r="BQ148"/>
  <c r="BP148"/>
  <c r="BO148"/>
  <c r="BN148"/>
  <c r="BM148"/>
  <c r="BK148"/>
  <c r="BJ148"/>
  <c r="BI148"/>
  <c r="BH148"/>
  <c r="BG148"/>
  <c r="BF148"/>
  <c r="BE148"/>
  <c r="BD148"/>
  <c r="BC148"/>
  <c r="BB148"/>
  <c r="BA148" s="1"/>
  <c r="AX148"/>
  <c r="AW148"/>
  <c r="AV148"/>
  <c r="AC148"/>
  <c r="H148"/>
  <c r="BT147"/>
  <c r="BS147"/>
  <c r="BR147"/>
  <c r="BQ147"/>
  <c r="BP147"/>
  <c r="BO147"/>
  <c r="BN147"/>
  <c r="BM147"/>
  <c r="BL147"/>
  <c r="BK147"/>
  <c r="BJ147"/>
  <c r="BI147"/>
  <c r="BH147"/>
  <c r="BG147"/>
  <c r="BF147"/>
  <c r="BE147"/>
  <c r="BD147"/>
  <c r="BC147"/>
  <c r="BB147"/>
  <c r="AX147"/>
  <c r="AW147"/>
  <c r="AV147"/>
  <c r="AC147"/>
  <c r="H147"/>
  <c r="BT146"/>
  <c r="BS146"/>
  <c r="BR146"/>
  <c r="BQ146"/>
  <c r="BP146"/>
  <c r="BO146"/>
  <c r="BN146"/>
  <c r="BM146"/>
  <c r="BL146"/>
  <c r="BK146"/>
  <c r="BJ146"/>
  <c r="BI146"/>
  <c r="BH146"/>
  <c r="BG146"/>
  <c r="BF146"/>
  <c r="BE146"/>
  <c r="BD146"/>
  <c r="BC146"/>
  <c r="BB146"/>
  <c r="BA146" s="1"/>
  <c r="AX146"/>
  <c r="AW146"/>
  <c r="AV146"/>
  <c r="AC146"/>
  <c r="H146"/>
  <c r="BT145"/>
  <c r="BS145"/>
  <c r="BR145"/>
  <c r="BQ145"/>
  <c r="BP145"/>
  <c r="BO145"/>
  <c r="BN145"/>
  <c r="BM145"/>
  <c r="BL145"/>
  <c r="BK145"/>
  <c r="BJ145"/>
  <c r="BI145"/>
  <c r="BH145"/>
  <c r="BG145"/>
  <c r="BF145"/>
  <c r="BE145"/>
  <c r="BD145"/>
  <c r="BC145"/>
  <c r="BB145"/>
  <c r="BA145" s="1"/>
  <c r="AZ145" s="1"/>
  <c r="AX145"/>
  <c r="AW145"/>
  <c r="AV145"/>
  <c r="AC145"/>
  <c r="H145"/>
  <c r="BT144"/>
  <c r="BS144"/>
  <c r="BR144"/>
  <c r="BQ144"/>
  <c r="BP144"/>
  <c r="BO144"/>
  <c r="BN144"/>
  <c r="BM144"/>
  <c r="BK144"/>
  <c r="BJ144"/>
  <c r="BI144"/>
  <c r="BH144"/>
  <c r="BG144"/>
  <c r="BF144"/>
  <c r="BE144"/>
  <c r="BD144"/>
  <c r="BC144"/>
  <c r="BB144"/>
  <c r="BA144"/>
  <c r="AX144"/>
  <c r="AW144"/>
  <c r="AV144"/>
  <c r="AC144"/>
  <c r="H144"/>
  <c r="G144"/>
  <c r="BT143"/>
  <c r="BS143"/>
  <c r="BR143"/>
  <c r="BQ143"/>
  <c r="BP143"/>
  <c r="BO143"/>
  <c r="BN143"/>
  <c r="BM143"/>
  <c r="BL143" s="1"/>
  <c r="BK143"/>
  <c r="BJ143"/>
  <c r="BI143"/>
  <c r="BH143"/>
  <c r="BG143"/>
  <c r="BF143"/>
  <c r="BE143"/>
  <c r="BD143"/>
  <c r="BC143"/>
  <c r="BB143"/>
  <c r="AX143"/>
  <c r="AW143"/>
  <c r="AV143"/>
  <c r="AC143"/>
  <c r="H143"/>
  <c r="BT142"/>
  <c r="BS142"/>
  <c r="BR142"/>
  <c r="BQ142"/>
  <c r="BP142"/>
  <c r="BO142"/>
  <c r="BN142"/>
  <c r="BM142"/>
  <c r="BL142"/>
  <c r="BK142"/>
  <c r="BJ142"/>
  <c r="BI142"/>
  <c r="BH142"/>
  <c r="BG142"/>
  <c r="BF142"/>
  <c r="BE142"/>
  <c r="BD142"/>
  <c r="BC142"/>
  <c r="BB142"/>
  <c r="BA142" s="1"/>
  <c r="AX142"/>
  <c r="AW142"/>
  <c r="AV142"/>
  <c r="AC142"/>
  <c r="H142"/>
  <c r="BT141"/>
  <c r="BS141"/>
  <c r="BR141"/>
  <c r="BQ141"/>
  <c r="BP141"/>
  <c r="BO141"/>
  <c r="BN141"/>
  <c r="BM141"/>
  <c r="BL141"/>
  <c r="BK141"/>
  <c r="BJ141"/>
  <c r="BI141"/>
  <c r="BH141"/>
  <c r="BG141"/>
  <c r="BF141"/>
  <c r="BE141"/>
  <c r="BD141"/>
  <c r="BC141"/>
  <c r="BB141"/>
  <c r="BA141" s="1"/>
  <c r="AZ141" s="1"/>
  <c r="AX141"/>
  <c r="AW141"/>
  <c r="AV141"/>
  <c r="AC141"/>
  <c r="H141"/>
  <c r="BT140"/>
  <c r="BS140"/>
  <c r="BR140"/>
  <c r="BQ140"/>
  <c r="BP140"/>
  <c r="BO140"/>
  <c r="BN140"/>
  <c r="BM140"/>
  <c r="BK140"/>
  <c r="BJ140"/>
  <c r="BI140"/>
  <c r="BH140"/>
  <c r="BG140"/>
  <c r="BF140"/>
  <c r="BE140"/>
  <c r="BD140"/>
  <c r="BC140"/>
  <c r="BB140"/>
  <c r="BA140"/>
  <c r="AX140"/>
  <c r="AW140"/>
  <c r="AV140"/>
  <c r="AC140"/>
  <c r="H140"/>
  <c r="G140"/>
  <c r="BT139"/>
  <c r="BS139"/>
  <c r="BR139"/>
  <c r="BQ139"/>
  <c r="BP139"/>
  <c r="BO139"/>
  <c r="BN139"/>
  <c r="BM139"/>
  <c r="BL139" s="1"/>
  <c r="BK139"/>
  <c r="BJ139"/>
  <c r="BI139"/>
  <c r="BH139"/>
  <c r="BG139"/>
  <c r="BF139"/>
  <c r="BE139"/>
  <c r="BD139"/>
  <c r="BC139"/>
  <c r="BB139"/>
  <c r="AX139"/>
  <c r="AW139"/>
  <c r="AV139"/>
  <c r="AC139"/>
  <c r="H139"/>
  <c r="BT138"/>
  <c r="BS138"/>
  <c r="BR138"/>
  <c r="BQ138"/>
  <c r="BP138"/>
  <c r="BO138"/>
  <c r="BN138"/>
  <c r="BM138"/>
  <c r="BL138"/>
  <c r="BK138"/>
  <c r="BJ138"/>
  <c r="BI138"/>
  <c r="BH138"/>
  <c r="BG138"/>
  <c r="BF138"/>
  <c r="BE138"/>
  <c r="BD138"/>
  <c r="BC138"/>
  <c r="BB138"/>
  <c r="BA138" s="1"/>
  <c r="AX138"/>
  <c r="AW138"/>
  <c r="AV138"/>
  <c r="AC138"/>
  <c r="H138"/>
  <c r="BT137"/>
  <c r="BS137"/>
  <c r="BR137"/>
  <c r="BQ137"/>
  <c r="BP137"/>
  <c r="BO137"/>
  <c r="BN137"/>
  <c r="BM137"/>
  <c r="BL137"/>
  <c r="BK137"/>
  <c r="BJ137"/>
  <c r="BI137"/>
  <c r="BH137"/>
  <c r="BG137"/>
  <c r="BF137"/>
  <c r="BE137"/>
  <c r="BD137"/>
  <c r="BC137"/>
  <c r="BB137"/>
  <c r="BA137" s="1"/>
  <c r="AZ137" s="1"/>
  <c r="AX137"/>
  <c r="AW137"/>
  <c r="AV137"/>
  <c r="AC137"/>
  <c r="H137"/>
  <c r="BT136"/>
  <c r="BS136"/>
  <c r="BR136"/>
  <c r="BQ136"/>
  <c r="BP136"/>
  <c r="BO136"/>
  <c r="BN136"/>
  <c r="BM136"/>
  <c r="BK136"/>
  <c r="BJ136"/>
  <c r="BI136"/>
  <c r="BH136"/>
  <c r="BG136"/>
  <c r="BF136"/>
  <c r="BE136"/>
  <c r="BD136"/>
  <c r="BC136"/>
  <c r="BB136"/>
  <c r="BA136"/>
  <c r="AX136"/>
  <c r="AW136"/>
  <c r="AV136"/>
  <c r="AC136"/>
  <c r="H136"/>
  <c r="G136"/>
  <c r="BT135"/>
  <c r="BS135"/>
  <c r="BR135"/>
  <c r="BQ135"/>
  <c r="BP135"/>
  <c r="BO135"/>
  <c r="BN135"/>
  <c r="BM135"/>
  <c r="BL135" s="1"/>
  <c r="BK135"/>
  <c r="BJ135"/>
  <c r="BI135"/>
  <c r="BH135"/>
  <c r="BG135"/>
  <c r="BF135"/>
  <c r="BE135"/>
  <c r="BD135"/>
  <c r="BC135"/>
  <c r="BB135"/>
  <c r="AX135"/>
  <c r="AW135"/>
  <c r="AV135"/>
  <c r="AC135"/>
  <c r="H135"/>
  <c r="BT134"/>
  <c r="BS134"/>
  <c r="BR134"/>
  <c r="BQ134"/>
  <c r="BP134"/>
  <c r="BO134"/>
  <c r="BN134"/>
  <c r="BM134"/>
  <c r="BL134"/>
  <c r="BK134"/>
  <c r="BJ134"/>
  <c r="BI134"/>
  <c r="BH134"/>
  <c r="BG134"/>
  <c r="BF134"/>
  <c r="BE134"/>
  <c r="BD134"/>
  <c r="BC134"/>
  <c r="BB134"/>
  <c r="BA134" s="1"/>
  <c r="AZ134" s="1"/>
  <c r="AX134"/>
  <c r="AW134"/>
  <c r="AV134"/>
  <c r="AC134"/>
  <c r="H134"/>
  <c r="G134"/>
  <c r="BT133"/>
  <c r="BS133"/>
  <c r="BR133"/>
  <c r="BQ133"/>
  <c r="BP133"/>
  <c r="BO133"/>
  <c r="BN133"/>
  <c r="BM133"/>
  <c r="BL133" s="1"/>
  <c r="BK133"/>
  <c r="BJ133"/>
  <c r="BI133"/>
  <c r="BH133"/>
  <c r="BG133"/>
  <c r="BF133"/>
  <c r="BE133"/>
  <c r="BD133"/>
  <c r="BC133"/>
  <c r="BB133"/>
  <c r="BA133" s="1"/>
  <c r="AX133"/>
  <c r="AW133"/>
  <c r="AV133"/>
  <c r="AC133"/>
  <c r="H133"/>
  <c r="BT132"/>
  <c r="BS132"/>
  <c r="BR132"/>
  <c r="BQ132"/>
  <c r="BP132"/>
  <c r="BO132"/>
  <c r="BN132"/>
  <c r="BM132"/>
  <c r="BK132"/>
  <c r="BJ132"/>
  <c r="BI132"/>
  <c r="BH132"/>
  <c r="BG132"/>
  <c r="BF132"/>
  <c r="BE132"/>
  <c r="BD132"/>
  <c r="BC132"/>
  <c r="BB132"/>
  <c r="BA132" s="1"/>
  <c r="AX132"/>
  <c r="AW132"/>
  <c r="AV132"/>
  <c r="AC132"/>
  <c r="H132"/>
  <c r="G132" s="1"/>
  <c r="BT131"/>
  <c r="BS131"/>
  <c r="BR131"/>
  <c r="BQ131"/>
  <c r="BP131"/>
  <c r="BO131"/>
  <c r="BN131"/>
  <c r="BM131"/>
  <c r="BK131"/>
  <c r="BJ131"/>
  <c r="BI131"/>
  <c r="BH131"/>
  <c r="BG131"/>
  <c r="BF131"/>
  <c r="BE131"/>
  <c r="BD131"/>
  <c r="BC131"/>
  <c r="BB131"/>
  <c r="AX131"/>
  <c r="AW131"/>
  <c r="AV131"/>
  <c r="AC131"/>
  <c r="H131"/>
  <c r="G131" s="1"/>
  <c r="BT130"/>
  <c r="BS130"/>
  <c r="BR130"/>
  <c r="BQ130"/>
  <c r="BP130"/>
  <c r="BO130"/>
  <c r="BN130"/>
  <c r="BM130"/>
  <c r="BL130" s="1"/>
  <c r="BK130"/>
  <c r="BJ130"/>
  <c r="BI130"/>
  <c r="BH130"/>
  <c r="BG130"/>
  <c r="BF130"/>
  <c r="BE130"/>
  <c r="BD130"/>
  <c r="BC130"/>
  <c r="BB130"/>
  <c r="AX130"/>
  <c r="AW130"/>
  <c r="AV130"/>
  <c r="AC130"/>
  <c r="H130"/>
  <c r="G130" s="1"/>
  <c r="BT129"/>
  <c r="BS129"/>
  <c r="BR129"/>
  <c r="BQ129"/>
  <c r="BP129"/>
  <c r="BO129"/>
  <c r="BN129"/>
  <c r="BM129"/>
  <c r="BL129" s="1"/>
  <c r="BK129"/>
  <c r="BJ129"/>
  <c r="BI129"/>
  <c r="BH129"/>
  <c r="BG129"/>
  <c r="BF129"/>
  <c r="BE129"/>
  <c r="BD129"/>
  <c r="BC129"/>
  <c r="BB129"/>
  <c r="AX129"/>
  <c r="AW129"/>
  <c r="AV129"/>
  <c r="AC129"/>
  <c r="H129"/>
  <c r="BT128"/>
  <c r="BS128"/>
  <c r="BR128"/>
  <c r="BQ128"/>
  <c r="BP128"/>
  <c r="BO128"/>
  <c r="BN128"/>
  <c r="BM128"/>
  <c r="BK128"/>
  <c r="BJ128"/>
  <c r="BI128"/>
  <c r="BH128"/>
  <c r="BG128"/>
  <c r="BF128"/>
  <c r="BE128"/>
  <c r="BD128"/>
  <c r="BC128"/>
  <c r="BB128"/>
  <c r="BA128" s="1"/>
  <c r="AX128"/>
  <c r="AW128"/>
  <c r="AV128"/>
  <c r="AC128"/>
  <c r="H128"/>
  <c r="G128" s="1"/>
  <c r="BT127"/>
  <c r="BS127"/>
  <c r="BR127"/>
  <c r="BQ127"/>
  <c r="BP127"/>
  <c r="BO127"/>
  <c r="BN127"/>
  <c r="BM127"/>
  <c r="BK127"/>
  <c r="BJ127"/>
  <c r="BI127"/>
  <c r="BH127"/>
  <c r="BG127"/>
  <c r="BF127"/>
  <c r="BE127"/>
  <c r="BD127"/>
  <c r="BC127"/>
  <c r="BB127"/>
  <c r="AX127"/>
  <c r="AW127"/>
  <c r="AV127"/>
  <c r="AC127"/>
  <c r="H127"/>
  <c r="G127" s="1"/>
  <c r="BT126"/>
  <c r="BS126"/>
  <c r="BR126"/>
  <c r="BQ126"/>
  <c r="BP126"/>
  <c r="BO126"/>
  <c r="BN126"/>
  <c r="BM126"/>
  <c r="BL126" s="1"/>
  <c r="BK126"/>
  <c r="BJ126"/>
  <c r="BI126"/>
  <c r="BH126"/>
  <c r="BG126"/>
  <c r="BF126"/>
  <c r="BE126"/>
  <c r="BD126"/>
  <c r="BC126"/>
  <c r="BB126"/>
  <c r="AX126"/>
  <c r="AW126"/>
  <c r="AV126"/>
  <c r="AC126"/>
  <c r="H126"/>
  <c r="G126" s="1"/>
  <c r="BT125"/>
  <c r="BS125"/>
  <c r="BR125"/>
  <c r="BQ125"/>
  <c r="BP125"/>
  <c r="BO125"/>
  <c r="BN125"/>
  <c r="BM125"/>
  <c r="BK125"/>
  <c r="BJ125"/>
  <c r="BI125"/>
  <c r="BH125"/>
  <c r="BG125"/>
  <c r="BF125"/>
  <c r="BE125"/>
  <c r="BD125"/>
  <c r="BC125"/>
  <c r="BB125"/>
  <c r="BA125"/>
  <c r="AX125"/>
  <c r="AW125"/>
  <c r="AV125"/>
  <c r="AC125"/>
  <c r="H125"/>
  <c r="BT124"/>
  <c r="BS124"/>
  <c r="BR124"/>
  <c r="BQ124"/>
  <c r="BP124"/>
  <c r="BO124"/>
  <c r="BN124"/>
  <c r="BM124"/>
  <c r="BK124"/>
  <c r="BJ124"/>
  <c r="BI124"/>
  <c r="BH124"/>
  <c r="BG124"/>
  <c r="BF124"/>
  <c r="BE124"/>
  <c r="BD124"/>
  <c r="BC124"/>
  <c r="BB124"/>
  <c r="AX124"/>
  <c r="AW124"/>
  <c r="AV124"/>
  <c r="AC124"/>
  <c r="H124"/>
  <c r="G124" s="1"/>
  <c r="BT123"/>
  <c r="BS123"/>
  <c r="BR123"/>
  <c r="BQ123"/>
  <c r="BP123"/>
  <c r="BO123"/>
  <c r="BN123"/>
  <c r="BM123"/>
  <c r="BL123" s="1"/>
  <c r="BK123"/>
  <c r="BJ123"/>
  <c r="BI123"/>
  <c r="BH123"/>
  <c r="BG123"/>
  <c r="BF123"/>
  <c r="BE123"/>
  <c r="BD123"/>
  <c r="BC123"/>
  <c r="BB123"/>
  <c r="AX123"/>
  <c r="AW123"/>
  <c r="AV123"/>
  <c r="AC123"/>
  <c r="H123"/>
  <c r="G123" s="1"/>
  <c r="BT122"/>
  <c r="BS122"/>
  <c r="BR122"/>
  <c r="BQ122"/>
  <c r="BP122"/>
  <c r="BO122"/>
  <c r="BN122"/>
  <c r="BM122"/>
  <c r="BK122"/>
  <c r="BJ122"/>
  <c r="BI122"/>
  <c r="BH122"/>
  <c r="BG122"/>
  <c r="BF122"/>
  <c r="BE122"/>
  <c r="BD122"/>
  <c r="BC122"/>
  <c r="BB122"/>
  <c r="BA122"/>
  <c r="AX122"/>
  <c r="AW122"/>
  <c r="AV122"/>
  <c r="AC122"/>
  <c r="H122"/>
  <c r="BT121"/>
  <c r="BS121"/>
  <c r="BR121"/>
  <c r="BQ121"/>
  <c r="BP121"/>
  <c r="BO121"/>
  <c r="BN121"/>
  <c r="BM121"/>
  <c r="BL121"/>
  <c r="BK121"/>
  <c r="BJ121"/>
  <c r="BI121"/>
  <c r="BH121"/>
  <c r="BG121"/>
  <c r="BF121"/>
  <c r="BE121"/>
  <c r="BD121"/>
  <c r="BC121"/>
  <c r="BB121"/>
  <c r="BA121" s="1"/>
  <c r="AZ121" s="1"/>
  <c r="AX121"/>
  <c r="AW121"/>
  <c r="AV121"/>
  <c r="AC121"/>
  <c r="H121"/>
  <c r="BT120"/>
  <c r="BS120"/>
  <c r="BR120"/>
  <c r="BQ120"/>
  <c r="BP120"/>
  <c r="BO120"/>
  <c r="BN120"/>
  <c r="BM120"/>
  <c r="BK120"/>
  <c r="BJ120"/>
  <c r="BI120"/>
  <c r="BH120"/>
  <c r="BG120"/>
  <c r="BF120"/>
  <c r="BE120"/>
  <c r="BD120"/>
  <c r="BC120"/>
  <c r="BB120"/>
  <c r="BA120"/>
  <c r="AX120"/>
  <c r="AW120"/>
  <c r="AV120"/>
  <c r="AC120"/>
  <c r="H120"/>
  <c r="G120"/>
  <c r="BT119"/>
  <c r="BS119"/>
  <c r="BR119"/>
  <c r="BQ119"/>
  <c r="BP119"/>
  <c r="BO119"/>
  <c r="BN119"/>
  <c r="BM119"/>
  <c r="BL119" s="1"/>
  <c r="BK119"/>
  <c r="BJ119"/>
  <c r="BI119"/>
  <c r="BH119"/>
  <c r="BG119"/>
  <c r="BF119"/>
  <c r="BE119"/>
  <c r="BD119"/>
  <c r="BC119"/>
  <c r="BB119"/>
  <c r="AX119"/>
  <c r="AW119"/>
  <c r="AV119"/>
  <c r="AC119"/>
  <c r="H119"/>
  <c r="BT118"/>
  <c r="BS118"/>
  <c r="BR118"/>
  <c r="BQ118"/>
  <c r="BP118"/>
  <c r="BO118"/>
  <c r="BN118"/>
  <c r="BM118"/>
  <c r="BL118"/>
  <c r="BK118"/>
  <c r="BJ118"/>
  <c r="BI118"/>
  <c r="BH118"/>
  <c r="BG118"/>
  <c r="BF118"/>
  <c r="BE118"/>
  <c r="BD118"/>
  <c r="BC118"/>
  <c r="BB118"/>
  <c r="BA118" s="1"/>
  <c r="AZ118" s="1"/>
  <c r="AX118"/>
  <c r="AW118"/>
  <c r="AV118"/>
  <c r="AC118"/>
  <c r="H118"/>
  <c r="G118"/>
  <c r="BT117"/>
  <c r="BS117"/>
  <c r="BR117"/>
  <c r="BQ117"/>
  <c r="BP117"/>
  <c r="BO117"/>
  <c r="BN117"/>
  <c r="BM117"/>
  <c r="BL117" s="1"/>
  <c r="BK117"/>
  <c r="BJ117"/>
  <c r="BI117"/>
  <c r="BH117"/>
  <c r="BG117"/>
  <c r="BF117"/>
  <c r="BE117"/>
  <c r="BD117"/>
  <c r="BC117"/>
  <c r="BB117"/>
  <c r="BA117" s="1"/>
  <c r="AX117"/>
  <c r="AW117"/>
  <c r="AV117"/>
  <c r="AC117"/>
  <c r="H117"/>
  <c r="BT116"/>
  <c r="BS116"/>
  <c r="BR116"/>
  <c r="BQ116"/>
  <c r="BP116"/>
  <c r="BO116"/>
  <c r="BN116"/>
  <c r="BM116"/>
  <c r="BK116"/>
  <c r="BJ116"/>
  <c r="BI116"/>
  <c r="BH116"/>
  <c r="BG116"/>
  <c r="BF116"/>
  <c r="BE116"/>
  <c r="BD116"/>
  <c r="BC116"/>
  <c r="BB116"/>
  <c r="BA116" s="1"/>
  <c r="AX116"/>
  <c r="AW116"/>
  <c r="AV116"/>
  <c r="AC116"/>
  <c r="H116"/>
  <c r="G116" s="1"/>
  <c r="BT115"/>
  <c r="BS115"/>
  <c r="BR115"/>
  <c r="BQ115"/>
  <c r="BP115"/>
  <c r="BO115"/>
  <c r="BN115"/>
  <c r="BM115"/>
  <c r="BK115"/>
  <c r="BJ115"/>
  <c r="BI115"/>
  <c r="BH115"/>
  <c r="BG115"/>
  <c r="BF115"/>
  <c r="BE115"/>
  <c r="BD115"/>
  <c r="BC115"/>
  <c r="BB115"/>
  <c r="AX115"/>
  <c r="AW115"/>
  <c r="AV115"/>
  <c r="AC115"/>
  <c r="H115"/>
  <c r="G115" s="1"/>
  <c r="BT114"/>
  <c r="BS114"/>
  <c r="BR114"/>
  <c r="BQ114"/>
  <c r="BP114"/>
  <c r="BO114"/>
  <c r="BN114"/>
  <c r="BM114"/>
  <c r="BL114" s="1"/>
  <c r="BK114"/>
  <c r="BJ114"/>
  <c r="BI114"/>
  <c r="BH114"/>
  <c r="BG114"/>
  <c r="BF114"/>
  <c r="BE114"/>
  <c r="BD114"/>
  <c r="BC114"/>
  <c r="BB114"/>
  <c r="AX114"/>
  <c r="AW114"/>
  <c r="AV114"/>
  <c r="AC114"/>
  <c r="H114"/>
  <c r="G114" s="1"/>
  <c r="BT113"/>
  <c r="BS113"/>
  <c r="BR113"/>
  <c r="BQ113"/>
  <c r="BP113"/>
  <c r="BO113"/>
  <c r="BN113"/>
  <c r="BM113"/>
  <c r="BL113" s="1"/>
  <c r="BK113"/>
  <c r="BJ113"/>
  <c r="BI113"/>
  <c r="BH113"/>
  <c r="BG113"/>
  <c r="BF113"/>
  <c r="BE113"/>
  <c r="BD113"/>
  <c r="BC113"/>
  <c r="BB113"/>
  <c r="AX113"/>
  <c r="AW113"/>
  <c r="AV113"/>
  <c r="AC113"/>
  <c r="H113"/>
  <c r="BT302"/>
  <c r="BS302"/>
  <c r="BR302"/>
  <c r="BQ302"/>
  <c r="BP302"/>
  <c r="BO302"/>
  <c r="BN302"/>
  <c r="BM302"/>
  <c r="BL302" s="1"/>
  <c r="BK302"/>
  <c r="BJ302"/>
  <c r="BI302"/>
  <c r="BH302"/>
  <c r="BG302"/>
  <c r="BF302"/>
  <c r="BE302"/>
  <c r="BD302"/>
  <c r="BC302"/>
  <c r="BB302"/>
  <c r="AX302"/>
  <c r="AW302"/>
  <c r="AV302"/>
  <c r="AC302"/>
  <c r="H302"/>
  <c r="G302" s="1"/>
  <c r="BT301"/>
  <c r="BS301"/>
  <c r="BR301"/>
  <c r="BQ301"/>
  <c r="BP301"/>
  <c r="BO301"/>
  <c r="BN301"/>
  <c r="BM301"/>
  <c r="BL301" s="1"/>
  <c r="BK301"/>
  <c r="BJ301"/>
  <c r="BI301"/>
  <c r="BH301"/>
  <c r="BG301"/>
  <c r="BF301"/>
  <c r="BE301"/>
  <c r="BD301"/>
  <c r="BC301"/>
  <c r="BB301"/>
  <c r="AX301"/>
  <c r="AW301"/>
  <c r="AV301"/>
  <c r="AC301"/>
  <c r="H301"/>
  <c r="G301" s="1"/>
  <c r="BT300"/>
  <c r="BS300"/>
  <c r="BR300"/>
  <c r="BQ300"/>
  <c r="BP300"/>
  <c r="BO300"/>
  <c r="BN300"/>
  <c r="BM300"/>
  <c r="BK300"/>
  <c r="BJ300"/>
  <c r="BI300"/>
  <c r="BH300"/>
  <c r="BG300"/>
  <c r="BF300"/>
  <c r="BE300"/>
  <c r="BD300"/>
  <c r="BC300"/>
  <c r="BB300"/>
  <c r="BA300"/>
  <c r="AX300"/>
  <c r="AW300"/>
  <c r="AV300"/>
  <c r="AC300"/>
  <c r="H300"/>
  <c r="BT299"/>
  <c r="BS299"/>
  <c r="BR299"/>
  <c r="BQ299"/>
  <c r="BP299"/>
  <c r="BO299"/>
  <c r="BN299"/>
  <c r="BM299"/>
  <c r="BL299"/>
  <c r="BK299"/>
  <c r="BJ299"/>
  <c r="BI299"/>
  <c r="BH299"/>
  <c r="BG299"/>
  <c r="BF299"/>
  <c r="BE299"/>
  <c r="BD299"/>
  <c r="BC299"/>
  <c r="BB299"/>
  <c r="BA299" s="1"/>
  <c r="AX299"/>
  <c r="AW299"/>
  <c r="AV299"/>
  <c r="AC299"/>
  <c r="H299"/>
  <c r="BT298"/>
  <c r="BS298"/>
  <c r="BR298"/>
  <c r="BQ298"/>
  <c r="BP298"/>
  <c r="BO298"/>
  <c r="BN298"/>
  <c r="BM298"/>
  <c r="BL298"/>
  <c r="BK298"/>
  <c r="BJ298"/>
  <c r="BI298"/>
  <c r="BH298"/>
  <c r="BG298"/>
  <c r="BF298"/>
  <c r="BE298"/>
  <c r="BD298"/>
  <c r="BC298"/>
  <c r="BB298"/>
  <c r="BA298" s="1"/>
  <c r="AZ298" s="1"/>
  <c r="AX298"/>
  <c r="AW298"/>
  <c r="AV298"/>
  <c r="AC298"/>
  <c r="H298"/>
  <c r="G298"/>
  <c r="BT297"/>
  <c r="BS297"/>
  <c r="BR297"/>
  <c r="BQ297"/>
  <c r="BP297"/>
  <c r="BO297"/>
  <c r="BN297"/>
  <c r="BM297"/>
  <c r="BL297" s="1"/>
  <c r="BK297"/>
  <c r="BJ297"/>
  <c r="BI297"/>
  <c r="BH297"/>
  <c r="BG297"/>
  <c r="BF297"/>
  <c r="BE297"/>
  <c r="BD297"/>
  <c r="BC297"/>
  <c r="BB297"/>
  <c r="BA297" s="1"/>
  <c r="AX297"/>
  <c r="AW297"/>
  <c r="AV297"/>
  <c r="AC297"/>
  <c r="H297"/>
  <c r="G297" s="1"/>
  <c r="BT296"/>
  <c r="BS296"/>
  <c r="BR296"/>
  <c r="BQ296"/>
  <c r="BP296"/>
  <c r="BO296"/>
  <c r="BN296"/>
  <c r="BM296"/>
  <c r="BL296" s="1"/>
  <c r="BK296"/>
  <c r="BJ296"/>
  <c r="BI296"/>
  <c r="BH296"/>
  <c r="BG296"/>
  <c r="BF296"/>
  <c r="BE296"/>
  <c r="BD296"/>
  <c r="BC296"/>
  <c r="BB296"/>
  <c r="AX296"/>
  <c r="AW296"/>
  <c r="AV296"/>
  <c r="AC296"/>
  <c r="H296"/>
  <c r="G296" s="1"/>
  <c r="BT295"/>
  <c r="BS295"/>
  <c r="BR295"/>
  <c r="BQ295"/>
  <c r="BP295"/>
  <c r="BO295"/>
  <c r="BN295"/>
  <c r="BM295"/>
  <c r="BL295" s="1"/>
  <c r="BK295"/>
  <c r="BJ295"/>
  <c r="BI295"/>
  <c r="BH295"/>
  <c r="BG295"/>
  <c r="BF295"/>
  <c r="BE295"/>
  <c r="BD295"/>
  <c r="BC295"/>
  <c r="BB295"/>
  <c r="AX295"/>
  <c r="AW295"/>
  <c r="AV295"/>
  <c r="AC295"/>
  <c r="H295"/>
  <c r="G295" s="1"/>
  <c r="BT294"/>
  <c r="BS294"/>
  <c r="BR294"/>
  <c r="BQ294"/>
  <c r="BP294"/>
  <c r="BO294"/>
  <c r="BN294"/>
  <c r="BM294"/>
  <c r="BL294" s="1"/>
  <c r="BK294"/>
  <c r="BJ294"/>
  <c r="BI294"/>
  <c r="BH294"/>
  <c r="BG294"/>
  <c r="BF294"/>
  <c r="BE294"/>
  <c r="BD294"/>
  <c r="BC294"/>
  <c r="BB294"/>
  <c r="AX294"/>
  <c r="AW294"/>
  <c r="AV294"/>
  <c r="AC294"/>
  <c r="H294"/>
  <c r="G294" s="1"/>
  <c r="BT293"/>
  <c r="BS293"/>
  <c r="BR293"/>
  <c r="BQ293"/>
  <c r="BP293"/>
  <c r="BO293"/>
  <c r="BN293"/>
  <c r="BM293"/>
  <c r="BK293"/>
  <c r="BJ293"/>
  <c r="BI293"/>
  <c r="BH293"/>
  <c r="BG293"/>
  <c r="BF293"/>
  <c r="BE293"/>
  <c r="BD293"/>
  <c r="BC293"/>
  <c r="BB293"/>
  <c r="BA293"/>
  <c r="AX293"/>
  <c r="AW293"/>
  <c r="AV293"/>
  <c r="AC293"/>
  <c r="H293"/>
  <c r="BT292"/>
  <c r="BS292"/>
  <c r="BR292"/>
  <c r="BQ292"/>
  <c r="BP292"/>
  <c r="BO292"/>
  <c r="BN292"/>
  <c r="BM292"/>
  <c r="BL292"/>
  <c r="BK292"/>
  <c r="BJ292"/>
  <c r="BI292"/>
  <c r="BH292"/>
  <c r="BG292"/>
  <c r="BF292"/>
  <c r="BE292"/>
  <c r="BD292"/>
  <c r="BC292"/>
  <c r="BB292"/>
  <c r="BA292" s="1"/>
  <c r="AZ292" s="1"/>
  <c r="AX292"/>
  <c r="AW292"/>
  <c r="AV292"/>
  <c r="AC292"/>
  <c r="H292"/>
  <c r="G292"/>
  <c r="BT291"/>
  <c r="BS291"/>
  <c r="BR291"/>
  <c r="BQ291"/>
  <c r="BP291"/>
  <c r="BO291"/>
  <c r="BN291"/>
  <c r="BM291"/>
  <c r="BL291" s="1"/>
  <c r="BK291"/>
  <c r="BJ291"/>
  <c r="BI291"/>
  <c r="BH291"/>
  <c r="BG291"/>
  <c r="BF291"/>
  <c r="BE291"/>
  <c r="BD291"/>
  <c r="BC291"/>
  <c r="BB291"/>
  <c r="BA291" s="1"/>
  <c r="AX291"/>
  <c r="AW291"/>
  <c r="AV291"/>
  <c r="AC291"/>
  <c r="H291"/>
  <c r="G291" s="1"/>
  <c r="BT290"/>
  <c r="BS290"/>
  <c r="BR290"/>
  <c r="BQ290"/>
  <c r="BP290"/>
  <c r="BO290"/>
  <c r="BN290"/>
  <c r="BM290"/>
  <c r="BK290"/>
  <c r="BJ290"/>
  <c r="BI290"/>
  <c r="BH290"/>
  <c r="BG290"/>
  <c r="BF290"/>
  <c r="BE290"/>
  <c r="BD290"/>
  <c r="BC290"/>
  <c r="BB290"/>
  <c r="BA290"/>
  <c r="AX290"/>
  <c r="AW290"/>
  <c r="AV290"/>
  <c r="AC290"/>
  <c r="H290"/>
  <c r="BT289"/>
  <c r="BS289"/>
  <c r="BR289"/>
  <c r="BQ289"/>
  <c r="BP289"/>
  <c r="BO289"/>
  <c r="BN289"/>
  <c r="BM289"/>
  <c r="BL289"/>
  <c r="BK289"/>
  <c r="BJ289"/>
  <c r="BI289"/>
  <c r="BH289"/>
  <c r="BG289"/>
  <c r="BF289"/>
  <c r="BE289"/>
  <c r="BD289"/>
  <c r="BC289"/>
  <c r="BB289"/>
  <c r="BA289" s="1"/>
  <c r="AZ289" s="1"/>
  <c r="AX289"/>
  <c r="AW289"/>
  <c r="AV289"/>
  <c r="AC289"/>
  <c r="H289"/>
  <c r="G289"/>
  <c r="BT288"/>
  <c r="BS288"/>
  <c r="BR288"/>
  <c r="BQ288"/>
  <c r="BP288"/>
  <c r="BO288"/>
  <c r="BN288"/>
  <c r="BM288"/>
  <c r="BL288" s="1"/>
  <c r="BK288"/>
  <c r="BJ288"/>
  <c r="BI288"/>
  <c r="BH288"/>
  <c r="BG288"/>
  <c r="BF288"/>
  <c r="BE288"/>
  <c r="BD288"/>
  <c r="BC288"/>
  <c r="BB288"/>
  <c r="BA288" s="1"/>
  <c r="AX288"/>
  <c r="AW288"/>
  <c r="AV288"/>
  <c r="AC288"/>
  <c r="H288"/>
  <c r="G288" s="1"/>
  <c r="BT287"/>
  <c r="BS287"/>
  <c r="BR287"/>
  <c r="BQ287"/>
  <c r="BP287"/>
  <c r="BO287"/>
  <c r="BN287"/>
  <c r="BM287"/>
  <c r="BK287"/>
  <c r="BJ287"/>
  <c r="BI287"/>
  <c r="BH287"/>
  <c r="BG287"/>
  <c r="BF287"/>
  <c r="BE287"/>
  <c r="BD287"/>
  <c r="BC287"/>
  <c r="BB287"/>
  <c r="BA287"/>
  <c r="AX287"/>
  <c r="AW287"/>
  <c r="AV287"/>
  <c r="AC287"/>
  <c r="H287"/>
  <c r="G287"/>
  <c r="BT286"/>
  <c r="BS286"/>
  <c r="BR286"/>
  <c r="BQ286"/>
  <c r="BP286"/>
  <c r="BO286"/>
  <c r="BN286"/>
  <c r="BM286"/>
  <c r="BL286" s="1"/>
  <c r="BK286"/>
  <c r="BJ286"/>
  <c r="BI286"/>
  <c r="BH286"/>
  <c r="BG286"/>
  <c r="BF286"/>
  <c r="BE286"/>
  <c r="BD286"/>
  <c r="BC286"/>
  <c r="BB286"/>
  <c r="BA286" s="1"/>
  <c r="AX286"/>
  <c r="AW286"/>
  <c r="AV286"/>
  <c r="AC286"/>
  <c r="H286"/>
  <c r="G286" s="1"/>
  <c r="BT285"/>
  <c r="BS285"/>
  <c r="BR285"/>
  <c r="BQ285"/>
  <c r="BP285"/>
  <c r="BO285"/>
  <c r="BN285"/>
  <c r="BM285"/>
  <c r="BL285" s="1"/>
  <c r="BK285"/>
  <c r="BJ285"/>
  <c r="BI285"/>
  <c r="BH285"/>
  <c r="BG285"/>
  <c r="BF285"/>
  <c r="BE285"/>
  <c r="BD285"/>
  <c r="BC285"/>
  <c r="BB285"/>
  <c r="AX285"/>
  <c r="AW285"/>
  <c r="AV285"/>
  <c r="AC285"/>
  <c r="H285"/>
  <c r="G285" s="1"/>
  <c r="BT284"/>
  <c r="BS284"/>
  <c r="BR284"/>
  <c r="BQ284"/>
  <c r="BP284"/>
  <c r="BO284"/>
  <c r="BN284"/>
  <c r="BM284"/>
  <c r="BK284"/>
  <c r="BJ284"/>
  <c r="BI284"/>
  <c r="BH284"/>
  <c r="BG284"/>
  <c r="BF284"/>
  <c r="BE284"/>
  <c r="BD284"/>
  <c r="BC284"/>
  <c r="BB284"/>
  <c r="BA284"/>
  <c r="AX284"/>
  <c r="AW284"/>
  <c r="AV284"/>
  <c r="AC284"/>
  <c r="H284"/>
  <c r="BT283"/>
  <c r="BS283"/>
  <c r="BR283"/>
  <c r="BQ283"/>
  <c r="BP283"/>
  <c r="BO283"/>
  <c r="BN283"/>
  <c r="BM283"/>
  <c r="BL283"/>
  <c r="BK283"/>
  <c r="BJ283"/>
  <c r="BI283"/>
  <c r="BH283"/>
  <c r="BG283"/>
  <c r="BF283"/>
  <c r="BE283"/>
  <c r="BD283"/>
  <c r="BC283"/>
  <c r="BB283"/>
  <c r="BA283" s="1"/>
  <c r="AX283"/>
  <c r="AW283"/>
  <c r="AV283"/>
  <c r="AC283"/>
  <c r="H283"/>
  <c r="BT282"/>
  <c r="BS282"/>
  <c r="BR282"/>
  <c r="BQ282"/>
  <c r="BP282"/>
  <c r="BO282"/>
  <c r="BN282"/>
  <c r="BM282"/>
  <c r="BL282"/>
  <c r="BK282"/>
  <c r="BJ282"/>
  <c r="BI282"/>
  <c r="BH282"/>
  <c r="BG282"/>
  <c r="BF282"/>
  <c r="BE282"/>
  <c r="BD282"/>
  <c r="BC282"/>
  <c r="BB282"/>
  <c r="BA282" s="1"/>
  <c r="AZ282" s="1"/>
  <c r="AX282"/>
  <c r="AW282"/>
  <c r="AV282"/>
  <c r="AC282"/>
  <c r="H282"/>
  <c r="G282"/>
  <c r="BT281"/>
  <c r="BS281"/>
  <c r="BR281"/>
  <c r="BQ281"/>
  <c r="BP281"/>
  <c r="BO281"/>
  <c r="BN281"/>
  <c r="BM281"/>
  <c r="BL281" s="1"/>
  <c r="BK281"/>
  <c r="BJ281"/>
  <c r="BI281"/>
  <c r="BH281"/>
  <c r="BG281"/>
  <c r="BF281"/>
  <c r="BE281"/>
  <c r="BD281"/>
  <c r="BC281"/>
  <c r="BB281"/>
  <c r="BA281" s="1"/>
  <c r="AX281"/>
  <c r="AW281"/>
  <c r="AV281"/>
  <c r="AC281"/>
  <c r="H281"/>
  <c r="G281" s="1"/>
  <c r="BT280"/>
  <c r="BS280"/>
  <c r="BR280"/>
  <c r="BQ280"/>
  <c r="BP280"/>
  <c r="BO280"/>
  <c r="BN280"/>
  <c r="BM280"/>
  <c r="BL280" s="1"/>
  <c r="BK280"/>
  <c r="BJ280"/>
  <c r="BI280"/>
  <c r="BH280"/>
  <c r="BG280"/>
  <c r="BF280"/>
  <c r="BE280"/>
  <c r="BD280"/>
  <c r="BC280"/>
  <c r="BB280"/>
  <c r="AX280"/>
  <c r="AW280"/>
  <c r="AV280"/>
  <c r="AC280"/>
  <c r="H280"/>
  <c r="G280" s="1"/>
  <c r="BT279"/>
  <c r="BS279"/>
  <c r="BR279"/>
  <c r="BQ279"/>
  <c r="BP279"/>
  <c r="BO279"/>
  <c r="BN279"/>
  <c r="BM279"/>
  <c r="BL279" s="1"/>
  <c r="BK279"/>
  <c r="BJ279"/>
  <c r="BI279"/>
  <c r="BH279"/>
  <c r="BG279"/>
  <c r="BF279"/>
  <c r="BE279"/>
  <c r="BD279"/>
  <c r="BC279"/>
  <c r="BB279"/>
  <c r="AX279"/>
  <c r="AW279"/>
  <c r="AV279"/>
  <c r="AC279"/>
  <c r="H279"/>
  <c r="G279" s="1"/>
  <c r="BT278"/>
  <c r="BS278"/>
  <c r="BR278"/>
  <c r="BQ278"/>
  <c r="BP278"/>
  <c r="BO278"/>
  <c r="BN278"/>
  <c r="BM278"/>
  <c r="BL278" s="1"/>
  <c r="BK278"/>
  <c r="BJ278"/>
  <c r="BI278"/>
  <c r="BH278"/>
  <c r="BG278"/>
  <c r="BF278"/>
  <c r="BE278"/>
  <c r="BD278"/>
  <c r="BC278"/>
  <c r="BB278"/>
  <c r="AX278"/>
  <c r="AW278"/>
  <c r="AV278"/>
  <c r="AC278"/>
  <c r="H278"/>
  <c r="G278" s="1"/>
  <c r="BT277"/>
  <c r="BS277"/>
  <c r="BR277"/>
  <c r="BQ277"/>
  <c r="BP277"/>
  <c r="BO277"/>
  <c r="BN277"/>
  <c r="BM277"/>
  <c r="BK277"/>
  <c r="BJ277"/>
  <c r="BI277"/>
  <c r="BH277"/>
  <c r="BG277"/>
  <c r="BF277"/>
  <c r="BE277"/>
  <c r="BD277"/>
  <c r="BC277"/>
  <c r="BB277"/>
  <c r="BA277"/>
  <c r="AX277"/>
  <c r="AW277"/>
  <c r="AV277"/>
  <c r="AC277"/>
  <c r="H277"/>
  <c r="BT276"/>
  <c r="BS276"/>
  <c r="BR276"/>
  <c r="BQ276"/>
  <c r="BP276"/>
  <c r="BO276"/>
  <c r="BN276"/>
  <c r="BM276"/>
  <c r="BL276"/>
  <c r="BK276"/>
  <c r="BJ276"/>
  <c r="BI276"/>
  <c r="BH276"/>
  <c r="BG276"/>
  <c r="BF276"/>
  <c r="BE276"/>
  <c r="BD276"/>
  <c r="BC276"/>
  <c r="BB276"/>
  <c r="BA276" s="1"/>
  <c r="AZ276" s="1"/>
  <c r="AX276"/>
  <c r="AW276"/>
  <c r="AV276"/>
  <c r="AC276"/>
  <c r="H276"/>
  <c r="G276"/>
  <c r="BT275"/>
  <c r="BS275"/>
  <c r="BR275"/>
  <c r="BQ275"/>
  <c r="BP275"/>
  <c r="BO275"/>
  <c r="BN275"/>
  <c r="BM275"/>
  <c r="BL275" s="1"/>
  <c r="BK275"/>
  <c r="BJ275"/>
  <c r="BI275"/>
  <c r="BH275"/>
  <c r="BG275"/>
  <c r="BF275"/>
  <c r="BE275"/>
  <c r="BD275"/>
  <c r="BC275"/>
  <c r="BB275"/>
  <c r="BA275" s="1"/>
  <c r="AX275"/>
  <c r="AW275"/>
  <c r="AV275"/>
  <c r="AC275"/>
  <c r="H275"/>
  <c r="G275" s="1"/>
  <c r="BT274"/>
  <c r="BS274"/>
  <c r="BR274"/>
  <c r="BQ274"/>
  <c r="BP274"/>
  <c r="BO274"/>
  <c r="BN274"/>
  <c r="BM274"/>
  <c r="BK274"/>
  <c r="BJ274"/>
  <c r="BI274"/>
  <c r="BH274"/>
  <c r="BG274"/>
  <c r="BF274"/>
  <c r="BE274"/>
  <c r="BD274"/>
  <c r="BC274"/>
  <c r="BB274"/>
  <c r="BA274"/>
  <c r="AX274"/>
  <c r="AW274"/>
  <c r="AV274"/>
  <c r="AC274"/>
  <c r="H274"/>
  <c r="BT273"/>
  <c r="BS273"/>
  <c r="BR273"/>
  <c r="BQ273"/>
  <c r="BP273"/>
  <c r="BO273"/>
  <c r="BN273"/>
  <c r="BM273"/>
  <c r="BL273"/>
  <c r="BK273"/>
  <c r="BJ273"/>
  <c r="BI273"/>
  <c r="BH273"/>
  <c r="BG273"/>
  <c r="BF273"/>
  <c r="BE273"/>
  <c r="BD273"/>
  <c r="BC273"/>
  <c r="BB273"/>
  <c r="BA273" s="1"/>
  <c r="AX273"/>
  <c r="AW273"/>
  <c r="AV273"/>
  <c r="AC273"/>
  <c r="H273"/>
  <c r="BT272"/>
  <c r="BS272"/>
  <c r="BR272"/>
  <c r="BQ272"/>
  <c r="BP272"/>
  <c r="BO272"/>
  <c r="BN272"/>
  <c r="BM272"/>
  <c r="BL272"/>
  <c r="BK272"/>
  <c r="BJ272"/>
  <c r="BI272"/>
  <c r="BH272"/>
  <c r="BG272"/>
  <c r="BF272"/>
  <c r="BE272"/>
  <c r="BD272"/>
  <c r="BC272"/>
  <c r="BB272"/>
  <c r="BA272" s="1"/>
  <c r="AZ272" s="1"/>
  <c r="AX272"/>
  <c r="AW272"/>
  <c r="AV272"/>
  <c r="AC272"/>
  <c r="H272"/>
  <c r="G272"/>
  <c r="BT271"/>
  <c r="BS271"/>
  <c r="BR271"/>
  <c r="BQ271"/>
  <c r="BP271"/>
  <c r="BO271"/>
  <c r="BN271"/>
  <c r="BM271"/>
  <c r="BL271" s="1"/>
  <c r="BK271"/>
  <c r="BJ271"/>
  <c r="BI271"/>
  <c r="BH271"/>
  <c r="BG271"/>
  <c r="BF271"/>
  <c r="BE271"/>
  <c r="BD271"/>
  <c r="BC271"/>
  <c r="BB271"/>
  <c r="BA271" s="1"/>
  <c r="AX271"/>
  <c r="AW271"/>
  <c r="AV271"/>
  <c r="AC271"/>
  <c r="H271"/>
  <c r="G271" s="1"/>
  <c r="BT270"/>
  <c r="BS270"/>
  <c r="BR270"/>
  <c r="BQ270"/>
  <c r="BP270"/>
  <c r="BO270"/>
  <c r="BN270"/>
  <c r="BM270"/>
  <c r="BK270"/>
  <c r="BJ270"/>
  <c r="BI270"/>
  <c r="BH270"/>
  <c r="BG270"/>
  <c r="BF270"/>
  <c r="BE270"/>
  <c r="BD270"/>
  <c r="BC270"/>
  <c r="BB270"/>
  <c r="BA270"/>
  <c r="AX270"/>
  <c r="AW270"/>
  <c r="AV270"/>
  <c r="AC270"/>
  <c r="H270"/>
  <c r="BT269"/>
  <c r="BS269"/>
  <c r="BR269"/>
  <c r="BQ269"/>
  <c r="BP269"/>
  <c r="BO269"/>
  <c r="BN269"/>
  <c r="BM269"/>
  <c r="BL269"/>
  <c r="BK269"/>
  <c r="BJ269"/>
  <c r="BI269"/>
  <c r="BH269"/>
  <c r="BG269"/>
  <c r="BF269"/>
  <c r="BE269"/>
  <c r="BD269"/>
  <c r="BC269"/>
  <c r="BB269"/>
  <c r="BA269" s="1"/>
  <c r="AX269"/>
  <c r="AW269"/>
  <c r="AV269"/>
  <c r="AC269"/>
  <c r="H269"/>
  <c r="BT268"/>
  <c r="BS268"/>
  <c r="BR268"/>
  <c r="BQ268"/>
  <c r="BP268"/>
  <c r="BO268"/>
  <c r="BN268"/>
  <c r="BM268"/>
  <c r="BL268"/>
  <c r="BK268"/>
  <c r="BJ268"/>
  <c r="BI268"/>
  <c r="BH268"/>
  <c r="BG268"/>
  <c r="BF268"/>
  <c r="BE268"/>
  <c r="BD268"/>
  <c r="BC268"/>
  <c r="BB268"/>
  <c r="BA268" s="1"/>
  <c r="AX268"/>
  <c r="AW268"/>
  <c r="AV268"/>
  <c r="AC268"/>
  <c r="H268"/>
  <c r="BT267"/>
  <c r="BS267"/>
  <c r="BR267"/>
  <c r="BQ267"/>
  <c r="BP267"/>
  <c r="BO267"/>
  <c r="BN267"/>
  <c r="BM267"/>
  <c r="BL267"/>
  <c r="BK267"/>
  <c r="BJ267"/>
  <c r="BI267"/>
  <c r="BH267"/>
  <c r="BG267"/>
  <c r="BF267"/>
  <c r="BE267"/>
  <c r="BD267"/>
  <c r="BC267"/>
  <c r="BB267"/>
  <c r="BA267" s="1"/>
  <c r="AZ267" s="1"/>
  <c r="AX267"/>
  <c r="AW267"/>
  <c r="AV267"/>
  <c r="AC267"/>
  <c r="H267"/>
  <c r="G267"/>
  <c r="BT266"/>
  <c r="BS266"/>
  <c r="BR266"/>
  <c r="BQ266"/>
  <c r="BP266"/>
  <c r="BO266"/>
  <c r="BN266"/>
  <c r="BM266"/>
  <c r="BL266" s="1"/>
  <c r="BK266"/>
  <c r="BJ266"/>
  <c r="BI266"/>
  <c r="BH266"/>
  <c r="BG266"/>
  <c r="BF266"/>
  <c r="BE266"/>
  <c r="BD266"/>
  <c r="BC266"/>
  <c r="BB266"/>
  <c r="BA266" s="1"/>
  <c r="AX266"/>
  <c r="AW266"/>
  <c r="AV266"/>
  <c r="AC266"/>
  <c r="H266"/>
  <c r="G266" s="1"/>
  <c r="BT265"/>
  <c r="BS265"/>
  <c r="BR265"/>
  <c r="BQ265"/>
  <c r="BP265"/>
  <c r="BO265"/>
  <c r="BN265"/>
  <c r="BM265"/>
  <c r="BL265" s="1"/>
  <c r="BK265"/>
  <c r="BJ265"/>
  <c r="BI265"/>
  <c r="BH265"/>
  <c r="BG265"/>
  <c r="BF265"/>
  <c r="BE265"/>
  <c r="BD265"/>
  <c r="BC265"/>
  <c r="BB265"/>
  <c r="AX265"/>
  <c r="AW265"/>
  <c r="AV265"/>
  <c r="AC265"/>
  <c r="H265"/>
  <c r="G265" s="1"/>
  <c r="BT264"/>
  <c r="BS264"/>
  <c r="BR264"/>
  <c r="BQ264"/>
  <c r="BP264"/>
  <c r="BO264"/>
  <c r="BN264"/>
  <c r="BM264"/>
  <c r="BL264" s="1"/>
  <c r="BK264"/>
  <c r="BJ264"/>
  <c r="BI264"/>
  <c r="BH264"/>
  <c r="BG264"/>
  <c r="BF264"/>
  <c r="BE264"/>
  <c r="BD264"/>
  <c r="BC264"/>
  <c r="BB264"/>
  <c r="AX264"/>
  <c r="AW264"/>
  <c r="AV264"/>
  <c r="AC264"/>
  <c r="H264"/>
  <c r="G264" s="1"/>
  <c r="BT263"/>
  <c r="BS263"/>
  <c r="BR263"/>
  <c r="BQ263"/>
  <c r="BP263"/>
  <c r="BO263"/>
  <c r="BN263"/>
  <c r="BM263"/>
  <c r="BK263"/>
  <c r="BJ263"/>
  <c r="BI263"/>
  <c r="BH263"/>
  <c r="BG263"/>
  <c r="BF263"/>
  <c r="BE263"/>
  <c r="BD263"/>
  <c r="BC263"/>
  <c r="BB263"/>
  <c r="BA263"/>
  <c r="AX263"/>
  <c r="AW263"/>
  <c r="AV263"/>
  <c r="AC263"/>
  <c r="H263"/>
  <c r="G263"/>
  <c r="BT262"/>
  <c r="BS262"/>
  <c r="BR262"/>
  <c r="BQ262"/>
  <c r="BP262"/>
  <c r="BO262"/>
  <c r="BN262"/>
  <c r="BM262"/>
  <c r="BL262" s="1"/>
  <c r="BK262"/>
  <c r="BJ262"/>
  <c r="BI262"/>
  <c r="BH262"/>
  <c r="BG262"/>
  <c r="BF262"/>
  <c r="BE262"/>
  <c r="BD262"/>
  <c r="BC262"/>
  <c r="BB262"/>
  <c r="BA262" s="1"/>
  <c r="AZ262" s="1"/>
  <c r="AX262"/>
  <c r="AW262"/>
  <c r="AV262"/>
  <c r="AC262"/>
  <c r="H262"/>
  <c r="G262" s="1"/>
  <c r="BT261"/>
  <c r="BS261"/>
  <c r="BR261"/>
  <c r="BQ261"/>
  <c r="BP261"/>
  <c r="BO261"/>
  <c r="BN261"/>
  <c r="BM261"/>
  <c r="BL261" s="1"/>
  <c r="BK261"/>
  <c r="BJ261"/>
  <c r="BI261"/>
  <c r="BH261"/>
  <c r="BG261"/>
  <c r="BF261"/>
  <c r="BE261"/>
  <c r="BD261"/>
  <c r="BC261"/>
  <c r="BB261"/>
  <c r="AX261"/>
  <c r="AW261"/>
  <c r="AV261"/>
  <c r="AC261"/>
  <c r="H261"/>
  <c r="G261" s="1"/>
  <c r="BT260"/>
  <c r="BS260"/>
  <c r="BR260"/>
  <c r="BQ260"/>
  <c r="BP260"/>
  <c r="BO260"/>
  <c r="BN260"/>
  <c r="BM260"/>
  <c r="BL260" s="1"/>
  <c r="BK260"/>
  <c r="BJ260"/>
  <c r="BI260"/>
  <c r="BH260"/>
  <c r="BG260"/>
  <c r="BF260"/>
  <c r="BE260"/>
  <c r="BD260"/>
  <c r="BC260"/>
  <c r="BB260"/>
  <c r="AX260"/>
  <c r="AW260"/>
  <c r="AV260"/>
  <c r="AC260"/>
  <c r="H260"/>
  <c r="G260" s="1"/>
  <c r="BT259"/>
  <c r="BS259"/>
  <c r="BR259"/>
  <c r="BQ259"/>
  <c r="BP259"/>
  <c r="BO259"/>
  <c r="BN259"/>
  <c r="BM259"/>
  <c r="BK259"/>
  <c r="BJ259"/>
  <c r="BI259"/>
  <c r="BH259"/>
  <c r="BG259"/>
  <c r="BF259"/>
  <c r="BE259"/>
  <c r="BD259"/>
  <c r="BC259"/>
  <c r="BB259"/>
  <c r="BA259"/>
  <c r="AX259"/>
  <c r="AW259"/>
  <c r="AV259"/>
  <c r="AC259"/>
  <c r="H259"/>
  <c r="G259"/>
  <c r="BT258"/>
  <c r="BS258"/>
  <c r="BR258"/>
  <c r="BQ258"/>
  <c r="BP258"/>
  <c r="BO258"/>
  <c r="BN258"/>
  <c r="BM258"/>
  <c r="BL258" s="1"/>
  <c r="BK258"/>
  <c r="BJ258"/>
  <c r="BI258"/>
  <c r="BH258"/>
  <c r="BG258"/>
  <c r="BF258"/>
  <c r="BE258"/>
  <c r="BD258"/>
  <c r="BC258"/>
  <c r="BB258"/>
  <c r="BA258" s="1"/>
  <c r="AZ258" s="1"/>
  <c r="AX258"/>
  <c r="AW258"/>
  <c r="AV258"/>
  <c r="AC258"/>
  <c r="H258"/>
  <c r="G258" s="1"/>
  <c r="BT257"/>
  <c r="BS257"/>
  <c r="BR257"/>
  <c r="BQ257"/>
  <c r="BP257"/>
  <c r="BO257"/>
  <c r="BN257"/>
  <c r="BM257"/>
  <c r="BL257" s="1"/>
  <c r="BK257"/>
  <c r="BJ257"/>
  <c r="BI257"/>
  <c r="BH257"/>
  <c r="BG257"/>
  <c r="BF257"/>
  <c r="BE257"/>
  <c r="BD257"/>
  <c r="BC257"/>
  <c r="BB257"/>
  <c r="AX257"/>
  <c r="AW257"/>
  <c r="AV257"/>
  <c r="AC257"/>
  <c r="H257"/>
  <c r="G257" s="1"/>
  <c r="BT256"/>
  <c r="BS256"/>
  <c r="BR256"/>
  <c r="BQ256"/>
  <c r="BP256"/>
  <c r="BO256"/>
  <c r="BN256"/>
  <c r="BM256"/>
  <c r="BL256" s="1"/>
  <c r="BK256"/>
  <c r="BJ256"/>
  <c r="BI256"/>
  <c r="BH256"/>
  <c r="BG256"/>
  <c r="BF256"/>
  <c r="BE256"/>
  <c r="BD256"/>
  <c r="BC256"/>
  <c r="BB256"/>
  <c r="AX256"/>
  <c r="AW256"/>
  <c r="AV256"/>
  <c r="AC256"/>
  <c r="H256"/>
  <c r="G256" s="1"/>
  <c r="BT255"/>
  <c r="BS255"/>
  <c r="BR255"/>
  <c r="BQ255"/>
  <c r="BP255"/>
  <c r="BO255"/>
  <c r="BN255"/>
  <c r="BM255"/>
  <c r="BL255" s="1"/>
  <c r="BK255"/>
  <c r="BJ255"/>
  <c r="BI255"/>
  <c r="BH255"/>
  <c r="BG255"/>
  <c r="BF255"/>
  <c r="BE255"/>
  <c r="BD255"/>
  <c r="BC255"/>
  <c r="BB255"/>
  <c r="AX255"/>
  <c r="AW255"/>
  <c r="AV255"/>
  <c r="AC255"/>
  <c r="H255"/>
  <c r="G255" s="1"/>
  <c r="BT254"/>
  <c r="BS254"/>
  <c r="BR254"/>
  <c r="BQ254"/>
  <c r="BP254"/>
  <c r="BO254"/>
  <c r="BN254"/>
  <c r="BM254"/>
  <c r="BK254"/>
  <c r="BJ254"/>
  <c r="BI254"/>
  <c r="BH254"/>
  <c r="BG254"/>
  <c r="BF254"/>
  <c r="BE254"/>
  <c r="BD254"/>
  <c r="BC254"/>
  <c r="BB254"/>
  <c r="BA254"/>
  <c r="AX254"/>
  <c r="AW254"/>
  <c r="AV254"/>
  <c r="AC254"/>
  <c r="H254"/>
  <c r="BT253"/>
  <c r="BS253"/>
  <c r="BR253"/>
  <c r="BQ253"/>
  <c r="BP253"/>
  <c r="BO253"/>
  <c r="BN253"/>
  <c r="BM253"/>
  <c r="BL253"/>
  <c r="BK253"/>
  <c r="BJ253"/>
  <c r="BI253"/>
  <c r="BH253"/>
  <c r="BG253"/>
  <c r="BF253"/>
  <c r="BE253"/>
  <c r="BD253"/>
  <c r="BC253"/>
  <c r="BB253"/>
  <c r="BA253" s="1"/>
  <c r="AX253"/>
  <c r="AW253"/>
  <c r="AV253"/>
  <c r="AC253"/>
  <c r="H253"/>
  <c r="BT252"/>
  <c r="BS252"/>
  <c r="BR252"/>
  <c r="BQ252"/>
  <c r="BP252"/>
  <c r="BO252"/>
  <c r="BN252"/>
  <c r="BM252"/>
  <c r="BL252"/>
  <c r="BK252"/>
  <c r="BJ252"/>
  <c r="BI252"/>
  <c r="BH252"/>
  <c r="BG252"/>
  <c r="BF252"/>
  <c r="BE252"/>
  <c r="BD252"/>
  <c r="BC252"/>
  <c r="BB252"/>
  <c r="BA252" s="1"/>
  <c r="AZ252" s="1"/>
  <c r="AX252"/>
  <c r="AW252"/>
  <c r="AV252"/>
  <c r="AC252"/>
  <c r="H252"/>
  <c r="G252"/>
  <c r="BT251"/>
  <c r="BS251"/>
  <c r="BR251"/>
  <c r="BQ251"/>
  <c r="BP251"/>
  <c r="BO251"/>
  <c r="BN251"/>
  <c r="BM251"/>
  <c r="BL251" s="1"/>
  <c r="BK251"/>
  <c r="BJ251"/>
  <c r="BI251"/>
  <c r="BH251"/>
  <c r="BG251"/>
  <c r="BF251"/>
  <c r="BE251"/>
  <c r="BD251"/>
  <c r="BC251"/>
  <c r="BB251"/>
  <c r="BA251" s="1"/>
  <c r="AX251"/>
  <c r="AW251"/>
  <c r="AV251"/>
  <c r="AC251"/>
  <c r="H251"/>
  <c r="G251" s="1"/>
  <c r="BT250"/>
  <c r="BS250"/>
  <c r="BR250"/>
  <c r="BQ250"/>
  <c r="BP250"/>
  <c r="BO250"/>
  <c r="BN250"/>
  <c r="BM250"/>
  <c r="BK250"/>
  <c r="BJ250"/>
  <c r="BI250"/>
  <c r="BH250"/>
  <c r="BG250"/>
  <c r="BF250"/>
  <c r="BE250"/>
  <c r="BD250"/>
  <c r="BC250"/>
  <c r="BB250"/>
  <c r="BA250"/>
  <c r="AX250"/>
  <c r="AW250"/>
  <c r="AV250"/>
  <c r="AC250"/>
  <c r="H250"/>
  <c r="BT249"/>
  <c r="BS249"/>
  <c r="BR249"/>
  <c r="BQ249"/>
  <c r="BP249"/>
  <c r="BO249"/>
  <c r="BN249"/>
  <c r="BM249"/>
  <c r="BL249"/>
  <c r="BK249"/>
  <c r="BJ249"/>
  <c r="BI249"/>
  <c r="BH249"/>
  <c r="BG249"/>
  <c r="BF249"/>
  <c r="BE249"/>
  <c r="BD249"/>
  <c r="BC249"/>
  <c r="BB249"/>
  <c r="BA249" s="1"/>
  <c r="AX249"/>
  <c r="AW249"/>
  <c r="AV249"/>
  <c r="AC249"/>
  <c r="H249"/>
  <c r="BT248"/>
  <c r="BS248"/>
  <c r="BR248"/>
  <c r="BQ248"/>
  <c r="BP248"/>
  <c r="BO248"/>
  <c r="BN248"/>
  <c r="BM248"/>
  <c r="BL248"/>
  <c r="BK248"/>
  <c r="BJ248"/>
  <c r="BI248"/>
  <c r="BH248"/>
  <c r="BG248"/>
  <c r="BF248"/>
  <c r="BE248"/>
  <c r="BD248"/>
  <c r="BC248"/>
  <c r="BB248"/>
  <c r="BA248" s="1"/>
  <c r="AX248"/>
  <c r="AW248"/>
  <c r="AV248"/>
  <c r="AC248"/>
  <c r="H248"/>
  <c r="BT247"/>
  <c r="BS247"/>
  <c r="BR247"/>
  <c r="BQ247"/>
  <c r="BP247"/>
  <c r="BO247"/>
  <c r="BN247"/>
  <c r="BM247"/>
  <c r="BL247"/>
  <c r="BK247"/>
  <c r="BJ247"/>
  <c r="BI247"/>
  <c r="BH247"/>
  <c r="BG247"/>
  <c r="BF247"/>
  <c r="BE247"/>
  <c r="BD247"/>
  <c r="BC247"/>
  <c r="BB247"/>
  <c r="BA247" s="1"/>
  <c r="AZ247" s="1"/>
  <c r="AX247"/>
  <c r="AW247"/>
  <c r="AV247"/>
  <c r="AC247"/>
  <c r="H247"/>
  <c r="G247"/>
  <c r="BT246"/>
  <c r="BS246"/>
  <c r="BR246"/>
  <c r="BQ246"/>
  <c r="BP246"/>
  <c r="BO246"/>
  <c r="BN246"/>
  <c r="BM246"/>
  <c r="BL246" s="1"/>
  <c r="BK246"/>
  <c r="BJ246"/>
  <c r="BI246"/>
  <c r="BH246"/>
  <c r="BG246"/>
  <c r="BF246"/>
  <c r="BE246"/>
  <c r="BD246"/>
  <c r="BC246"/>
  <c r="BB246"/>
  <c r="BA246" s="1"/>
  <c r="AZ246" s="1"/>
  <c r="AX246"/>
  <c r="AW246"/>
  <c r="AV246"/>
  <c r="AC246"/>
  <c r="H246"/>
  <c r="G246" s="1"/>
  <c r="BT245"/>
  <c r="BS245"/>
  <c r="BR245"/>
  <c r="BQ245"/>
  <c r="BP245"/>
  <c r="BO245"/>
  <c r="BN245"/>
  <c r="BM245"/>
  <c r="BL245" s="1"/>
  <c r="BK245"/>
  <c r="BJ245"/>
  <c r="BI245"/>
  <c r="BH245"/>
  <c r="BG245"/>
  <c r="BF245"/>
  <c r="BE245"/>
  <c r="BD245"/>
  <c r="BC245"/>
  <c r="BB245"/>
  <c r="AX245"/>
  <c r="AW245"/>
  <c r="AV245"/>
  <c r="AC245"/>
  <c r="H245"/>
  <c r="G245" s="1"/>
  <c r="BT244"/>
  <c r="BS244"/>
  <c r="BR244"/>
  <c r="BQ244"/>
  <c r="BP244"/>
  <c r="BO244"/>
  <c r="BN244"/>
  <c r="BM244"/>
  <c r="BL244" s="1"/>
  <c r="BK244"/>
  <c r="BJ244"/>
  <c r="BI244"/>
  <c r="BH244"/>
  <c r="BG244"/>
  <c r="BF244"/>
  <c r="BE244"/>
  <c r="BD244"/>
  <c r="BC244"/>
  <c r="BB244"/>
  <c r="AX244"/>
  <c r="AW244"/>
  <c r="AV244"/>
  <c r="AC244"/>
  <c r="H244"/>
  <c r="G244" s="1"/>
  <c r="BT243"/>
  <c r="BS243"/>
  <c r="BR243"/>
  <c r="BQ243"/>
  <c r="BP243"/>
  <c r="BO243"/>
  <c r="BN243"/>
  <c r="BM243"/>
  <c r="BK243"/>
  <c r="BJ243"/>
  <c r="BI243"/>
  <c r="BH243"/>
  <c r="BG243"/>
  <c r="BF243"/>
  <c r="BE243"/>
  <c r="BD243"/>
  <c r="BC243"/>
  <c r="BB243"/>
  <c r="BA243"/>
  <c r="AX243"/>
  <c r="AW243"/>
  <c r="AV243"/>
  <c r="AC243"/>
  <c r="H243"/>
  <c r="G243"/>
  <c r="BT242"/>
  <c r="BS242"/>
  <c r="BR242"/>
  <c r="BQ242"/>
  <c r="BP242"/>
  <c r="BO242"/>
  <c r="BN242"/>
  <c r="BM242"/>
  <c r="BL242" s="1"/>
  <c r="BK242"/>
  <c r="BJ242"/>
  <c r="BI242"/>
  <c r="BH242"/>
  <c r="BG242"/>
  <c r="BF242"/>
  <c r="BE242"/>
  <c r="BD242"/>
  <c r="BC242"/>
  <c r="BB242"/>
  <c r="BA242" s="1"/>
  <c r="AZ242" s="1"/>
  <c r="AX242"/>
  <c r="AW242"/>
  <c r="AV242"/>
  <c r="AC242"/>
  <c r="H242"/>
  <c r="G242" s="1"/>
  <c r="BT241"/>
  <c r="BS241"/>
  <c r="BR241"/>
  <c r="BQ241"/>
  <c r="BP241"/>
  <c r="BO241"/>
  <c r="BN241"/>
  <c r="BM241"/>
  <c r="BL241" s="1"/>
  <c r="BK241"/>
  <c r="BJ241"/>
  <c r="BI241"/>
  <c r="BH241"/>
  <c r="BG241"/>
  <c r="BF241"/>
  <c r="BE241"/>
  <c r="BD241"/>
  <c r="BC241"/>
  <c r="BB241"/>
  <c r="AX241"/>
  <c r="AW241"/>
  <c r="AV241"/>
  <c r="AC241"/>
  <c r="H241"/>
  <c r="G241" s="1"/>
  <c r="BT240"/>
  <c r="BS240"/>
  <c r="BR240"/>
  <c r="BQ240"/>
  <c r="BP240"/>
  <c r="BO240"/>
  <c r="BN240"/>
  <c r="BM240"/>
  <c r="BL240" s="1"/>
  <c r="BK240"/>
  <c r="BJ240"/>
  <c r="BI240"/>
  <c r="BH240"/>
  <c r="BG240"/>
  <c r="BF240"/>
  <c r="BE240"/>
  <c r="BD240"/>
  <c r="BC240"/>
  <c r="BB240"/>
  <c r="AX240"/>
  <c r="AW240"/>
  <c r="AV240"/>
  <c r="AC240"/>
  <c r="H240"/>
  <c r="G240" s="1"/>
  <c r="BT239"/>
  <c r="BS239"/>
  <c r="BR239"/>
  <c r="BQ239"/>
  <c r="BP239"/>
  <c r="BO239"/>
  <c r="BN239"/>
  <c r="BM239"/>
  <c r="BL239" s="1"/>
  <c r="BK239"/>
  <c r="BJ239"/>
  <c r="BI239"/>
  <c r="BH239"/>
  <c r="BG239"/>
  <c r="BF239"/>
  <c r="BE239"/>
  <c r="BD239"/>
  <c r="BC239"/>
  <c r="BB239"/>
  <c r="AX239"/>
  <c r="AW239"/>
  <c r="AV239"/>
  <c r="AC239"/>
  <c r="H239"/>
  <c r="G239" s="1"/>
  <c r="BT238"/>
  <c r="BS238"/>
  <c r="BR238"/>
  <c r="BQ238"/>
  <c r="BP238"/>
  <c r="BO238"/>
  <c r="BN238"/>
  <c r="BM238"/>
  <c r="BK238"/>
  <c r="BJ238"/>
  <c r="BI238"/>
  <c r="BH238"/>
  <c r="BG238"/>
  <c r="BF238"/>
  <c r="BE238"/>
  <c r="BD238"/>
  <c r="BC238"/>
  <c r="BB238"/>
  <c r="BA238"/>
  <c r="AX238"/>
  <c r="AW238"/>
  <c r="AV238"/>
  <c r="AC238"/>
  <c r="H238"/>
  <c r="BT237"/>
  <c r="BS237"/>
  <c r="BR237"/>
  <c r="BQ237"/>
  <c r="BP237"/>
  <c r="BO237"/>
  <c r="BN237"/>
  <c r="BM237"/>
  <c r="BL237"/>
  <c r="BK237"/>
  <c r="BJ237"/>
  <c r="BI237"/>
  <c r="BH237"/>
  <c r="BG237"/>
  <c r="BF237"/>
  <c r="BE237"/>
  <c r="BD237"/>
  <c r="BC237"/>
  <c r="BB237"/>
  <c r="BA237" s="1"/>
  <c r="AX237"/>
  <c r="AW237"/>
  <c r="AV237"/>
  <c r="AC237"/>
  <c r="H237"/>
  <c r="BT236"/>
  <c r="BS236"/>
  <c r="BR236"/>
  <c r="BQ236"/>
  <c r="BP236"/>
  <c r="BO236"/>
  <c r="BN236"/>
  <c r="BM236"/>
  <c r="BL236"/>
  <c r="BK236"/>
  <c r="BJ236"/>
  <c r="BI236"/>
  <c r="BH236"/>
  <c r="BG236"/>
  <c r="BF236"/>
  <c r="BE236"/>
  <c r="BD236"/>
  <c r="BC236"/>
  <c r="BB236"/>
  <c r="BA236" s="1"/>
  <c r="AZ236" s="1"/>
  <c r="AX236"/>
  <c r="AW236"/>
  <c r="AV236"/>
  <c r="AC236"/>
  <c r="H236"/>
  <c r="G236"/>
  <c r="BT235"/>
  <c r="BS235"/>
  <c r="BR235"/>
  <c r="BQ235"/>
  <c r="BP235"/>
  <c r="BO235"/>
  <c r="BN235"/>
  <c r="BM235"/>
  <c r="BL235" s="1"/>
  <c r="BK235"/>
  <c r="BJ235"/>
  <c r="BI235"/>
  <c r="BH235"/>
  <c r="BG235"/>
  <c r="BF235"/>
  <c r="BE235"/>
  <c r="BD235"/>
  <c r="BC235"/>
  <c r="BB235"/>
  <c r="BA235" s="1"/>
  <c r="AX235"/>
  <c r="AW235"/>
  <c r="AV235"/>
  <c r="AC235"/>
  <c r="H235"/>
  <c r="G235" s="1"/>
  <c r="BT234"/>
  <c r="BS234"/>
  <c r="BR234"/>
  <c r="BQ234"/>
  <c r="BP234"/>
  <c r="BO234"/>
  <c r="BN234"/>
  <c r="BM234"/>
  <c r="BK234"/>
  <c r="BJ234"/>
  <c r="BI234"/>
  <c r="BH234"/>
  <c r="BG234"/>
  <c r="BF234"/>
  <c r="BE234"/>
  <c r="BD234"/>
  <c r="BC234"/>
  <c r="BB234"/>
  <c r="BA234"/>
  <c r="AX234"/>
  <c r="AW234"/>
  <c r="AV234"/>
  <c r="AC234"/>
  <c r="H234"/>
  <c r="BT233"/>
  <c r="BS233"/>
  <c r="BR233"/>
  <c r="BQ233"/>
  <c r="BP233"/>
  <c r="BO233"/>
  <c r="BN233"/>
  <c r="BM233"/>
  <c r="BL233"/>
  <c r="BK233"/>
  <c r="BJ233"/>
  <c r="BI233"/>
  <c r="BH233"/>
  <c r="BG233"/>
  <c r="BF233"/>
  <c r="BE233"/>
  <c r="BD233"/>
  <c r="BC233"/>
  <c r="BB233"/>
  <c r="BA233" s="1"/>
  <c r="AX233"/>
  <c r="AW233"/>
  <c r="AV233"/>
  <c r="AC233"/>
  <c r="H233"/>
  <c r="BT232"/>
  <c r="BS232"/>
  <c r="BR232"/>
  <c r="BQ232"/>
  <c r="BP232"/>
  <c r="BO232"/>
  <c r="BN232"/>
  <c r="BM232"/>
  <c r="BL232"/>
  <c r="BK232"/>
  <c r="BJ232"/>
  <c r="BI232"/>
  <c r="BH232"/>
  <c r="BG232"/>
  <c r="BF232"/>
  <c r="BE232"/>
  <c r="BD232"/>
  <c r="BC232"/>
  <c r="BB232"/>
  <c r="BA232" s="1"/>
  <c r="AX232"/>
  <c r="AW232"/>
  <c r="AV232"/>
  <c r="AC232"/>
  <c r="H232"/>
  <c r="BT231"/>
  <c r="BS231"/>
  <c r="BR231"/>
  <c r="BQ231"/>
  <c r="BP231"/>
  <c r="BO231"/>
  <c r="BN231"/>
  <c r="BM231"/>
  <c r="BL231"/>
  <c r="BK231"/>
  <c r="BJ231"/>
  <c r="BI231"/>
  <c r="BH231"/>
  <c r="BG231"/>
  <c r="BF231"/>
  <c r="BE231"/>
  <c r="BD231"/>
  <c r="BC231"/>
  <c r="BB231"/>
  <c r="BA231" s="1"/>
  <c r="AZ231" s="1"/>
  <c r="AX231"/>
  <c r="AW231"/>
  <c r="AV231"/>
  <c r="AC231"/>
  <c r="H231"/>
  <c r="G231"/>
  <c r="BT230"/>
  <c r="BS230"/>
  <c r="BR230"/>
  <c r="BQ230"/>
  <c r="BP230"/>
  <c r="BO230"/>
  <c r="BN230"/>
  <c r="BM230"/>
  <c r="BL230" s="1"/>
  <c r="BK230"/>
  <c r="BJ230"/>
  <c r="BI230"/>
  <c r="BH230"/>
  <c r="BG230"/>
  <c r="BF230"/>
  <c r="BE230"/>
  <c r="BD230"/>
  <c r="BC230"/>
  <c r="BB230"/>
  <c r="BA230" s="1"/>
  <c r="AZ230" s="1"/>
  <c r="AX230"/>
  <c r="AW230"/>
  <c r="AV230"/>
  <c r="AC230"/>
  <c r="H230"/>
  <c r="G230" s="1"/>
  <c r="BT229"/>
  <c r="BS229"/>
  <c r="BR229"/>
  <c r="BQ229"/>
  <c r="BP229"/>
  <c r="BO229"/>
  <c r="BN229"/>
  <c r="BM229"/>
  <c r="BL229" s="1"/>
  <c r="BK229"/>
  <c r="BJ229"/>
  <c r="BI229"/>
  <c r="BH229"/>
  <c r="BG229"/>
  <c r="BF229"/>
  <c r="BE229"/>
  <c r="BD229"/>
  <c r="BC229"/>
  <c r="BB229"/>
  <c r="AX229"/>
  <c r="AW229"/>
  <c r="AV229"/>
  <c r="AC229"/>
  <c r="H229"/>
  <c r="G229" s="1"/>
  <c r="BT228"/>
  <c r="BS228"/>
  <c r="BR228"/>
  <c r="BQ228"/>
  <c r="BP228"/>
  <c r="BO228"/>
  <c r="BN228"/>
  <c r="BM228"/>
  <c r="BL228" s="1"/>
  <c r="BK228"/>
  <c r="BJ228"/>
  <c r="BI228"/>
  <c r="BH228"/>
  <c r="BG228"/>
  <c r="BF228"/>
  <c r="BE228"/>
  <c r="BD228"/>
  <c r="BC228"/>
  <c r="BB228"/>
  <c r="AX228"/>
  <c r="AW228"/>
  <c r="AV228"/>
  <c r="AC228"/>
  <c r="H228"/>
  <c r="G228" s="1"/>
  <c r="BT227"/>
  <c r="BS227"/>
  <c r="BR227"/>
  <c r="BQ227"/>
  <c r="BP227"/>
  <c r="BO227"/>
  <c r="BN227"/>
  <c r="BM227"/>
  <c r="BK227"/>
  <c r="BJ227"/>
  <c r="BI227"/>
  <c r="BH227"/>
  <c r="BG227"/>
  <c r="BF227"/>
  <c r="BE227"/>
  <c r="BD227"/>
  <c r="BC227"/>
  <c r="BB227"/>
  <c r="BA227"/>
  <c r="AX227"/>
  <c r="AW227"/>
  <c r="AV227"/>
  <c r="AC227"/>
  <c r="H227"/>
  <c r="G227"/>
  <c r="BT226"/>
  <c r="BS226"/>
  <c r="BR226"/>
  <c r="BQ226"/>
  <c r="BP226"/>
  <c r="BO226"/>
  <c r="BN226"/>
  <c r="BM226"/>
  <c r="BL226" s="1"/>
  <c r="BK226"/>
  <c r="BJ226"/>
  <c r="BI226"/>
  <c r="BH226"/>
  <c r="BG226"/>
  <c r="BF226"/>
  <c r="BE226"/>
  <c r="BD226"/>
  <c r="BC226"/>
  <c r="BB226"/>
  <c r="BA226" s="1"/>
  <c r="AZ226" s="1"/>
  <c r="AX226"/>
  <c r="AW226"/>
  <c r="AV226"/>
  <c r="AC226"/>
  <c r="H226"/>
  <c r="G226" s="1"/>
  <c r="BT225"/>
  <c r="BS225"/>
  <c r="BR225"/>
  <c r="BQ225"/>
  <c r="BP225"/>
  <c r="BO225"/>
  <c r="BN225"/>
  <c r="BM225"/>
  <c r="BL225" s="1"/>
  <c r="BK225"/>
  <c r="BJ225"/>
  <c r="BI225"/>
  <c r="BH225"/>
  <c r="BG225"/>
  <c r="BF225"/>
  <c r="BE225"/>
  <c r="BD225"/>
  <c r="BC225"/>
  <c r="BB225"/>
  <c r="AX225"/>
  <c r="AW225"/>
  <c r="AV225"/>
  <c r="AC225"/>
  <c r="H225"/>
  <c r="G225" s="1"/>
  <c r="BT224"/>
  <c r="BS224"/>
  <c r="BR224"/>
  <c r="BQ224"/>
  <c r="BP224"/>
  <c r="BO224"/>
  <c r="BN224"/>
  <c r="BM224"/>
  <c r="BK224"/>
  <c r="BJ224"/>
  <c r="BI224"/>
  <c r="BH224"/>
  <c r="BG224"/>
  <c r="BF224"/>
  <c r="BE224"/>
  <c r="BD224"/>
  <c r="BC224"/>
  <c r="BB224"/>
  <c r="BA224"/>
  <c r="AX224"/>
  <c r="AW224"/>
  <c r="AV224"/>
  <c r="AC224"/>
  <c r="H224"/>
  <c r="BT223"/>
  <c r="BS223"/>
  <c r="BR223"/>
  <c r="BQ223"/>
  <c r="BP223"/>
  <c r="BO223"/>
  <c r="BN223"/>
  <c r="BM223"/>
  <c r="BL223"/>
  <c r="BK223"/>
  <c r="BJ223"/>
  <c r="BI223"/>
  <c r="BH223"/>
  <c r="BG223"/>
  <c r="BF223"/>
  <c r="BE223"/>
  <c r="BD223"/>
  <c r="BC223"/>
  <c r="BB223"/>
  <c r="BA223" s="1"/>
  <c r="AX223"/>
  <c r="AW223"/>
  <c r="AV223"/>
  <c r="AC223"/>
  <c r="H223"/>
  <c r="BT222"/>
  <c r="BS222"/>
  <c r="BR222"/>
  <c r="BQ222"/>
  <c r="BP222"/>
  <c r="BO222"/>
  <c r="BN222"/>
  <c r="BM222"/>
  <c r="BL222"/>
  <c r="BK222"/>
  <c r="BJ222"/>
  <c r="BI222"/>
  <c r="BH222"/>
  <c r="BG222"/>
  <c r="BF222"/>
  <c r="BE222"/>
  <c r="BD222"/>
  <c r="BC222"/>
  <c r="BB222"/>
  <c r="BA222" s="1"/>
  <c r="AX222"/>
  <c r="AW222"/>
  <c r="AV222"/>
  <c r="AC222"/>
  <c r="H222"/>
  <c r="BT221"/>
  <c r="BS221"/>
  <c r="BR221"/>
  <c r="BQ221"/>
  <c r="BP221"/>
  <c r="BO221"/>
  <c r="BN221"/>
  <c r="BM221"/>
  <c r="BL221"/>
  <c r="BK221"/>
  <c r="BJ221"/>
  <c r="BI221"/>
  <c r="BH221"/>
  <c r="BG221"/>
  <c r="BF221"/>
  <c r="BE221"/>
  <c r="BD221"/>
  <c r="BC221"/>
  <c r="BB221"/>
  <c r="BA221" s="1"/>
  <c r="AZ221" s="1"/>
  <c r="AX221"/>
  <c r="AW221"/>
  <c r="AV221"/>
  <c r="AC221"/>
  <c r="H221"/>
  <c r="G221"/>
  <c r="BT220"/>
  <c r="BS220"/>
  <c r="BR220"/>
  <c r="BQ220"/>
  <c r="BP220"/>
  <c r="BO220"/>
  <c r="BN220"/>
  <c r="BM220"/>
  <c r="BL220" s="1"/>
  <c r="BK220"/>
  <c r="BJ220"/>
  <c r="BI220"/>
  <c r="BH220"/>
  <c r="BG220"/>
  <c r="BF220"/>
  <c r="BE220"/>
  <c r="BD220"/>
  <c r="BC220"/>
  <c r="BB220"/>
  <c r="BA220" s="1"/>
  <c r="AZ220" s="1"/>
  <c r="AX220"/>
  <c r="AW220"/>
  <c r="AV220"/>
  <c r="AC220"/>
  <c r="H220"/>
  <c r="G220" s="1"/>
  <c r="BT219"/>
  <c r="BS219"/>
  <c r="BR219"/>
  <c r="BQ219"/>
  <c r="BP219"/>
  <c r="BO219"/>
  <c r="BN219"/>
  <c r="BM219"/>
  <c r="BL219" s="1"/>
  <c r="BK219"/>
  <c r="BJ219"/>
  <c r="BI219"/>
  <c r="BH219"/>
  <c r="BG219"/>
  <c r="BF219"/>
  <c r="BE219"/>
  <c r="BD219"/>
  <c r="BC219"/>
  <c r="BB219"/>
  <c r="AX219"/>
  <c r="AW219"/>
  <c r="AV219"/>
  <c r="AC219"/>
  <c r="H219"/>
  <c r="G219" s="1"/>
  <c r="BT218"/>
  <c r="BS218"/>
  <c r="BR218"/>
  <c r="BQ218"/>
  <c r="BP218"/>
  <c r="BO218"/>
  <c r="BN218"/>
  <c r="BM218"/>
  <c r="BK218"/>
  <c r="BJ218"/>
  <c r="BI218"/>
  <c r="BH218"/>
  <c r="BG218"/>
  <c r="BF218"/>
  <c r="BE218"/>
  <c r="BD218"/>
  <c r="BC218"/>
  <c r="BB218"/>
  <c r="BA218"/>
  <c r="AX218"/>
  <c r="AW218"/>
  <c r="AV218"/>
  <c r="AC218"/>
  <c r="H218"/>
  <c r="G218"/>
  <c r="BT217"/>
  <c r="BS217"/>
  <c r="BR217"/>
  <c r="BQ217"/>
  <c r="BP217"/>
  <c r="BO217"/>
  <c r="BN217"/>
  <c r="BM217"/>
  <c r="BL217" s="1"/>
  <c r="BK217"/>
  <c r="BJ217"/>
  <c r="BI217"/>
  <c r="BH217"/>
  <c r="BG217"/>
  <c r="BF217"/>
  <c r="BE217"/>
  <c r="BD217"/>
  <c r="BC217"/>
  <c r="BB217"/>
  <c r="BA217" s="1"/>
  <c r="AZ217" s="1"/>
  <c r="AX217"/>
  <c r="AW217"/>
  <c r="AV217"/>
  <c r="AC217"/>
  <c r="H217"/>
  <c r="G217" s="1"/>
  <c r="BT216"/>
  <c r="BS216"/>
  <c r="BR216"/>
  <c r="BQ216"/>
  <c r="BP216"/>
  <c r="BO216"/>
  <c r="BN216"/>
  <c r="BM216"/>
  <c r="BL216" s="1"/>
  <c r="BK216"/>
  <c r="BJ216"/>
  <c r="BI216"/>
  <c r="BH216"/>
  <c r="BG216"/>
  <c r="BF216"/>
  <c r="BE216"/>
  <c r="BD216"/>
  <c r="BC216"/>
  <c r="BB216"/>
  <c r="AX216"/>
  <c r="AW216"/>
  <c r="AV216"/>
  <c r="AC216"/>
  <c r="H216"/>
  <c r="G216" s="1"/>
  <c r="BT215"/>
  <c r="BS215"/>
  <c r="BR215"/>
  <c r="BQ215"/>
  <c r="BP215"/>
  <c r="BO215"/>
  <c r="BN215"/>
  <c r="BM215"/>
  <c r="BK215"/>
  <c r="BJ215"/>
  <c r="BI215"/>
  <c r="BH215"/>
  <c r="BG215"/>
  <c r="BF215"/>
  <c r="BE215"/>
  <c r="BD215"/>
  <c r="BC215"/>
  <c r="BB215"/>
  <c r="BA215"/>
  <c r="AX215"/>
  <c r="AW215"/>
  <c r="AV215"/>
  <c r="AC215"/>
  <c r="H215"/>
  <c r="G215"/>
  <c r="BT214"/>
  <c r="BS214"/>
  <c r="BR214"/>
  <c r="BQ214"/>
  <c r="BP214"/>
  <c r="BO214"/>
  <c r="BN214"/>
  <c r="BM214"/>
  <c r="BL214" s="1"/>
  <c r="BK214"/>
  <c r="BJ214"/>
  <c r="BI214"/>
  <c r="BH214"/>
  <c r="BG214"/>
  <c r="BF214"/>
  <c r="BE214"/>
  <c r="BD214"/>
  <c r="BC214"/>
  <c r="BB214"/>
  <c r="BA214" s="1"/>
  <c r="AX214"/>
  <c r="AW214"/>
  <c r="AV214"/>
  <c r="AC214"/>
  <c r="H214"/>
  <c r="G214" s="1"/>
  <c r="BT213"/>
  <c r="BS213"/>
  <c r="BR213"/>
  <c r="BQ213"/>
  <c r="BP213"/>
  <c r="BO213"/>
  <c r="BN213"/>
  <c r="BM213"/>
  <c r="BK213"/>
  <c r="BJ213"/>
  <c r="BI213"/>
  <c r="BH213"/>
  <c r="BG213"/>
  <c r="BF213"/>
  <c r="BE213"/>
  <c r="BD213"/>
  <c r="BC213"/>
  <c r="BB213"/>
  <c r="BA213"/>
  <c r="AX213"/>
  <c r="AW213"/>
  <c r="AV213"/>
  <c r="AC213"/>
  <c r="H213"/>
  <c r="BT212"/>
  <c r="BS212"/>
  <c r="BR212"/>
  <c r="BQ212"/>
  <c r="BP212"/>
  <c r="BO212"/>
  <c r="BN212"/>
  <c r="BM212"/>
  <c r="BL212"/>
  <c r="BK212"/>
  <c r="BJ212"/>
  <c r="BI212"/>
  <c r="BH212"/>
  <c r="BG212"/>
  <c r="BF212"/>
  <c r="BE212"/>
  <c r="BD212"/>
  <c r="BC212"/>
  <c r="BB212"/>
  <c r="BA212" s="1"/>
  <c r="AZ212" s="1"/>
  <c r="AX212"/>
  <c r="AW212"/>
  <c r="AV212"/>
  <c r="AC212"/>
  <c r="H212"/>
  <c r="G212"/>
  <c r="BT211"/>
  <c r="BS211"/>
  <c r="BR211"/>
  <c r="BQ211"/>
  <c r="BP211"/>
  <c r="BO211"/>
  <c r="BN211"/>
  <c r="BM211"/>
  <c r="BL211" s="1"/>
  <c r="BK211"/>
  <c r="BJ211"/>
  <c r="BI211"/>
  <c r="BH211"/>
  <c r="BG211"/>
  <c r="BF211"/>
  <c r="BE211"/>
  <c r="BD211"/>
  <c r="BC211"/>
  <c r="BB211"/>
  <c r="BA211" s="1"/>
  <c r="AZ211" s="1"/>
  <c r="AX211"/>
  <c r="AW211"/>
  <c r="AV211"/>
  <c r="AC211"/>
  <c r="H211"/>
  <c r="G211" s="1"/>
  <c r="BT210"/>
  <c r="BS210"/>
  <c r="BR210"/>
  <c r="BQ210"/>
  <c r="BP210"/>
  <c r="BO210"/>
  <c r="BN210"/>
  <c r="BM210"/>
  <c r="BL210" s="1"/>
  <c r="BK210"/>
  <c r="BJ210"/>
  <c r="BI210"/>
  <c r="BH210"/>
  <c r="BG210"/>
  <c r="BF210"/>
  <c r="BE210"/>
  <c r="BD210"/>
  <c r="BC210"/>
  <c r="BB210"/>
  <c r="AX210"/>
  <c r="AW210"/>
  <c r="AV210"/>
  <c r="AC210"/>
  <c r="H210"/>
  <c r="G210" s="1"/>
  <c r="BT209"/>
  <c r="BS209"/>
  <c r="BR209"/>
  <c r="BQ209"/>
  <c r="BP209"/>
  <c r="BO209"/>
  <c r="BN209"/>
  <c r="BM209"/>
  <c r="BK209"/>
  <c r="BJ209"/>
  <c r="BI209"/>
  <c r="BH209"/>
  <c r="BG209"/>
  <c r="BF209"/>
  <c r="BE209"/>
  <c r="BD209"/>
  <c r="BC209"/>
  <c r="BB209"/>
  <c r="BA209"/>
  <c r="AX209"/>
  <c r="AW209"/>
  <c r="AV209"/>
  <c r="AC209"/>
  <c r="H209"/>
  <c r="G209"/>
  <c r="BT208"/>
  <c r="BS208"/>
  <c r="BR208"/>
  <c r="BQ208"/>
  <c r="BP208"/>
  <c r="BO208"/>
  <c r="BN208"/>
  <c r="BM208"/>
  <c r="BL208" s="1"/>
  <c r="BK208"/>
  <c r="BJ208"/>
  <c r="BI208"/>
  <c r="BH208"/>
  <c r="BG208"/>
  <c r="BF208"/>
  <c r="BE208"/>
  <c r="BD208"/>
  <c r="BC208"/>
  <c r="BB208"/>
  <c r="BA208" s="1"/>
  <c r="AZ208" s="1"/>
  <c r="AX208"/>
  <c r="AW208"/>
  <c r="AV208"/>
  <c r="AC208"/>
  <c r="H208"/>
  <c r="G208" s="1"/>
  <c r="BT397"/>
  <c r="BS397"/>
  <c r="BR397"/>
  <c r="BQ397"/>
  <c r="BP397"/>
  <c r="BO397"/>
  <c r="BN397"/>
  <c r="BM397"/>
  <c r="BL397" s="1"/>
  <c r="BK397"/>
  <c r="BJ397"/>
  <c r="BI397"/>
  <c r="BH397"/>
  <c r="BG397"/>
  <c r="BF397"/>
  <c r="BE397"/>
  <c r="BD397"/>
  <c r="BC397"/>
  <c r="BB397"/>
  <c r="AX397"/>
  <c r="AW397"/>
  <c r="AV397"/>
  <c r="AC397"/>
  <c r="H397"/>
  <c r="G397" s="1"/>
  <c r="BT396"/>
  <c r="BS396"/>
  <c r="BR396"/>
  <c r="BQ396"/>
  <c r="BP396"/>
  <c r="BO396"/>
  <c r="BN396"/>
  <c r="BM396"/>
  <c r="BK396"/>
  <c r="BJ396"/>
  <c r="BI396"/>
  <c r="BH396"/>
  <c r="BG396"/>
  <c r="BF396"/>
  <c r="BE396"/>
  <c r="BD396"/>
  <c r="BC396"/>
  <c r="BB396"/>
  <c r="BA396"/>
  <c r="AX396"/>
  <c r="AW396"/>
  <c r="AV396"/>
  <c r="AC396"/>
  <c r="H396"/>
  <c r="G396"/>
  <c r="BT395"/>
  <c r="BS395"/>
  <c r="BR395"/>
  <c r="BQ395"/>
  <c r="BP395"/>
  <c r="BO395"/>
  <c r="BN395"/>
  <c r="BM395"/>
  <c r="BL395" s="1"/>
  <c r="BK395"/>
  <c r="BJ395"/>
  <c r="BI395"/>
  <c r="BH395"/>
  <c r="BG395"/>
  <c r="BF395"/>
  <c r="BE395"/>
  <c r="BD395"/>
  <c r="BC395"/>
  <c r="BB395"/>
  <c r="BA395" s="1"/>
  <c r="AZ395" s="1"/>
  <c r="AX395"/>
  <c r="AW395"/>
  <c r="AV395"/>
  <c r="AC395"/>
  <c r="H395"/>
  <c r="G395" s="1"/>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BA392" s="1"/>
  <c r="AX392"/>
  <c r="AW392"/>
  <c r="AV392"/>
  <c r="AC392"/>
  <c r="H392"/>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BA388" s="1"/>
  <c r="AX388"/>
  <c r="AW388"/>
  <c r="AV388"/>
  <c r="AC388"/>
  <c r="H388"/>
  <c r="BT387"/>
  <c r="BS387"/>
  <c r="BR387"/>
  <c r="BQ387"/>
  <c r="BP387"/>
  <c r="BO387"/>
  <c r="BN387"/>
  <c r="BM387"/>
  <c r="BK387"/>
  <c r="BJ387"/>
  <c r="BI387"/>
  <c r="BH387"/>
  <c r="BG387"/>
  <c r="BF387"/>
  <c r="BE387"/>
  <c r="BD387"/>
  <c r="BC387"/>
  <c r="BB387"/>
  <c r="AX387"/>
  <c r="AW387"/>
  <c r="AV387"/>
  <c r="AC387"/>
  <c r="H387"/>
  <c r="G387" s="1"/>
  <c r="BT386"/>
  <c r="BS386"/>
  <c r="BR386"/>
  <c r="BQ386"/>
  <c r="BP386"/>
  <c r="BO386"/>
  <c r="BN386"/>
  <c r="BM386"/>
  <c r="BK386"/>
  <c r="BJ386"/>
  <c r="BI386"/>
  <c r="BH386"/>
  <c r="BG386"/>
  <c r="BF386"/>
  <c r="BE386"/>
  <c r="BD386"/>
  <c r="BC386"/>
  <c r="BB386"/>
  <c r="BA386"/>
  <c r="AX386"/>
  <c r="AW386"/>
  <c r="AV386"/>
  <c r="AC386"/>
  <c r="H386"/>
  <c r="BT385"/>
  <c r="BS385"/>
  <c r="BR385"/>
  <c r="BQ385"/>
  <c r="BP385"/>
  <c r="BO385"/>
  <c r="BN385"/>
  <c r="BM385"/>
  <c r="BL385"/>
  <c r="BK385"/>
  <c r="BJ385"/>
  <c r="BI385"/>
  <c r="BH385"/>
  <c r="BG385"/>
  <c r="BF385"/>
  <c r="BE385"/>
  <c r="BD385"/>
  <c r="BC385"/>
  <c r="BB385"/>
  <c r="BA385" s="1"/>
  <c r="AZ385" s="1"/>
  <c r="AX385"/>
  <c r="AW385"/>
  <c r="AV385"/>
  <c r="AC385"/>
  <c r="H385"/>
  <c r="BT384"/>
  <c r="BS384"/>
  <c r="BR384"/>
  <c r="BQ384"/>
  <c r="BP384"/>
  <c r="BO384"/>
  <c r="BN384"/>
  <c r="BM384"/>
  <c r="BK384"/>
  <c r="BJ384"/>
  <c r="BI384"/>
  <c r="BH384"/>
  <c r="BG384"/>
  <c r="BF384"/>
  <c r="BE384"/>
  <c r="BD384"/>
  <c r="BC384"/>
  <c r="BB384"/>
  <c r="BA384"/>
  <c r="AX384"/>
  <c r="AW384"/>
  <c r="AV384"/>
  <c r="AC384"/>
  <c r="H384"/>
  <c r="G384"/>
  <c r="BT383"/>
  <c r="BS383"/>
  <c r="BR383"/>
  <c r="BQ383"/>
  <c r="BP383"/>
  <c r="BO383"/>
  <c r="BN383"/>
  <c r="BM383"/>
  <c r="BL383" s="1"/>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s="1"/>
  <c r="BT381"/>
  <c r="BS381"/>
  <c r="BR381"/>
  <c r="BQ381"/>
  <c r="BP381"/>
  <c r="BO381"/>
  <c r="BN381"/>
  <c r="BM38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G378" s="1"/>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L375" s="1"/>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s="1"/>
  <c r="AX374"/>
  <c r="AW374"/>
  <c r="AV374"/>
  <c r="AC374"/>
  <c r="H374"/>
  <c r="G374" s="1"/>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s="1"/>
  <c r="AX370"/>
  <c r="AW370"/>
  <c r="AV370"/>
  <c r="AC370"/>
  <c r="H370"/>
  <c r="BT369"/>
  <c r="BS369"/>
  <c r="BR369"/>
  <c r="BQ369"/>
  <c r="BP369"/>
  <c r="BO369"/>
  <c r="BN369"/>
  <c r="BM369"/>
  <c r="BK369"/>
  <c r="BJ369"/>
  <c r="BI369"/>
  <c r="BH369"/>
  <c r="BG369"/>
  <c r="BF369"/>
  <c r="BE369"/>
  <c r="BD369"/>
  <c r="BC369"/>
  <c r="BB369"/>
  <c r="AX369"/>
  <c r="AW369"/>
  <c r="AV369"/>
  <c r="AC369"/>
  <c r="H369"/>
  <c r="BT368"/>
  <c r="BS368"/>
  <c r="BR368"/>
  <c r="BQ368"/>
  <c r="BP368"/>
  <c r="BO368"/>
  <c r="BN368"/>
  <c r="BM368"/>
  <c r="BL368"/>
  <c r="BK368"/>
  <c r="BJ368"/>
  <c r="BI368"/>
  <c r="BH368"/>
  <c r="BG368"/>
  <c r="BF368"/>
  <c r="BE368"/>
  <c r="BD368"/>
  <c r="BC368"/>
  <c r="BB368"/>
  <c r="BA368" s="1"/>
  <c r="AX368"/>
  <c r="AW368"/>
  <c r="AV368"/>
  <c r="AC368"/>
  <c r="H368"/>
  <c r="BT367"/>
  <c r="BS367"/>
  <c r="BR367"/>
  <c r="BQ367"/>
  <c r="BP367"/>
  <c r="BO367"/>
  <c r="BN367"/>
  <c r="BM367"/>
  <c r="BK367"/>
  <c r="BJ367"/>
  <c r="BI367"/>
  <c r="BH367"/>
  <c r="BG367"/>
  <c r="BF367"/>
  <c r="BE367"/>
  <c r="BD367"/>
  <c r="BC367"/>
  <c r="BB367"/>
  <c r="BA367"/>
  <c r="AX367"/>
  <c r="AW367"/>
  <c r="AV367"/>
  <c r="AC367"/>
  <c r="H367"/>
  <c r="BT366"/>
  <c r="BS366"/>
  <c r="BR366"/>
  <c r="BQ366"/>
  <c r="BP366"/>
  <c r="BO366"/>
  <c r="BN366"/>
  <c r="BM366"/>
  <c r="BK366"/>
  <c r="BJ366"/>
  <c r="BI366"/>
  <c r="BH366"/>
  <c r="BG366"/>
  <c r="BF366"/>
  <c r="BE366"/>
  <c r="BD366"/>
  <c r="BC366"/>
  <c r="BB366"/>
  <c r="AX366"/>
  <c r="AW366"/>
  <c r="AV366"/>
  <c r="AC366"/>
  <c r="H366"/>
  <c r="G366" s="1"/>
  <c r="BT365"/>
  <c r="BS365"/>
  <c r="BR365"/>
  <c r="BQ365"/>
  <c r="BP365"/>
  <c r="BO365"/>
  <c r="BN365"/>
  <c r="BM365"/>
  <c r="BL365" s="1"/>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BT363"/>
  <c r="BS363"/>
  <c r="BR363"/>
  <c r="BQ363"/>
  <c r="BP363"/>
  <c r="BO363"/>
  <c r="BN363"/>
  <c r="BM363"/>
  <c r="BL363"/>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s="1"/>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s="1"/>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BA358" s="1"/>
  <c r="AX358"/>
  <c r="AW358"/>
  <c r="AV358"/>
  <c r="AC358"/>
  <c r="H358"/>
  <c r="G358" s="1"/>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s="1"/>
  <c r="BK354"/>
  <c r="BJ354"/>
  <c r="BI354"/>
  <c r="BH354"/>
  <c r="BG354"/>
  <c r="BF354"/>
  <c r="BE354"/>
  <c r="BD354"/>
  <c r="BC354"/>
  <c r="BB354"/>
  <c r="AX354"/>
  <c r="AW354"/>
  <c r="AV354"/>
  <c r="AC354"/>
  <c r="H354"/>
  <c r="BT353"/>
  <c r="BS353"/>
  <c r="BR353"/>
  <c r="BQ353"/>
  <c r="BP353"/>
  <c r="BO353"/>
  <c r="BN353"/>
  <c r="BM353"/>
  <c r="BL353" s="1"/>
  <c r="BK353"/>
  <c r="BJ353"/>
  <c r="BI353"/>
  <c r="BH353"/>
  <c r="BG353"/>
  <c r="BF353"/>
  <c r="BE353"/>
  <c r="BD353"/>
  <c r="BC353"/>
  <c r="BB353"/>
  <c r="BA353" s="1"/>
  <c r="AX353"/>
  <c r="AW353"/>
  <c r="AV353"/>
  <c r="AC353"/>
  <c r="H353"/>
  <c r="BT352"/>
  <c r="BS352"/>
  <c r="BR352"/>
  <c r="BQ352"/>
  <c r="BP352"/>
  <c r="BO352"/>
  <c r="BN352"/>
  <c r="BM352"/>
  <c r="BK352"/>
  <c r="BJ352"/>
  <c r="BI352"/>
  <c r="BH352"/>
  <c r="BG352"/>
  <c r="BF352"/>
  <c r="BE352"/>
  <c r="BD352"/>
  <c r="BC352"/>
  <c r="BB352"/>
  <c r="BA352" s="1"/>
  <c r="AX352"/>
  <c r="AW352"/>
  <c r="AV352"/>
  <c r="AC352"/>
  <c r="H352"/>
  <c r="BT351"/>
  <c r="BS351"/>
  <c r="BR351"/>
  <c r="BQ351"/>
  <c r="BP351"/>
  <c r="BO351"/>
  <c r="BN351"/>
  <c r="BM351"/>
  <c r="BK351"/>
  <c r="BJ351"/>
  <c r="BI351"/>
  <c r="BH351"/>
  <c r="BG351"/>
  <c r="BF351"/>
  <c r="BE351"/>
  <c r="BD351"/>
  <c r="BC351"/>
  <c r="BB351"/>
  <c r="AX351"/>
  <c r="AW351"/>
  <c r="AV351"/>
  <c r="AC351"/>
  <c r="H351"/>
  <c r="BT350"/>
  <c r="BS350"/>
  <c r="BR350"/>
  <c r="BQ350"/>
  <c r="BP350"/>
  <c r="BO350"/>
  <c r="BN350"/>
  <c r="BM350"/>
  <c r="BL350"/>
  <c r="BK350"/>
  <c r="BJ350"/>
  <c r="BI350"/>
  <c r="BH350"/>
  <c r="BG350"/>
  <c r="BF350"/>
  <c r="BE350"/>
  <c r="BD350"/>
  <c r="BC350"/>
  <c r="BB350"/>
  <c r="BA350" s="1"/>
  <c r="AX350"/>
  <c r="AW350"/>
  <c r="AV350"/>
  <c r="AC350"/>
  <c r="H350"/>
  <c r="BT349"/>
  <c r="BS349"/>
  <c r="BR349"/>
  <c r="BQ349"/>
  <c r="BP349"/>
  <c r="BO349"/>
  <c r="BN349"/>
  <c r="BM349"/>
  <c r="BK349"/>
  <c r="BJ349"/>
  <c r="BI349"/>
  <c r="BH349"/>
  <c r="BG349"/>
  <c r="BF349"/>
  <c r="BE349"/>
  <c r="BD349"/>
  <c r="BC349"/>
  <c r="BB349"/>
  <c r="AX349"/>
  <c r="AW349"/>
  <c r="AV349"/>
  <c r="AC349"/>
  <c r="H349"/>
  <c r="G349" s="1"/>
  <c r="BT348"/>
  <c r="BS348"/>
  <c r="BR348"/>
  <c r="BQ348"/>
  <c r="BP348"/>
  <c r="BO348"/>
  <c r="BN348"/>
  <c r="BM348"/>
  <c r="BL348" s="1"/>
  <c r="BK348"/>
  <c r="BJ348"/>
  <c r="BI348"/>
  <c r="BH348"/>
  <c r="BG348"/>
  <c r="BF348"/>
  <c r="BE348"/>
  <c r="BD348"/>
  <c r="BC348"/>
  <c r="BB348"/>
  <c r="AX348"/>
  <c r="AW348"/>
  <c r="AV348"/>
  <c r="AC348"/>
  <c r="H348"/>
  <c r="BT347"/>
  <c r="BS347"/>
  <c r="BR347"/>
  <c r="BQ347"/>
  <c r="BP347"/>
  <c r="BO347"/>
  <c r="BN347"/>
  <c r="BM347"/>
  <c r="BK347"/>
  <c r="BJ347"/>
  <c r="BI347"/>
  <c r="BH347"/>
  <c r="BG347"/>
  <c r="BF347"/>
  <c r="BE347"/>
  <c r="BD347"/>
  <c r="BC347"/>
  <c r="BB347"/>
  <c r="AX347"/>
  <c r="AW347"/>
  <c r="AV347"/>
  <c r="AC347"/>
  <c r="H347"/>
  <c r="G347"/>
  <c r="BT346"/>
  <c r="BS346"/>
  <c r="BR346"/>
  <c r="BQ346"/>
  <c r="BP346"/>
  <c r="BO346"/>
  <c r="BN346"/>
  <c r="BM346"/>
  <c r="BL346" s="1"/>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s="1"/>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L340"/>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c r="AX339"/>
  <c r="AW339"/>
  <c r="AV339"/>
  <c r="AC339"/>
  <c r="H339"/>
  <c r="G339"/>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c r="AX335"/>
  <c r="AW335"/>
  <c r="AV335"/>
  <c r="AC335"/>
  <c r="H335"/>
  <c r="BT334"/>
  <c r="BS334"/>
  <c r="BR334"/>
  <c r="BQ334"/>
  <c r="BP334"/>
  <c r="BO334"/>
  <c r="BN334"/>
  <c r="BM334"/>
  <c r="BK334"/>
  <c r="BJ334"/>
  <c r="BI334"/>
  <c r="BH334"/>
  <c r="BG334"/>
  <c r="BF334"/>
  <c r="BE334"/>
  <c r="BD334"/>
  <c r="BC334"/>
  <c r="BB334"/>
  <c r="AX334"/>
  <c r="AW334"/>
  <c r="AV334"/>
  <c r="AC334"/>
  <c r="H334"/>
  <c r="G334" s="1"/>
  <c r="BT333"/>
  <c r="BS333"/>
  <c r="BR333"/>
  <c r="BQ333"/>
  <c r="BP333"/>
  <c r="BO333"/>
  <c r="BN333"/>
  <c r="BM333"/>
  <c r="BL333" s="1"/>
  <c r="BK333"/>
  <c r="BJ333"/>
  <c r="BI333"/>
  <c r="BH333"/>
  <c r="BG333"/>
  <c r="BF333"/>
  <c r="BE333"/>
  <c r="BD333"/>
  <c r="BC333"/>
  <c r="BB333"/>
  <c r="AX333"/>
  <c r="AW333"/>
  <c r="AV333"/>
  <c r="AC333"/>
  <c r="H333"/>
  <c r="BT332"/>
  <c r="BS332"/>
  <c r="BR332"/>
  <c r="BQ332"/>
  <c r="BP332"/>
  <c r="BO332"/>
  <c r="BN332"/>
  <c r="BM332"/>
  <c r="BL332" s="1"/>
  <c r="BK332"/>
  <c r="BJ332"/>
  <c r="BI332"/>
  <c r="BH332"/>
  <c r="BG332"/>
  <c r="BF332"/>
  <c r="BE332"/>
  <c r="BD332"/>
  <c r="BC332"/>
  <c r="BB332"/>
  <c r="BA332" s="1"/>
  <c r="AZ332" s="1"/>
  <c r="AX332"/>
  <c r="AW332"/>
  <c r="AV332"/>
  <c r="AC332"/>
  <c r="H332"/>
  <c r="BT331"/>
  <c r="BS331"/>
  <c r="BR331"/>
  <c r="BQ331"/>
  <c r="BP331"/>
  <c r="BO331"/>
  <c r="BN331"/>
  <c r="BM331"/>
  <c r="BK331"/>
  <c r="BJ331"/>
  <c r="BI331"/>
  <c r="BH331"/>
  <c r="BG331"/>
  <c r="BF331"/>
  <c r="BE331"/>
  <c r="BD331"/>
  <c r="BC331"/>
  <c r="BB331"/>
  <c r="BA331" s="1"/>
  <c r="AX331"/>
  <c r="AW331"/>
  <c r="AV331"/>
  <c r="AC331"/>
  <c r="H331"/>
  <c r="BT330"/>
  <c r="BS330"/>
  <c r="BR330"/>
  <c r="BQ330"/>
  <c r="BP330"/>
  <c r="BO330"/>
  <c r="BN330"/>
  <c r="BM330"/>
  <c r="BL330"/>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G329" s="1"/>
  <c r="BT328"/>
  <c r="BS328"/>
  <c r="BR328"/>
  <c r="BQ328"/>
  <c r="BP328"/>
  <c r="BO328"/>
  <c r="BN328"/>
  <c r="BM328"/>
  <c r="BL328" s="1"/>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L324"/>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c r="AX323"/>
  <c r="AW323"/>
  <c r="AV323"/>
  <c r="AC323"/>
  <c r="H323"/>
  <c r="G323"/>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c r="AX319"/>
  <c r="AW319"/>
  <c r="AV319"/>
  <c r="AC319"/>
  <c r="H319"/>
  <c r="BT318"/>
  <c r="BS318"/>
  <c r="BR318"/>
  <c r="BQ318"/>
  <c r="BP318"/>
  <c r="BO318"/>
  <c r="BN318"/>
  <c r="BM318"/>
  <c r="BK318"/>
  <c r="BJ318"/>
  <c r="BI318"/>
  <c r="BH318"/>
  <c r="BG318"/>
  <c r="BF318"/>
  <c r="BE318"/>
  <c r="BD318"/>
  <c r="BC318"/>
  <c r="BB318"/>
  <c r="AX318"/>
  <c r="AW318"/>
  <c r="AV318"/>
  <c r="AC318"/>
  <c r="H318"/>
  <c r="G318" s="1"/>
  <c r="BT317"/>
  <c r="BS317"/>
  <c r="BR317"/>
  <c r="BQ317"/>
  <c r="BP317"/>
  <c r="BO317"/>
  <c r="BN317"/>
  <c r="BM317"/>
  <c r="BL317" s="1"/>
  <c r="BK317"/>
  <c r="BJ317"/>
  <c r="BI317"/>
  <c r="BH317"/>
  <c r="BG317"/>
  <c r="BF317"/>
  <c r="BE317"/>
  <c r="BD317"/>
  <c r="BC317"/>
  <c r="BB317"/>
  <c r="AX317"/>
  <c r="AW317"/>
  <c r="AV317"/>
  <c r="AC317"/>
  <c r="H317"/>
  <c r="BT316"/>
  <c r="BS316"/>
  <c r="BR316"/>
  <c r="BQ316"/>
  <c r="BP316"/>
  <c r="BO316"/>
  <c r="BN316"/>
  <c r="BM316"/>
  <c r="BL316" s="1"/>
  <c r="BK316"/>
  <c r="BJ316"/>
  <c r="BI316"/>
  <c r="BH316"/>
  <c r="BG316"/>
  <c r="BF316"/>
  <c r="BE316"/>
  <c r="BD316"/>
  <c r="BC316"/>
  <c r="BB316"/>
  <c r="BA316" s="1"/>
  <c r="AZ316" s="1"/>
  <c r="AX316"/>
  <c r="AW316"/>
  <c r="AV316"/>
  <c r="AC316"/>
  <c r="H316"/>
  <c r="BT315"/>
  <c r="BS315"/>
  <c r="BR315"/>
  <c r="BQ315"/>
  <c r="BP315"/>
  <c r="BO315"/>
  <c r="BN315"/>
  <c r="BM315"/>
  <c r="BK315"/>
  <c r="BJ315"/>
  <c r="BI315"/>
  <c r="BH315"/>
  <c r="BG315"/>
  <c r="BF315"/>
  <c r="BE315"/>
  <c r="BD315"/>
  <c r="BC315"/>
  <c r="BB315"/>
  <c r="BA315" s="1"/>
  <c r="AX315"/>
  <c r="AW315"/>
  <c r="AV315"/>
  <c r="AC315"/>
  <c r="H315"/>
  <c r="BT314"/>
  <c r="BS314"/>
  <c r="BR314"/>
  <c r="BQ314"/>
  <c r="BP314"/>
  <c r="BO314"/>
  <c r="BN314"/>
  <c r="BM314"/>
  <c r="BL314"/>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G313" s="1"/>
  <c r="BT312"/>
  <c r="BS312"/>
  <c r="BR312"/>
  <c r="BQ312"/>
  <c r="BP312"/>
  <c r="BO312"/>
  <c r="BN312"/>
  <c r="BM312"/>
  <c r="BL312" s="1"/>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L308"/>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c r="AX307"/>
  <c r="AW307"/>
  <c r="AV307"/>
  <c r="AC307"/>
  <c r="H307"/>
  <c r="G307"/>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c r="AX303"/>
  <c r="AW303"/>
  <c r="AV303"/>
  <c r="AC303"/>
  <c r="H303"/>
  <c r="BT492"/>
  <c r="BS492"/>
  <c r="BR492"/>
  <c r="BQ492"/>
  <c r="BP492"/>
  <c r="BO492"/>
  <c r="BN492"/>
  <c r="BM492"/>
  <c r="BL492"/>
  <c r="BK492"/>
  <c r="BJ492"/>
  <c r="BI492"/>
  <c r="BH492"/>
  <c r="BG492"/>
  <c r="BF492"/>
  <c r="BE492"/>
  <c r="BD492"/>
  <c r="BC492"/>
  <c r="BB492"/>
  <c r="BA492" s="1"/>
  <c r="AZ492" s="1"/>
  <c r="AX492"/>
  <c r="AW492"/>
  <c r="AV492"/>
  <c r="AC492"/>
  <c r="H492"/>
  <c r="G492"/>
  <c r="BT491"/>
  <c r="BS491"/>
  <c r="BR491"/>
  <c r="BQ491"/>
  <c r="BP491"/>
  <c r="BO491"/>
  <c r="BN491"/>
  <c r="BM491"/>
  <c r="BL491" s="1"/>
  <c r="BK491"/>
  <c r="BJ491"/>
  <c r="BI491"/>
  <c r="BH491"/>
  <c r="BG491"/>
  <c r="BF491"/>
  <c r="BE491"/>
  <c r="BD491"/>
  <c r="BC491"/>
  <c r="BB491"/>
  <c r="BA491" s="1"/>
  <c r="AX491"/>
  <c r="AW491"/>
  <c r="AV491"/>
  <c r="AC491"/>
  <c r="H491"/>
  <c r="G491" s="1"/>
  <c r="BT490"/>
  <c r="BS490"/>
  <c r="BR490"/>
  <c r="BQ490"/>
  <c r="BP490"/>
  <c r="BO490"/>
  <c r="BN490"/>
  <c r="BM490"/>
  <c r="BK490"/>
  <c r="BJ490"/>
  <c r="BI490"/>
  <c r="BH490"/>
  <c r="BG490"/>
  <c r="BF490"/>
  <c r="BE490"/>
  <c r="BD490"/>
  <c r="BC490"/>
  <c r="BB490"/>
  <c r="BA490"/>
  <c r="AX490"/>
  <c r="AW490"/>
  <c r="AV490"/>
  <c r="AC490"/>
  <c r="H490"/>
  <c r="BT489"/>
  <c r="BS489"/>
  <c r="BR489"/>
  <c r="BQ489"/>
  <c r="BP489"/>
  <c r="BO489"/>
  <c r="BN489"/>
  <c r="BM489"/>
  <c r="BL489"/>
  <c r="BK489"/>
  <c r="BJ489"/>
  <c r="BI489"/>
  <c r="BH489"/>
  <c r="BG489"/>
  <c r="BF489"/>
  <c r="BE489"/>
  <c r="BD489"/>
  <c r="BC489"/>
  <c r="BB489"/>
  <c r="BA489" s="1"/>
  <c r="AZ489" s="1"/>
  <c r="AX489"/>
  <c r="AW489"/>
  <c r="AV489"/>
  <c r="AC489"/>
  <c r="H489"/>
  <c r="BT488"/>
  <c r="BS488"/>
  <c r="BR488"/>
  <c r="BQ488"/>
  <c r="BP488"/>
  <c r="BO488"/>
  <c r="BN488"/>
  <c r="BM488"/>
  <c r="BL488"/>
  <c r="BK488"/>
  <c r="BJ488"/>
  <c r="BI488"/>
  <c r="BH488"/>
  <c r="BG488"/>
  <c r="BF488"/>
  <c r="BE488"/>
  <c r="BD488"/>
  <c r="BC488"/>
  <c r="BB488"/>
  <c r="BA488" s="1"/>
  <c r="AZ488" s="1"/>
  <c r="AX488"/>
  <c r="AW488"/>
  <c r="AV488"/>
  <c r="AC488"/>
  <c r="H488"/>
  <c r="G488"/>
  <c r="BT487"/>
  <c r="BS487"/>
  <c r="BR487"/>
  <c r="BQ487"/>
  <c r="BP487"/>
  <c r="BO487"/>
  <c r="BN487"/>
  <c r="BM487"/>
  <c r="BL487" s="1"/>
  <c r="BK487"/>
  <c r="BJ487"/>
  <c r="BI487"/>
  <c r="BH487"/>
  <c r="BG487"/>
  <c r="BF487"/>
  <c r="BE487"/>
  <c r="BD487"/>
  <c r="BC487"/>
  <c r="BB487"/>
  <c r="BA487" s="1"/>
  <c r="AX487"/>
  <c r="AW487"/>
  <c r="AV487"/>
  <c r="AC487"/>
  <c r="H487"/>
  <c r="G487" s="1"/>
  <c r="BT486"/>
  <c r="BS486"/>
  <c r="BR486"/>
  <c r="BQ486"/>
  <c r="BP486"/>
  <c r="BO486"/>
  <c r="BN486"/>
  <c r="BM486"/>
  <c r="BK486"/>
  <c r="BJ486"/>
  <c r="BI486"/>
  <c r="BH486"/>
  <c r="BG486"/>
  <c r="BF486"/>
  <c r="BE486"/>
  <c r="BD486"/>
  <c r="BC486"/>
  <c r="BB486"/>
  <c r="BA486"/>
  <c r="AX486"/>
  <c r="AW486"/>
  <c r="AV486"/>
  <c r="AC486"/>
  <c r="H486"/>
  <c r="BT485"/>
  <c r="BS485"/>
  <c r="BR485"/>
  <c r="BQ485"/>
  <c r="BP485"/>
  <c r="BO485"/>
  <c r="BN485"/>
  <c r="BM485"/>
  <c r="BL485"/>
  <c r="BK485"/>
  <c r="BJ485"/>
  <c r="BI485"/>
  <c r="BH485"/>
  <c r="BG485"/>
  <c r="BF485"/>
  <c r="BE485"/>
  <c r="BD485"/>
  <c r="BC485"/>
  <c r="BB485"/>
  <c r="BA485" s="1"/>
  <c r="AZ485" s="1"/>
  <c r="AX485"/>
  <c r="AW485"/>
  <c r="AV485"/>
  <c r="AC485"/>
  <c r="H485"/>
  <c r="BT484"/>
  <c r="BS484"/>
  <c r="BR484"/>
  <c r="BQ484"/>
  <c r="BP484"/>
  <c r="BO484"/>
  <c r="BN484"/>
  <c r="BM484"/>
  <c r="BL484"/>
  <c r="BK484"/>
  <c r="BJ484"/>
  <c r="BI484"/>
  <c r="BH484"/>
  <c r="BG484"/>
  <c r="BF484"/>
  <c r="BE484"/>
  <c r="BD484"/>
  <c r="BC484"/>
  <c r="BB484"/>
  <c r="BA484" s="1"/>
  <c r="AZ484" s="1"/>
  <c r="AX484"/>
  <c r="AW484"/>
  <c r="AV484"/>
  <c r="AC484"/>
  <c r="H484"/>
  <c r="G484"/>
  <c r="BT483"/>
  <c r="BS483"/>
  <c r="BR483"/>
  <c r="BQ483"/>
  <c r="BP483"/>
  <c r="BO483"/>
  <c r="BN483"/>
  <c r="BM483"/>
  <c r="BL483" s="1"/>
  <c r="BK483"/>
  <c r="BJ483"/>
  <c r="BI483"/>
  <c r="BH483"/>
  <c r="BG483"/>
  <c r="BF483"/>
  <c r="BE483"/>
  <c r="BD483"/>
  <c r="BC483"/>
  <c r="BB483"/>
  <c r="AX483"/>
  <c r="AW483"/>
  <c r="AV483"/>
  <c r="AC483"/>
  <c r="H483"/>
  <c r="G483" s="1"/>
  <c r="BT482"/>
  <c r="BS482"/>
  <c r="BR482"/>
  <c r="BQ482"/>
  <c r="BP482"/>
  <c r="BO482"/>
  <c r="BN482"/>
  <c r="BM482"/>
  <c r="BL482" s="1"/>
  <c r="BK482"/>
  <c r="BJ482"/>
  <c r="BI482"/>
  <c r="BH482"/>
  <c r="BG482"/>
  <c r="BF482"/>
  <c r="BE482"/>
  <c r="BD482"/>
  <c r="BC482"/>
  <c r="BB482"/>
  <c r="AX482"/>
  <c r="AW482"/>
  <c r="AV482"/>
  <c r="AC482"/>
  <c r="H482"/>
  <c r="G482" s="1"/>
  <c r="BT481"/>
  <c r="BS481"/>
  <c r="BR481"/>
  <c r="BQ481"/>
  <c r="BP481"/>
  <c r="BO481"/>
  <c r="BN481"/>
  <c r="BM481"/>
  <c r="BK481"/>
  <c r="BJ481"/>
  <c r="BI481"/>
  <c r="BH481"/>
  <c r="BG481"/>
  <c r="BF481"/>
  <c r="BE481"/>
  <c r="BD481"/>
  <c r="BC481"/>
  <c r="BB481"/>
  <c r="BA481"/>
  <c r="AX481"/>
  <c r="AW481"/>
  <c r="AV481"/>
  <c r="AC481"/>
  <c r="H481"/>
  <c r="G481"/>
  <c r="BT480"/>
  <c r="BS480"/>
  <c r="BR480"/>
  <c r="BQ480"/>
  <c r="BP480"/>
  <c r="BO480"/>
  <c r="BN480"/>
  <c r="BM480"/>
  <c r="BL480" s="1"/>
  <c r="BK480"/>
  <c r="BJ480"/>
  <c r="BI480"/>
  <c r="BH480"/>
  <c r="BG480"/>
  <c r="BF480"/>
  <c r="BE480"/>
  <c r="BD480"/>
  <c r="BC480"/>
  <c r="BB480"/>
  <c r="BA480" s="1"/>
  <c r="AZ480" s="1"/>
  <c r="AX480"/>
  <c r="AW480"/>
  <c r="AV480"/>
  <c r="AC480"/>
  <c r="H480"/>
  <c r="G480" s="1"/>
  <c r="BT479"/>
  <c r="BS479"/>
  <c r="BR479"/>
  <c r="BQ479"/>
  <c r="BP479"/>
  <c r="BO479"/>
  <c r="BN479"/>
  <c r="BM479"/>
  <c r="BL479" s="1"/>
  <c r="BK479"/>
  <c r="BJ479"/>
  <c r="BI479"/>
  <c r="BH479"/>
  <c r="BG479"/>
  <c r="BF479"/>
  <c r="BE479"/>
  <c r="BD479"/>
  <c r="BC479"/>
  <c r="BB479"/>
  <c r="AX479"/>
  <c r="AW479"/>
  <c r="AV479"/>
  <c r="AC479"/>
  <c r="H479"/>
  <c r="G479" s="1"/>
  <c r="BT478"/>
  <c r="BS478"/>
  <c r="BR478"/>
  <c r="BQ478"/>
  <c r="BP478"/>
  <c r="BO478"/>
  <c r="BN478"/>
  <c r="BM478"/>
  <c r="BL478" s="1"/>
  <c r="BK478"/>
  <c r="BJ478"/>
  <c r="BI478"/>
  <c r="BH478"/>
  <c r="BG478"/>
  <c r="BF478"/>
  <c r="BE478"/>
  <c r="BD478"/>
  <c r="BC478"/>
  <c r="BB478"/>
  <c r="AX478"/>
  <c r="AW478"/>
  <c r="AV478"/>
  <c r="AC478"/>
  <c r="H478"/>
  <c r="G478" s="1"/>
  <c r="BT477"/>
  <c r="BS477"/>
  <c r="BR477"/>
  <c r="BQ477"/>
  <c r="BP477"/>
  <c r="BO477"/>
  <c r="BN477"/>
  <c r="BM477"/>
  <c r="BK477"/>
  <c r="BJ477"/>
  <c r="BI477"/>
  <c r="BH477"/>
  <c r="BG477"/>
  <c r="BF477"/>
  <c r="BE477"/>
  <c r="BD477"/>
  <c r="BC477"/>
  <c r="BB477"/>
  <c r="BA477"/>
  <c r="AX477"/>
  <c r="AW477"/>
  <c r="AV477"/>
  <c r="AC477"/>
  <c r="H477"/>
  <c r="G477"/>
  <c r="BT476"/>
  <c r="BS476"/>
  <c r="BR476"/>
  <c r="BQ476"/>
  <c r="BP476"/>
  <c r="BO476"/>
  <c r="BN476"/>
  <c r="BM476"/>
  <c r="BL476" s="1"/>
  <c r="BK476"/>
  <c r="BJ476"/>
  <c r="BI476"/>
  <c r="BH476"/>
  <c r="BG476"/>
  <c r="BF476"/>
  <c r="BE476"/>
  <c r="BD476"/>
  <c r="BC476"/>
  <c r="BB476"/>
  <c r="BA476" s="1"/>
  <c r="AZ476" s="1"/>
  <c r="AX476"/>
  <c r="AW476"/>
  <c r="AV476"/>
  <c r="AC476"/>
  <c r="H476"/>
  <c r="G476" s="1"/>
  <c r="BT475"/>
  <c r="BS475"/>
  <c r="BR475"/>
  <c r="BQ475"/>
  <c r="BP475"/>
  <c r="BO475"/>
  <c r="BN475"/>
  <c r="BM475"/>
  <c r="BL475" s="1"/>
  <c r="BK475"/>
  <c r="BJ475"/>
  <c r="BI475"/>
  <c r="BH475"/>
  <c r="BG475"/>
  <c r="BF475"/>
  <c r="BE475"/>
  <c r="BD475"/>
  <c r="BC475"/>
  <c r="BB475"/>
  <c r="AX475"/>
  <c r="AW475"/>
  <c r="AV475"/>
  <c r="AC475"/>
  <c r="H475"/>
  <c r="G475" s="1"/>
  <c r="BT474"/>
  <c r="BS474"/>
  <c r="BR474"/>
  <c r="BQ474"/>
  <c r="BP474"/>
  <c r="BO474"/>
  <c r="BN474"/>
  <c r="BM474"/>
  <c r="BL474" s="1"/>
  <c r="BK474"/>
  <c r="BJ474"/>
  <c r="BI474"/>
  <c r="BH474"/>
  <c r="BG474"/>
  <c r="BF474"/>
  <c r="BE474"/>
  <c r="BD474"/>
  <c r="BC474"/>
  <c r="BB474"/>
  <c r="AX474"/>
  <c r="AW474"/>
  <c r="AV474"/>
  <c r="AC474"/>
  <c r="H474"/>
  <c r="G474" s="1"/>
  <c r="BT473"/>
  <c r="BS473"/>
  <c r="BR473"/>
  <c r="BQ473"/>
  <c r="BP473"/>
  <c r="BO473"/>
  <c r="BN473"/>
  <c r="BM473"/>
  <c r="BK473"/>
  <c r="BJ473"/>
  <c r="BI473"/>
  <c r="BH473"/>
  <c r="BG473"/>
  <c r="BF473"/>
  <c r="BE473"/>
  <c r="BD473"/>
  <c r="BC473"/>
  <c r="BB473"/>
  <c r="BA473"/>
  <c r="AX473"/>
  <c r="AW473"/>
  <c r="AV473"/>
  <c r="AC473"/>
  <c r="H473"/>
  <c r="BT472"/>
  <c r="BS472"/>
  <c r="BR472"/>
  <c r="BQ472"/>
  <c r="BP472"/>
  <c r="BO472"/>
  <c r="BN472"/>
  <c r="BM472"/>
  <c r="BL472"/>
  <c r="BK472"/>
  <c r="BJ472"/>
  <c r="BI472"/>
  <c r="BH472"/>
  <c r="BG472"/>
  <c r="BF472"/>
  <c r="BE472"/>
  <c r="BD472"/>
  <c r="BC472"/>
  <c r="BB472"/>
  <c r="BA472" s="1"/>
  <c r="AZ472" s="1"/>
  <c r="AX472"/>
  <c r="AW472"/>
  <c r="AV472"/>
  <c r="AC472"/>
  <c r="H472"/>
  <c r="BT471"/>
  <c r="BS471"/>
  <c r="BR471"/>
  <c r="BQ471"/>
  <c r="BP471"/>
  <c r="BO471"/>
  <c r="BN471"/>
  <c r="BM471"/>
  <c r="BL471"/>
  <c r="BK471"/>
  <c r="BJ471"/>
  <c r="BI471"/>
  <c r="BH471"/>
  <c r="BG471"/>
  <c r="BF471"/>
  <c r="BE471"/>
  <c r="BD471"/>
  <c r="BC471"/>
  <c r="BB471"/>
  <c r="BA471" s="1"/>
  <c r="AZ471" s="1"/>
  <c r="AX471"/>
  <c r="AW471"/>
  <c r="AV471"/>
  <c r="AC471"/>
  <c r="H471"/>
  <c r="BT470"/>
  <c r="BS470"/>
  <c r="BR470"/>
  <c r="BQ470"/>
  <c r="BP470"/>
  <c r="BO470"/>
  <c r="BN470"/>
  <c r="BM470"/>
  <c r="BL470"/>
  <c r="BK470"/>
  <c r="BJ470"/>
  <c r="BI470"/>
  <c r="BH470"/>
  <c r="BG470"/>
  <c r="BF470"/>
  <c r="BE470"/>
  <c r="BD470"/>
  <c r="BC470"/>
  <c r="BB470"/>
  <c r="BA470" s="1"/>
  <c r="AZ470" s="1"/>
  <c r="AX470"/>
  <c r="AW470"/>
  <c r="AV470"/>
  <c r="AC470"/>
  <c r="H470"/>
  <c r="G470"/>
  <c r="BT469"/>
  <c r="BS469"/>
  <c r="BR469"/>
  <c r="BQ469"/>
  <c r="BP469"/>
  <c r="BO469"/>
  <c r="BN469"/>
  <c r="BM469"/>
  <c r="BL469" s="1"/>
  <c r="BK469"/>
  <c r="BJ469"/>
  <c r="BI469"/>
  <c r="BH469"/>
  <c r="BG469"/>
  <c r="BF469"/>
  <c r="BE469"/>
  <c r="BD469"/>
  <c r="BC469"/>
  <c r="BB469"/>
  <c r="BA469" s="1"/>
  <c r="AX469"/>
  <c r="AW469"/>
  <c r="AV469"/>
  <c r="AC469"/>
  <c r="H469"/>
  <c r="G469" s="1"/>
  <c r="BT468"/>
  <c r="BS468"/>
  <c r="BR468"/>
  <c r="BQ468"/>
  <c r="BP468"/>
  <c r="BO468"/>
  <c r="BN468"/>
  <c r="BM468"/>
  <c r="BK468"/>
  <c r="BJ468"/>
  <c r="BI468"/>
  <c r="BH468"/>
  <c r="BG468"/>
  <c r="BF468"/>
  <c r="BE468"/>
  <c r="BD468"/>
  <c r="BC468"/>
  <c r="BB468"/>
  <c r="BA468"/>
  <c r="AX468"/>
  <c r="AW468"/>
  <c r="AV468"/>
  <c r="AC468"/>
  <c r="H468"/>
  <c r="BT467"/>
  <c r="BS467"/>
  <c r="BR467"/>
  <c r="BQ467"/>
  <c r="BP467"/>
  <c r="BO467"/>
  <c r="BN467"/>
  <c r="BM467"/>
  <c r="BL467"/>
  <c r="BK467"/>
  <c r="BJ467"/>
  <c r="BI467"/>
  <c r="BH467"/>
  <c r="BG467"/>
  <c r="BF467"/>
  <c r="BE467"/>
  <c r="BD467"/>
  <c r="BC467"/>
  <c r="BB467"/>
  <c r="BA467" s="1"/>
  <c r="AZ467" s="1"/>
  <c r="AX467"/>
  <c r="AW467"/>
  <c r="AV467"/>
  <c r="AC467"/>
  <c r="H467"/>
  <c r="BT466"/>
  <c r="BS466"/>
  <c r="BR466"/>
  <c r="BQ466"/>
  <c r="BP466"/>
  <c r="BO466"/>
  <c r="BN466"/>
  <c r="BM466"/>
  <c r="BL466"/>
  <c r="BK466"/>
  <c r="BJ466"/>
  <c r="BI466"/>
  <c r="BH466"/>
  <c r="BG466"/>
  <c r="BF466"/>
  <c r="BE466"/>
  <c r="BD466"/>
  <c r="BC466"/>
  <c r="BB466"/>
  <c r="BA466" s="1"/>
  <c r="AZ466" s="1"/>
  <c r="AX466"/>
  <c r="AW466"/>
  <c r="AV466"/>
  <c r="AC466"/>
  <c r="H466"/>
  <c r="G466"/>
  <c r="BT465"/>
  <c r="BS465"/>
  <c r="BR465"/>
  <c r="BQ465"/>
  <c r="BP465"/>
  <c r="BO465"/>
  <c r="BN465"/>
  <c r="BM465"/>
  <c r="BL465" s="1"/>
  <c r="BK465"/>
  <c r="BJ465"/>
  <c r="BI465"/>
  <c r="BH465"/>
  <c r="BG465"/>
  <c r="BF465"/>
  <c r="BE465"/>
  <c r="BD465"/>
  <c r="BC465"/>
  <c r="BB465"/>
  <c r="BA465" s="1"/>
  <c r="AX465"/>
  <c r="AW465"/>
  <c r="AV465"/>
  <c r="AC465"/>
  <c r="H465"/>
  <c r="G465" s="1"/>
  <c r="BT464"/>
  <c r="BS464"/>
  <c r="BR464"/>
  <c r="BQ464"/>
  <c r="BP464"/>
  <c r="BO464"/>
  <c r="BN464"/>
  <c r="BM464"/>
  <c r="BL464" s="1"/>
  <c r="BK464"/>
  <c r="BJ464"/>
  <c r="BI464"/>
  <c r="BH464"/>
  <c r="BG464"/>
  <c r="BF464"/>
  <c r="BE464"/>
  <c r="BD464"/>
  <c r="BC464"/>
  <c r="BB464"/>
  <c r="AX464"/>
  <c r="AW464"/>
  <c r="AV464"/>
  <c r="AC464"/>
  <c r="H464"/>
  <c r="G464" s="1"/>
  <c r="BT463"/>
  <c r="BS463"/>
  <c r="BR463"/>
  <c r="BQ463"/>
  <c r="BP463"/>
  <c r="BO463"/>
  <c r="BN463"/>
  <c r="BM463"/>
  <c r="BL463" s="1"/>
  <c r="BK463"/>
  <c r="BJ463"/>
  <c r="BI463"/>
  <c r="BH463"/>
  <c r="BG463"/>
  <c r="BF463"/>
  <c r="BE463"/>
  <c r="BD463"/>
  <c r="BC463"/>
  <c r="BB463"/>
  <c r="AX463"/>
  <c r="AW463"/>
  <c r="AV463"/>
  <c r="AC463"/>
  <c r="H463"/>
  <c r="G463" s="1"/>
  <c r="BT462"/>
  <c r="BS462"/>
  <c r="BR462"/>
  <c r="BQ462"/>
  <c r="BP462"/>
  <c r="BO462"/>
  <c r="BN462"/>
  <c r="BM462"/>
  <c r="BK462"/>
  <c r="BJ462"/>
  <c r="BI462"/>
  <c r="BH462"/>
  <c r="BG462"/>
  <c r="BF462"/>
  <c r="BE462"/>
  <c r="BD462"/>
  <c r="BC462"/>
  <c r="BB462"/>
  <c r="BA462"/>
  <c r="AX462"/>
  <c r="AW462"/>
  <c r="AV462"/>
  <c r="AC462"/>
  <c r="H462"/>
  <c r="G462"/>
  <c r="BT461"/>
  <c r="BS461"/>
  <c r="BR461"/>
  <c r="BQ461"/>
  <c r="BP461"/>
  <c r="BO461"/>
  <c r="BN461"/>
  <c r="BM461"/>
  <c r="BL461" s="1"/>
  <c r="BK461"/>
  <c r="BJ461"/>
  <c r="BI461"/>
  <c r="BH461"/>
  <c r="BG461"/>
  <c r="BF461"/>
  <c r="BE461"/>
  <c r="BD461"/>
  <c r="BC461"/>
  <c r="BB461"/>
  <c r="BA461" s="1"/>
  <c r="AZ461" s="1"/>
  <c r="AX461"/>
  <c r="AW461"/>
  <c r="AV461"/>
  <c r="AC461"/>
  <c r="H461"/>
  <c r="G461" s="1"/>
  <c r="BT460"/>
  <c r="BS460"/>
  <c r="BR460"/>
  <c r="BQ460"/>
  <c r="BP460"/>
  <c r="BO460"/>
  <c r="BN460"/>
  <c r="BM460"/>
  <c r="BL460" s="1"/>
  <c r="BK460"/>
  <c r="BJ460"/>
  <c r="BI460"/>
  <c r="BH460"/>
  <c r="BG460"/>
  <c r="BF460"/>
  <c r="BE460"/>
  <c r="BD460"/>
  <c r="BC460"/>
  <c r="BB460"/>
  <c r="AX460"/>
  <c r="AW460"/>
  <c r="AV460"/>
  <c r="AC460"/>
  <c r="H460"/>
  <c r="G460" s="1"/>
  <c r="BT459"/>
  <c r="BS459"/>
  <c r="BR459"/>
  <c r="BQ459"/>
  <c r="BP459"/>
  <c r="BO459"/>
  <c r="BN459"/>
  <c r="BM459"/>
  <c r="BK459"/>
  <c r="BJ459"/>
  <c r="BI459"/>
  <c r="BH459"/>
  <c r="BG459"/>
  <c r="BF459"/>
  <c r="BE459"/>
  <c r="BD459"/>
  <c r="BC459"/>
  <c r="BB459"/>
  <c r="BA459"/>
  <c r="AX459"/>
  <c r="AW459"/>
  <c r="AV459"/>
  <c r="AC459"/>
  <c r="H459"/>
  <c r="G459"/>
  <c r="BT458"/>
  <c r="BS458"/>
  <c r="BR458"/>
  <c r="BQ458"/>
  <c r="BP458"/>
  <c r="BO458"/>
  <c r="BN458"/>
  <c r="BM458"/>
  <c r="BL458" s="1"/>
  <c r="BK458"/>
  <c r="BJ458"/>
  <c r="BI458"/>
  <c r="BH458"/>
  <c r="BG458"/>
  <c r="BF458"/>
  <c r="BE458"/>
  <c r="BD458"/>
  <c r="BC458"/>
  <c r="BB458"/>
  <c r="BA458" s="1"/>
  <c r="AX458"/>
  <c r="AW458"/>
  <c r="AV458"/>
  <c r="AC458"/>
  <c r="H458"/>
  <c r="G458" s="1"/>
  <c r="BT457"/>
  <c r="BS457"/>
  <c r="BR457"/>
  <c r="BQ457"/>
  <c r="BP457"/>
  <c r="BO457"/>
  <c r="BN457"/>
  <c r="BM457"/>
  <c r="BK457"/>
  <c r="BJ457"/>
  <c r="BI457"/>
  <c r="BH457"/>
  <c r="BG457"/>
  <c r="BF457"/>
  <c r="BE457"/>
  <c r="BD457"/>
  <c r="BC457"/>
  <c r="BB457"/>
  <c r="BA457"/>
  <c r="AX457"/>
  <c r="AW457"/>
  <c r="AV457"/>
  <c r="AC457"/>
  <c r="H457"/>
  <c r="BT456"/>
  <c r="BS456"/>
  <c r="BR456"/>
  <c r="BQ456"/>
  <c r="BP456"/>
  <c r="BO456"/>
  <c r="BN456"/>
  <c r="BM456"/>
  <c r="BL456"/>
  <c r="BK456"/>
  <c r="BJ456"/>
  <c r="BI456"/>
  <c r="BH456"/>
  <c r="BG456"/>
  <c r="BF456"/>
  <c r="BE456"/>
  <c r="BD456"/>
  <c r="BC456"/>
  <c r="BB456"/>
  <c r="BA456" s="1"/>
  <c r="AZ456" s="1"/>
  <c r="AX456"/>
  <c r="AW456"/>
  <c r="AV456"/>
  <c r="AC456"/>
  <c r="H456"/>
  <c r="BT455"/>
  <c r="BS455"/>
  <c r="BR455"/>
  <c r="BQ455"/>
  <c r="BP455"/>
  <c r="BO455"/>
  <c r="BN455"/>
  <c r="BM455"/>
  <c r="BL455"/>
  <c r="BK455"/>
  <c r="BJ455"/>
  <c r="BI455"/>
  <c r="BH455"/>
  <c r="BG455"/>
  <c r="BF455"/>
  <c r="BE455"/>
  <c r="BD455"/>
  <c r="BC455"/>
  <c r="BB455"/>
  <c r="BA455" s="1"/>
  <c r="AZ455" s="1"/>
  <c r="AX455"/>
  <c r="AW455"/>
  <c r="AV455"/>
  <c r="AC455"/>
  <c r="H455"/>
  <c r="G455"/>
  <c r="BT454"/>
  <c r="BS454"/>
  <c r="BR454"/>
  <c r="BQ454"/>
  <c r="BP454"/>
  <c r="BO454"/>
  <c r="BN454"/>
  <c r="BM454"/>
  <c r="BL454" s="1"/>
  <c r="BK454"/>
  <c r="BJ454"/>
  <c r="BI454"/>
  <c r="BH454"/>
  <c r="BG454"/>
  <c r="BF454"/>
  <c r="BE454"/>
  <c r="BD454"/>
  <c r="BC454"/>
  <c r="BB454"/>
  <c r="BA454" s="1"/>
  <c r="AX454"/>
  <c r="AW454"/>
  <c r="AV454"/>
  <c r="AC454"/>
  <c r="H454"/>
  <c r="G454" s="1"/>
  <c r="BT453"/>
  <c r="BS453"/>
  <c r="BR453"/>
  <c r="BQ453"/>
  <c r="BP453"/>
  <c r="BO453"/>
  <c r="BN453"/>
  <c r="BM453"/>
  <c r="BK453"/>
  <c r="BJ453"/>
  <c r="BI453"/>
  <c r="BH453"/>
  <c r="BG453"/>
  <c r="BF453"/>
  <c r="BE453"/>
  <c r="BD453"/>
  <c r="BC453"/>
  <c r="BB453"/>
  <c r="BA453"/>
  <c r="AX453"/>
  <c r="AW453"/>
  <c r="AV453"/>
  <c r="AC453"/>
  <c r="H453"/>
  <c r="BT452"/>
  <c r="BS452"/>
  <c r="BR452"/>
  <c r="BQ452"/>
  <c r="BP452"/>
  <c r="BO452"/>
  <c r="BN452"/>
  <c r="BM452"/>
  <c r="BL452"/>
  <c r="BK452"/>
  <c r="BJ452"/>
  <c r="BI452"/>
  <c r="BH452"/>
  <c r="BG452"/>
  <c r="BF452"/>
  <c r="BE452"/>
  <c r="BD452"/>
  <c r="BC452"/>
  <c r="BB452"/>
  <c r="BA452" s="1"/>
  <c r="AZ452" s="1"/>
  <c r="AX452"/>
  <c r="AW452"/>
  <c r="AV452"/>
  <c r="AC452"/>
  <c r="H452"/>
  <c r="G452"/>
  <c r="BT451"/>
  <c r="BS451"/>
  <c r="BR451"/>
  <c r="BQ451"/>
  <c r="BP451"/>
  <c r="BO451"/>
  <c r="BN451"/>
  <c r="BM451"/>
  <c r="BL451" s="1"/>
  <c r="BK451"/>
  <c r="BJ451"/>
  <c r="BI451"/>
  <c r="BH451"/>
  <c r="BG451"/>
  <c r="BF451"/>
  <c r="BE451"/>
  <c r="BD451"/>
  <c r="BC451"/>
  <c r="BB451"/>
  <c r="BA451" s="1"/>
  <c r="AX451"/>
  <c r="AW451"/>
  <c r="AV451"/>
  <c r="AC451"/>
  <c r="H451"/>
  <c r="G451" s="1"/>
  <c r="BT450"/>
  <c r="BS450"/>
  <c r="BR450"/>
  <c r="BQ450"/>
  <c r="BP450"/>
  <c r="BO450"/>
  <c r="BN450"/>
  <c r="BM450"/>
  <c r="BK450"/>
  <c r="BJ450"/>
  <c r="BI450"/>
  <c r="BH450"/>
  <c r="BG450"/>
  <c r="BF450"/>
  <c r="BE450"/>
  <c r="BD450"/>
  <c r="BC450"/>
  <c r="BB450"/>
  <c r="BA450"/>
  <c r="AX450"/>
  <c r="AW450"/>
  <c r="AV450"/>
  <c r="AC450"/>
  <c r="H450"/>
  <c r="G450"/>
  <c r="BT449"/>
  <c r="BS449"/>
  <c r="BR449"/>
  <c r="BQ449"/>
  <c r="BP449"/>
  <c r="BO449"/>
  <c r="BN449"/>
  <c r="BM449"/>
  <c r="BL449" s="1"/>
  <c r="BK449"/>
  <c r="BJ449"/>
  <c r="BI449"/>
  <c r="BH449"/>
  <c r="BG449"/>
  <c r="BF449"/>
  <c r="BE449"/>
  <c r="BD449"/>
  <c r="BC449"/>
  <c r="BB449"/>
  <c r="BA449" s="1"/>
  <c r="AZ449" s="1"/>
  <c r="AX449"/>
  <c r="AW449"/>
  <c r="AV449"/>
  <c r="AC449"/>
  <c r="H449"/>
  <c r="G449" s="1"/>
  <c r="BT448"/>
  <c r="BS448"/>
  <c r="BR448"/>
  <c r="BQ448"/>
  <c r="BP448"/>
  <c r="BO448"/>
  <c r="BN448"/>
  <c r="BM448"/>
  <c r="BL448" s="1"/>
  <c r="BK448"/>
  <c r="BJ448"/>
  <c r="BI448"/>
  <c r="BH448"/>
  <c r="BG448"/>
  <c r="BF448"/>
  <c r="BE448"/>
  <c r="BD448"/>
  <c r="BC448"/>
  <c r="BB448"/>
  <c r="AX448"/>
  <c r="AW448"/>
  <c r="AV448"/>
  <c r="AC448"/>
  <c r="H448"/>
  <c r="G448" s="1"/>
  <c r="BT447"/>
  <c r="BS447"/>
  <c r="BR447"/>
  <c r="BQ447"/>
  <c r="BP447"/>
  <c r="BO447"/>
  <c r="BN447"/>
  <c r="BM447"/>
  <c r="BL447" s="1"/>
  <c r="BK447"/>
  <c r="BJ447"/>
  <c r="BI447"/>
  <c r="BH447"/>
  <c r="BG447"/>
  <c r="BF447"/>
  <c r="BE447"/>
  <c r="BD447"/>
  <c r="BC447"/>
  <c r="BB447"/>
  <c r="AX447"/>
  <c r="AW447"/>
  <c r="AV447"/>
  <c r="AC447"/>
  <c r="H447"/>
  <c r="G447" s="1"/>
  <c r="BT446"/>
  <c r="BS446"/>
  <c r="BR446"/>
  <c r="BQ446"/>
  <c r="BP446"/>
  <c r="BO446"/>
  <c r="BN446"/>
  <c r="BM446"/>
  <c r="BK446"/>
  <c r="BJ446"/>
  <c r="BI446"/>
  <c r="BH446"/>
  <c r="BG446"/>
  <c r="BF446"/>
  <c r="BE446"/>
  <c r="BD446"/>
  <c r="BC446"/>
  <c r="BB446"/>
  <c r="BA446"/>
  <c r="AX446"/>
  <c r="AW446"/>
  <c r="AV446"/>
  <c r="AC446"/>
  <c r="H446"/>
  <c r="G446"/>
  <c r="BT445"/>
  <c r="BS445"/>
  <c r="BR445"/>
  <c r="BQ445"/>
  <c r="BP445"/>
  <c r="BO445"/>
  <c r="BN445"/>
  <c r="BM445"/>
  <c r="BL445" s="1"/>
  <c r="BK445"/>
  <c r="BJ445"/>
  <c r="BI445"/>
  <c r="BH445"/>
  <c r="BG445"/>
  <c r="BF445"/>
  <c r="BE445"/>
  <c r="BD445"/>
  <c r="BC445"/>
  <c r="BB445"/>
  <c r="BA445" s="1"/>
  <c r="AZ445" s="1"/>
  <c r="AX445"/>
  <c r="AW445"/>
  <c r="AV445"/>
  <c r="AC445"/>
  <c r="H445"/>
  <c r="G445" s="1"/>
  <c r="BT444"/>
  <c r="BS444"/>
  <c r="BR444"/>
  <c r="BQ444"/>
  <c r="BP444"/>
  <c r="BO444"/>
  <c r="BN444"/>
  <c r="BM444"/>
  <c r="BL444" s="1"/>
  <c r="BK444"/>
  <c r="BJ444"/>
  <c r="BI444"/>
  <c r="BH444"/>
  <c r="BG444"/>
  <c r="BF444"/>
  <c r="BE444"/>
  <c r="BD444"/>
  <c r="BC444"/>
  <c r="BB444"/>
  <c r="AX444"/>
  <c r="AW444"/>
  <c r="AV444"/>
  <c r="AC444"/>
  <c r="H444"/>
  <c r="G444" s="1"/>
  <c r="BT443"/>
  <c r="BS443"/>
  <c r="BR443"/>
  <c r="BQ443"/>
  <c r="BP443"/>
  <c r="BO443"/>
  <c r="BN443"/>
  <c r="BM443"/>
  <c r="BK443"/>
  <c r="BJ443"/>
  <c r="BI443"/>
  <c r="BH443"/>
  <c r="BG443"/>
  <c r="BF443"/>
  <c r="BE443"/>
  <c r="BD443"/>
  <c r="BC443"/>
  <c r="BB443"/>
  <c r="BA443"/>
  <c r="AX443"/>
  <c r="AW443"/>
  <c r="AV443"/>
  <c r="AC443"/>
  <c r="H443"/>
  <c r="G443"/>
  <c r="BT442"/>
  <c r="BS442"/>
  <c r="BR442"/>
  <c r="BQ442"/>
  <c r="BP442"/>
  <c r="BO442"/>
  <c r="BN442"/>
  <c r="BM442"/>
  <c r="BL442" s="1"/>
  <c r="BK442"/>
  <c r="BJ442"/>
  <c r="BI442"/>
  <c r="BH442"/>
  <c r="BG442"/>
  <c r="BF442"/>
  <c r="BE442"/>
  <c r="BD442"/>
  <c r="BC442"/>
  <c r="BB442"/>
  <c r="BA442" s="1"/>
  <c r="AX442"/>
  <c r="AW442"/>
  <c r="AV442"/>
  <c r="AC442"/>
  <c r="H442"/>
  <c r="G442" s="1"/>
  <c r="BT441"/>
  <c r="BS441"/>
  <c r="BR441"/>
  <c r="BQ441"/>
  <c r="BP441"/>
  <c r="BO441"/>
  <c r="BN441"/>
  <c r="BM441"/>
  <c r="BK441"/>
  <c r="BJ441"/>
  <c r="BI441"/>
  <c r="BH441"/>
  <c r="BG441"/>
  <c r="BF441"/>
  <c r="BE441"/>
  <c r="BD441"/>
  <c r="BC441"/>
  <c r="BB441"/>
  <c r="BA441"/>
  <c r="AX441"/>
  <c r="AW441"/>
  <c r="AV441"/>
  <c r="AC441"/>
  <c r="H441"/>
  <c r="BT440"/>
  <c r="BS440"/>
  <c r="BR440"/>
  <c r="BQ440"/>
  <c r="BP440"/>
  <c r="BO440"/>
  <c r="BN440"/>
  <c r="BM440"/>
  <c r="BL440"/>
  <c r="BK440"/>
  <c r="BJ440"/>
  <c r="BI440"/>
  <c r="BH440"/>
  <c r="BG440"/>
  <c r="BF440"/>
  <c r="BE440"/>
  <c r="BD440"/>
  <c r="BC440"/>
  <c r="BB440"/>
  <c r="BA440" s="1"/>
  <c r="AZ440" s="1"/>
  <c r="AX440"/>
  <c r="AW440"/>
  <c r="AV440"/>
  <c r="AC440"/>
  <c r="H440"/>
  <c r="BT439"/>
  <c r="BS439"/>
  <c r="BR439"/>
  <c r="BQ439"/>
  <c r="BP439"/>
  <c r="BO439"/>
  <c r="BN439"/>
  <c r="BM439"/>
  <c r="BL439"/>
  <c r="BK439"/>
  <c r="BJ439"/>
  <c r="BI439"/>
  <c r="BH439"/>
  <c r="BG439"/>
  <c r="BF439"/>
  <c r="BE439"/>
  <c r="BD439"/>
  <c r="BC439"/>
  <c r="BB439"/>
  <c r="BA439" s="1"/>
  <c r="AZ439" s="1"/>
  <c r="AX439"/>
  <c r="AW439"/>
  <c r="AV439"/>
  <c r="AC439"/>
  <c r="H439"/>
  <c r="G439"/>
  <c r="BT438"/>
  <c r="BS438"/>
  <c r="BR438"/>
  <c r="BQ438"/>
  <c r="BP438"/>
  <c r="BO438"/>
  <c r="BN438"/>
  <c r="BM438"/>
  <c r="BL438" s="1"/>
  <c r="BK438"/>
  <c r="BJ438"/>
  <c r="BI438"/>
  <c r="BH438"/>
  <c r="BG438"/>
  <c r="BF438"/>
  <c r="BE438"/>
  <c r="BD438"/>
  <c r="BC438"/>
  <c r="BB438"/>
  <c r="BA438" s="1"/>
  <c r="AX438"/>
  <c r="AW438"/>
  <c r="AV438"/>
  <c r="AC438"/>
  <c r="H438"/>
  <c r="G438" s="1"/>
  <c r="BT437"/>
  <c r="BS437"/>
  <c r="BR437"/>
  <c r="BQ437"/>
  <c r="BP437"/>
  <c r="BO437"/>
  <c r="BN437"/>
  <c r="BM437"/>
  <c r="BK437"/>
  <c r="BJ437"/>
  <c r="BI437"/>
  <c r="BH437"/>
  <c r="BG437"/>
  <c r="BF437"/>
  <c r="BE437"/>
  <c r="BD437"/>
  <c r="BC437"/>
  <c r="BB437"/>
  <c r="BA437"/>
  <c r="AX437"/>
  <c r="AW437"/>
  <c r="AV437"/>
  <c r="AC437"/>
  <c r="H437"/>
  <c r="BT436"/>
  <c r="BS436"/>
  <c r="BR436"/>
  <c r="BQ436"/>
  <c r="BP436"/>
  <c r="BO436"/>
  <c r="BN436"/>
  <c r="BM436"/>
  <c r="BL436"/>
  <c r="BK436"/>
  <c r="BJ436"/>
  <c r="BI436"/>
  <c r="BH436"/>
  <c r="BG436"/>
  <c r="BF436"/>
  <c r="BE436"/>
  <c r="BD436"/>
  <c r="BC436"/>
  <c r="BB436"/>
  <c r="BA436" s="1"/>
  <c r="AZ436" s="1"/>
  <c r="AX436"/>
  <c r="AW436"/>
  <c r="AV436"/>
  <c r="AC436"/>
  <c r="H436"/>
  <c r="G436"/>
  <c r="BT435"/>
  <c r="BS435"/>
  <c r="BR435"/>
  <c r="BQ435"/>
  <c r="BP435"/>
  <c r="BO435"/>
  <c r="BN435"/>
  <c r="BM435"/>
  <c r="BL435" s="1"/>
  <c r="BK435"/>
  <c r="BJ435"/>
  <c r="BI435"/>
  <c r="BH435"/>
  <c r="BG435"/>
  <c r="BF435"/>
  <c r="BE435"/>
  <c r="BD435"/>
  <c r="BC435"/>
  <c r="BB435"/>
  <c r="BA435" s="1"/>
  <c r="AX435"/>
  <c r="AW435"/>
  <c r="AV435"/>
  <c r="AC435"/>
  <c r="H435"/>
  <c r="G435" s="1"/>
  <c r="BT434"/>
  <c r="BS434"/>
  <c r="BR434"/>
  <c r="BQ434"/>
  <c r="BP434"/>
  <c r="BO434"/>
  <c r="BN434"/>
  <c r="BM434"/>
  <c r="BK434"/>
  <c r="BJ434"/>
  <c r="BI434"/>
  <c r="BH434"/>
  <c r="BG434"/>
  <c r="BF434"/>
  <c r="BE434"/>
  <c r="BD434"/>
  <c r="BC434"/>
  <c r="BB434"/>
  <c r="BA434"/>
  <c r="AX434"/>
  <c r="AW434"/>
  <c r="AV434"/>
  <c r="AC434"/>
  <c r="H434"/>
  <c r="G434"/>
  <c r="BT433"/>
  <c r="BS433"/>
  <c r="BR433"/>
  <c r="BQ433"/>
  <c r="BP433"/>
  <c r="BO433"/>
  <c r="BN433"/>
  <c r="BM433"/>
  <c r="BL433" s="1"/>
  <c r="BK433"/>
  <c r="BJ433"/>
  <c r="BI433"/>
  <c r="BH433"/>
  <c r="BG433"/>
  <c r="BF433"/>
  <c r="BE433"/>
  <c r="BD433"/>
  <c r="BC433"/>
  <c r="BB433"/>
  <c r="BA433" s="1"/>
  <c r="AX433"/>
  <c r="AW433"/>
  <c r="AV433"/>
  <c r="AC433"/>
  <c r="H433"/>
  <c r="G433" s="1"/>
  <c r="BT432"/>
  <c r="BS432"/>
  <c r="BR432"/>
  <c r="BQ432"/>
  <c r="BP432"/>
  <c r="BO432"/>
  <c r="BN432"/>
  <c r="BM432"/>
  <c r="BL432" s="1"/>
  <c r="BK432"/>
  <c r="BJ432"/>
  <c r="BI432"/>
  <c r="BH432"/>
  <c r="BG432"/>
  <c r="BF432"/>
  <c r="BE432"/>
  <c r="BD432"/>
  <c r="BC432"/>
  <c r="BB432"/>
  <c r="AX432"/>
  <c r="AW432"/>
  <c r="AV432"/>
  <c r="AC432"/>
  <c r="H432"/>
  <c r="G432" s="1"/>
  <c r="BT431"/>
  <c r="BS431"/>
  <c r="BR431"/>
  <c r="BQ431"/>
  <c r="BP431"/>
  <c r="BO431"/>
  <c r="BN431"/>
  <c r="BM431"/>
  <c r="BK431"/>
  <c r="BJ431"/>
  <c r="BI431"/>
  <c r="BH431"/>
  <c r="BG431"/>
  <c r="BF431"/>
  <c r="BE431"/>
  <c r="BD431"/>
  <c r="BC431"/>
  <c r="BB431"/>
  <c r="BA431"/>
  <c r="AX431"/>
  <c r="AW431"/>
  <c r="AV431"/>
  <c r="AC431"/>
  <c r="H431"/>
  <c r="BT430"/>
  <c r="BS430"/>
  <c r="BR430"/>
  <c r="BQ430"/>
  <c r="BP430"/>
  <c r="BO430"/>
  <c r="BN430"/>
  <c r="BM430"/>
  <c r="BL430"/>
  <c r="BK430"/>
  <c r="BJ430"/>
  <c r="BI430"/>
  <c r="BH430"/>
  <c r="BG430"/>
  <c r="BF430"/>
  <c r="BE430"/>
  <c r="BD430"/>
  <c r="BC430"/>
  <c r="BB430"/>
  <c r="BA430" s="1"/>
  <c r="AZ430" s="1"/>
  <c r="AX430"/>
  <c r="AW430"/>
  <c r="AV430"/>
  <c r="AC430"/>
  <c r="H430"/>
  <c r="BT429"/>
  <c r="BS429"/>
  <c r="BR429"/>
  <c r="BQ429"/>
  <c r="BP429"/>
  <c r="BO429"/>
  <c r="BN429"/>
  <c r="BM429"/>
  <c r="BL429"/>
  <c r="BK429"/>
  <c r="BJ429"/>
  <c r="BI429"/>
  <c r="BH429"/>
  <c r="BG429"/>
  <c r="BF429"/>
  <c r="BE429"/>
  <c r="BD429"/>
  <c r="BC429"/>
  <c r="BB429"/>
  <c r="BA429" s="1"/>
  <c r="AZ429" s="1"/>
  <c r="AX429"/>
  <c r="AW429"/>
  <c r="AV429"/>
  <c r="AC429"/>
  <c r="H429"/>
  <c r="G429"/>
  <c r="BT428"/>
  <c r="BS428"/>
  <c r="BR428"/>
  <c r="BQ428"/>
  <c r="BP428"/>
  <c r="BO428"/>
  <c r="BN428"/>
  <c r="BM428"/>
  <c r="BL428" s="1"/>
  <c r="BK428"/>
  <c r="BJ428"/>
  <c r="BI428"/>
  <c r="BH428"/>
  <c r="BG428"/>
  <c r="BF428"/>
  <c r="BE428"/>
  <c r="BD428"/>
  <c r="BC428"/>
  <c r="BB428"/>
  <c r="BA428" s="1"/>
  <c r="AX428"/>
  <c r="AW428"/>
  <c r="AV428"/>
  <c r="AC428"/>
  <c r="H428"/>
  <c r="G428" s="1"/>
  <c r="BT427"/>
  <c r="BS427"/>
  <c r="BR427"/>
  <c r="BQ427"/>
  <c r="BP427"/>
  <c r="BO427"/>
  <c r="BN427"/>
  <c r="BM427"/>
  <c r="BL427" s="1"/>
  <c r="BK427"/>
  <c r="BJ427"/>
  <c r="BI427"/>
  <c r="BH427"/>
  <c r="BG427"/>
  <c r="BF427"/>
  <c r="BE427"/>
  <c r="BD427"/>
  <c r="BC427"/>
  <c r="BB427"/>
  <c r="AX427"/>
  <c r="AW427"/>
  <c r="AV427"/>
  <c r="AC427"/>
  <c r="H427"/>
  <c r="G427" s="1"/>
  <c r="BT426"/>
  <c r="BS426"/>
  <c r="BR426"/>
  <c r="BQ426"/>
  <c r="BP426"/>
  <c r="BO426"/>
  <c r="BN426"/>
  <c r="BM426"/>
  <c r="BL426" s="1"/>
  <c r="BK426"/>
  <c r="BJ426"/>
  <c r="BI426"/>
  <c r="BH426"/>
  <c r="BG426"/>
  <c r="BF426"/>
  <c r="BE426"/>
  <c r="BD426"/>
  <c r="BC426"/>
  <c r="BB426"/>
  <c r="AX426"/>
  <c r="AW426"/>
  <c r="AV426"/>
  <c r="AC426"/>
  <c r="H426"/>
  <c r="G426" s="1"/>
  <c r="BT425"/>
  <c r="BS425"/>
  <c r="BR425"/>
  <c r="BQ425"/>
  <c r="BP425"/>
  <c r="BO425"/>
  <c r="BN425"/>
  <c r="BM425"/>
  <c r="BK425"/>
  <c r="BJ425"/>
  <c r="BI425"/>
  <c r="BH425"/>
  <c r="BG425"/>
  <c r="BF425"/>
  <c r="BE425"/>
  <c r="BD425"/>
  <c r="BC425"/>
  <c r="BB425"/>
  <c r="BA425"/>
  <c r="AX425"/>
  <c r="AW425"/>
  <c r="AV425"/>
  <c r="AC425"/>
  <c r="H425"/>
  <c r="BT424"/>
  <c r="BS424"/>
  <c r="BR424"/>
  <c r="BQ424"/>
  <c r="BP424"/>
  <c r="BO424"/>
  <c r="BN424"/>
  <c r="BM424"/>
  <c r="BL424"/>
  <c r="BK424"/>
  <c r="BJ424"/>
  <c r="BI424"/>
  <c r="BH424"/>
  <c r="BG424"/>
  <c r="BF424"/>
  <c r="BE424"/>
  <c r="BD424"/>
  <c r="BC424"/>
  <c r="BB424"/>
  <c r="BA424" s="1"/>
  <c r="AZ424" s="1"/>
  <c r="AX424"/>
  <c r="AW424"/>
  <c r="AV424"/>
  <c r="AC424"/>
  <c r="H424"/>
  <c r="BT423"/>
  <c r="BS423"/>
  <c r="BR423"/>
  <c r="BQ423"/>
  <c r="BP423"/>
  <c r="BO423"/>
  <c r="BN423"/>
  <c r="BM423"/>
  <c r="BL423"/>
  <c r="BK423"/>
  <c r="BJ423"/>
  <c r="BI423"/>
  <c r="BH423"/>
  <c r="BG423"/>
  <c r="BF423"/>
  <c r="BE423"/>
  <c r="BD423"/>
  <c r="BC423"/>
  <c r="BB423"/>
  <c r="BA423" s="1"/>
  <c r="AZ423" s="1"/>
  <c r="AX423"/>
  <c r="AW423"/>
  <c r="AV423"/>
  <c r="AC423"/>
  <c r="H423"/>
  <c r="G423"/>
  <c r="BT422"/>
  <c r="BS422"/>
  <c r="BR422"/>
  <c r="BQ422"/>
  <c r="BP422"/>
  <c r="BO422"/>
  <c r="BN422"/>
  <c r="BM422"/>
  <c r="BL422" s="1"/>
  <c r="BK422"/>
  <c r="BJ422"/>
  <c r="BI422"/>
  <c r="BH422"/>
  <c r="BG422"/>
  <c r="BF422"/>
  <c r="BE422"/>
  <c r="BD422"/>
  <c r="BC422"/>
  <c r="BB422"/>
  <c r="BA422" s="1"/>
  <c r="AX422"/>
  <c r="AW422"/>
  <c r="AV422"/>
  <c r="AC422"/>
  <c r="H422"/>
  <c r="G422" s="1"/>
  <c r="BT421"/>
  <c r="BS421"/>
  <c r="BR421"/>
  <c r="BQ421"/>
  <c r="BP421"/>
  <c r="BO421"/>
  <c r="BN421"/>
  <c r="BM421"/>
  <c r="BK421"/>
  <c r="BJ421"/>
  <c r="BI421"/>
  <c r="BH421"/>
  <c r="BG421"/>
  <c r="BF421"/>
  <c r="BE421"/>
  <c r="BD421"/>
  <c r="BC421"/>
  <c r="BB421"/>
  <c r="BA421"/>
  <c r="AX421"/>
  <c r="AW421"/>
  <c r="AV421"/>
  <c r="AC421"/>
  <c r="H421"/>
  <c r="BT420"/>
  <c r="BS420"/>
  <c r="BR420"/>
  <c r="BQ420"/>
  <c r="BP420"/>
  <c r="BO420"/>
  <c r="BN420"/>
  <c r="BM420"/>
  <c r="BL420"/>
  <c r="BK420"/>
  <c r="BJ420"/>
  <c r="BI420"/>
  <c r="BH420"/>
  <c r="BG420"/>
  <c r="BF420"/>
  <c r="BE420"/>
  <c r="BD420"/>
  <c r="BC420"/>
  <c r="BB420"/>
  <c r="BA420" s="1"/>
  <c r="AZ420" s="1"/>
  <c r="AX420"/>
  <c r="AW420"/>
  <c r="AV420"/>
  <c r="AC420"/>
  <c r="H420"/>
  <c r="G420"/>
  <c r="BT419"/>
  <c r="BS419"/>
  <c r="BR419"/>
  <c r="BQ419"/>
  <c r="BP419"/>
  <c r="BO419"/>
  <c r="BN419"/>
  <c r="BM419"/>
  <c r="BL419" s="1"/>
  <c r="BK419"/>
  <c r="BJ419"/>
  <c r="BI419"/>
  <c r="BH419"/>
  <c r="BG419"/>
  <c r="BF419"/>
  <c r="BE419"/>
  <c r="BD419"/>
  <c r="BC419"/>
  <c r="BB419"/>
  <c r="BA419" s="1"/>
  <c r="AX419"/>
  <c r="AW419"/>
  <c r="AV419"/>
  <c r="AC419"/>
  <c r="H419"/>
  <c r="G419" s="1"/>
  <c r="BT418"/>
  <c r="BS418"/>
  <c r="BR418"/>
  <c r="BQ418"/>
  <c r="BP418"/>
  <c r="BO418"/>
  <c r="BN418"/>
  <c r="BM418"/>
  <c r="BK418"/>
  <c r="BJ418"/>
  <c r="BI418"/>
  <c r="BH418"/>
  <c r="BG418"/>
  <c r="BF418"/>
  <c r="BE418"/>
  <c r="BD418"/>
  <c r="BC418"/>
  <c r="BB418"/>
  <c r="BA418"/>
  <c r="AX418"/>
  <c r="AW418"/>
  <c r="AV418"/>
  <c r="AC418"/>
  <c r="H418"/>
  <c r="G418"/>
  <c r="BT417"/>
  <c r="BS417"/>
  <c r="BR417"/>
  <c r="BQ417"/>
  <c r="BP417"/>
  <c r="BO417"/>
  <c r="BN417"/>
  <c r="BM417"/>
  <c r="BL417" s="1"/>
  <c r="BK417"/>
  <c r="BJ417"/>
  <c r="BI417"/>
  <c r="BH417"/>
  <c r="BG417"/>
  <c r="BF417"/>
  <c r="BE417"/>
  <c r="BD417"/>
  <c r="BC417"/>
  <c r="BB417"/>
  <c r="BA417" s="1"/>
  <c r="AX417"/>
  <c r="AW417"/>
  <c r="AV417"/>
  <c r="AC417"/>
  <c r="H417"/>
  <c r="G417" s="1"/>
  <c r="BT416"/>
  <c r="BS416"/>
  <c r="BR416"/>
  <c r="BQ416"/>
  <c r="BP416"/>
  <c r="BO416"/>
  <c r="BN416"/>
  <c r="BM416"/>
  <c r="BL416" s="1"/>
  <c r="BK416"/>
  <c r="BJ416"/>
  <c r="BI416"/>
  <c r="BH416"/>
  <c r="BG416"/>
  <c r="BF416"/>
  <c r="BE416"/>
  <c r="BD416"/>
  <c r="BC416"/>
  <c r="BB416"/>
  <c r="AX416"/>
  <c r="AW416"/>
  <c r="AV416"/>
  <c r="AC416"/>
  <c r="H416"/>
  <c r="G416" s="1"/>
  <c r="BT415"/>
  <c r="BS415"/>
  <c r="BR415"/>
  <c r="BQ415"/>
  <c r="BP415"/>
  <c r="BO415"/>
  <c r="BN415"/>
  <c r="BM415"/>
  <c r="BK415"/>
  <c r="BJ415"/>
  <c r="BI415"/>
  <c r="BH415"/>
  <c r="BG415"/>
  <c r="BF415"/>
  <c r="BE415"/>
  <c r="BD415"/>
  <c r="BC415"/>
  <c r="BB415"/>
  <c r="BA415"/>
  <c r="AX415"/>
  <c r="AW415"/>
  <c r="AV415"/>
  <c r="AC415"/>
  <c r="H415"/>
  <c r="BT414"/>
  <c r="BS414"/>
  <c r="BR414"/>
  <c r="BQ414"/>
  <c r="BP414"/>
  <c r="BO414"/>
  <c r="BN414"/>
  <c r="BM414"/>
  <c r="BL414"/>
  <c r="BK414"/>
  <c r="BJ414"/>
  <c r="BI414"/>
  <c r="BH414"/>
  <c r="BG414"/>
  <c r="BF414"/>
  <c r="BE414"/>
  <c r="BD414"/>
  <c r="BC414"/>
  <c r="BB414"/>
  <c r="BA414" s="1"/>
  <c r="AZ414" s="1"/>
  <c r="AX414"/>
  <c r="AW414"/>
  <c r="AV414"/>
  <c r="AC414"/>
  <c r="H414"/>
  <c r="BT413"/>
  <c r="BS413"/>
  <c r="BR413"/>
  <c r="BQ413"/>
  <c r="BP413"/>
  <c r="BO413"/>
  <c r="BN413"/>
  <c r="BM413"/>
  <c r="BL413"/>
  <c r="BK413"/>
  <c r="BJ413"/>
  <c r="BI413"/>
  <c r="BH413"/>
  <c r="BG413"/>
  <c r="BF413"/>
  <c r="BE413"/>
  <c r="BD413"/>
  <c r="BC413"/>
  <c r="BB413"/>
  <c r="BA413" s="1"/>
  <c r="AZ413" s="1"/>
  <c r="AX413"/>
  <c r="AW413"/>
  <c r="AV413"/>
  <c r="AC413"/>
  <c r="H413"/>
  <c r="G413"/>
  <c r="BT412"/>
  <c r="BS412"/>
  <c r="BR412"/>
  <c r="BQ412"/>
  <c r="BP412"/>
  <c r="BO412"/>
  <c r="BN412"/>
  <c r="BM412"/>
  <c r="BL412" s="1"/>
  <c r="BK412"/>
  <c r="BJ412"/>
  <c r="BI412"/>
  <c r="BH412"/>
  <c r="BG412"/>
  <c r="BF412"/>
  <c r="BE412"/>
  <c r="BD412"/>
  <c r="BC412"/>
  <c r="BB412"/>
  <c r="BA412" s="1"/>
  <c r="AX412"/>
  <c r="AW412"/>
  <c r="AV412"/>
  <c r="AC412"/>
  <c r="H412"/>
  <c r="G412" s="1"/>
  <c r="BT411"/>
  <c r="BS411"/>
  <c r="BR411"/>
  <c r="BQ411"/>
  <c r="BP411"/>
  <c r="BO411"/>
  <c r="BN411"/>
  <c r="BM411"/>
  <c r="BL411" s="1"/>
  <c r="BK411"/>
  <c r="BJ411"/>
  <c r="BI411"/>
  <c r="BH411"/>
  <c r="BG411"/>
  <c r="BF411"/>
  <c r="BE411"/>
  <c r="BD411"/>
  <c r="BC411"/>
  <c r="BB411"/>
  <c r="AX411"/>
  <c r="AW411"/>
  <c r="AV411"/>
  <c r="AC411"/>
  <c r="H411"/>
  <c r="G411" s="1"/>
  <c r="BT410"/>
  <c r="BS410"/>
  <c r="BR410"/>
  <c r="BQ410"/>
  <c r="BP410"/>
  <c r="BO410"/>
  <c r="BN410"/>
  <c r="BM410"/>
  <c r="BL410" s="1"/>
  <c r="BK410"/>
  <c r="BJ410"/>
  <c r="BI410"/>
  <c r="BH410"/>
  <c r="BG410"/>
  <c r="BF410"/>
  <c r="BE410"/>
  <c r="BD410"/>
  <c r="BC410"/>
  <c r="BB410"/>
  <c r="AX410"/>
  <c r="AW410"/>
  <c r="AV410"/>
  <c r="AC410"/>
  <c r="H410"/>
  <c r="G410" s="1"/>
  <c r="BT409"/>
  <c r="BS409"/>
  <c r="BR409"/>
  <c r="BQ409"/>
  <c r="BP409"/>
  <c r="BO409"/>
  <c r="BN409"/>
  <c r="BM409"/>
  <c r="BL409" s="1"/>
  <c r="BK409"/>
  <c r="BJ409"/>
  <c r="BI409"/>
  <c r="BH409"/>
  <c r="BG409"/>
  <c r="BF409"/>
  <c r="BE409"/>
  <c r="BD409"/>
  <c r="BC409"/>
  <c r="BB409"/>
  <c r="AX409"/>
  <c r="AW409"/>
  <c r="AV409"/>
  <c r="AC409"/>
  <c r="H409"/>
  <c r="G409" s="1"/>
  <c r="BT408"/>
  <c r="BS408"/>
  <c r="BR408"/>
  <c r="BQ408"/>
  <c r="BP408"/>
  <c r="BO408"/>
  <c r="BN408"/>
  <c r="BM408"/>
  <c r="BK408"/>
  <c r="BJ408"/>
  <c r="BI408"/>
  <c r="BH408"/>
  <c r="BG408"/>
  <c r="BF408"/>
  <c r="BE408"/>
  <c r="BD408"/>
  <c r="BC408"/>
  <c r="BB408"/>
  <c r="BA408"/>
  <c r="AX408"/>
  <c r="AW408"/>
  <c r="AV408"/>
  <c r="AC408"/>
  <c r="H408"/>
  <c r="BT407"/>
  <c r="BS407"/>
  <c r="BR407"/>
  <c r="BQ407"/>
  <c r="BP407"/>
  <c r="BO407"/>
  <c r="BN407"/>
  <c r="BM407"/>
  <c r="BL407"/>
  <c r="BK407"/>
  <c r="BJ407"/>
  <c r="BI407"/>
  <c r="BH407"/>
  <c r="BG407"/>
  <c r="BF407"/>
  <c r="BE407"/>
  <c r="BD407"/>
  <c r="BC407"/>
  <c r="BB407"/>
  <c r="BA407" s="1"/>
  <c r="AZ407" s="1"/>
  <c r="AX407"/>
  <c r="AW407"/>
  <c r="AV407"/>
  <c r="AC407"/>
  <c r="H407"/>
  <c r="G407"/>
  <c r="BT406"/>
  <c r="BS406"/>
  <c r="BR406"/>
  <c r="BQ406"/>
  <c r="BP406"/>
  <c r="BO406"/>
  <c r="BN406"/>
  <c r="BM406"/>
  <c r="BL406" s="1"/>
  <c r="BK406"/>
  <c r="BJ406"/>
  <c r="BI406"/>
  <c r="BH406"/>
  <c r="BG406"/>
  <c r="BF406"/>
  <c r="BE406"/>
  <c r="BD406"/>
  <c r="BC406"/>
  <c r="BB406"/>
  <c r="BA406" s="1"/>
  <c r="AX406"/>
  <c r="AW406"/>
  <c r="AV406"/>
  <c r="AC406"/>
  <c r="H406"/>
  <c r="G406" s="1"/>
  <c r="BT405"/>
  <c r="BS405"/>
  <c r="BR405"/>
  <c r="BQ405"/>
  <c r="BP405"/>
  <c r="BO405"/>
  <c r="BN405"/>
  <c r="BM405"/>
  <c r="BK405"/>
  <c r="BJ405"/>
  <c r="BI405"/>
  <c r="BH405"/>
  <c r="BG405"/>
  <c r="BF405"/>
  <c r="BE405"/>
  <c r="BD405"/>
  <c r="BC405"/>
  <c r="BB405"/>
  <c r="BA405"/>
  <c r="AX405"/>
  <c r="AW405"/>
  <c r="AV405"/>
  <c r="AC405"/>
  <c r="H405"/>
  <c r="BT404"/>
  <c r="BS404"/>
  <c r="BR404"/>
  <c r="BQ404"/>
  <c r="BP404"/>
  <c r="BO404"/>
  <c r="BN404"/>
  <c r="BM404"/>
  <c r="BL404"/>
  <c r="BK404"/>
  <c r="BJ404"/>
  <c r="BI404"/>
  <c r="BH404"/>
  <c r="BG404"/>
  <c r="BF404"/>
  <c r="BE404"/>
  <c r="BD404"/>
  <c r="BC404"/>
  <c r="BB404"/>
  <c r="BA404" s="1"/>
  <c r="AZ404" s="1"/>
  <c r="AX404"/>
  <c r="AW404"/>
  <c r="AV404"/>
  <c r="AC404"/>
  <c r="H404"/>
  <c r="G404"/>
  <c r="BT403"/>
  <c r="BS403"/>
  <c r="BR403"/>
  <c r="BQ403"/>
  <c r="BP403"/>
  <c r="BO403"/>
  <c r="BN403"/>
  <c r="BM403"/>
  <c r="BL403" s="1"/>
  <c r="BK403"/>
  <c r="BJ403"/>
  <c r="BI403"/>
  <c r="BH403"/>
  <c r="BG403"/>
  <c r="BF403"/>
  <c r="BE403"/>
  <c r="BD403"/>
  <c r="BC403"/>
  <c r="BB403"/>
  <c r="BA403" s="1"/>
  <c r="AX403"/>
  <c r="AW403"/>
  <c r="AV403"/>
  <c r="AC403"/>
  <c r="H403"/>
  <c r="G403" s="1"/>
  <c r="BT402"/>
  <c r="BS402"/>
  <c r="BR402"/>
  <c r="BQ402"/>
  <c r="BP402"/>
  <c r="BO402"/>
  <c r="BN402"/>
  <c r="BM402"/>
  <c r="BK402"/>
  <c r="BJ402"/>
  <c r="BI402"/>
  <c r="BH402"/>
  <c r="BG402"/>
  <c r="BF402"/>
  <c r="BE402"/>
  <c r="BD402"/>
  <c r="BC402"/>
  <c r="BB402"/>
  <c r="BA402"/>
  <c r="AX402"/>
  <c r="AW402"/>
  <c r="AV402"/>
  <c r="AC402"/>
  <c r="H402"/>
  <c r="G402"/>
  <c r="BT401"/>
  <c r="BS401"/>
  <c r="BR401"/>
  <c r="BQ401"/>
  <c r="BP401"/>
  <c r="BO401"/>
  <c r="BN401"/>
  <c r="BM401"/>
  <c r="BL401" s="1"/>
  <c r="BK401"/>
  <c r="BJ401"/>
  <c r="BI401"/>
  <c r="BH401"/>
  <c r="BG401"/>
  <c r="BF401"/>
  <c r="BE401"/>
  <c r="BD401"/>
  <c r="BC401"/>
  <c r="BB401"/>
  <c r="BA401" s="1"/>
  <c r="AX401"/>
  <c r="AW401"/>
  <c r="AV401"/>
  <c r="AC401"/>
  <c r="H401"/>
  <c r="G401" s="1"/>
  <c r="BT400"/>
  <c r="BS400"/>
  <c r="BR400"/>
  <c r="BQ400"/>
  <c r="BP400"/>
  <c r="BO400"/>
  <c r="BN400"/>
  <c r="BM400"/>
  <c r="BL400" s="1"/>
  <c r="BK400"/>
  <c r="BJ400"/>
  <c r="BI400"/>
  <c r="BH400"/>
  <c r="BG400"/>
  <c r="BF400"/>
  <c r="BE400"/>
  <c r="BD400"/>
  <c r="BC400"/>
  <c r="BB400"/>
  <c r="AX400"/>
  <c r="AW400"/>
  <c r="AV400"/>
  <c r="AC400"/>
  <c r="H400"/>
  <c r="G400" s="1"/>
  <c r="BT399"/>
  <c r="BS399"/>
  <c r="BR399"/>
  <c r="BQ399"/>
  <c r="BP399"/>
  <c r="BO399"/>
  <c r="BN399"/>
  <c r="BM399"/>
  <c r="BK399"/>
  <c r="BJ399"/>
  <c r="BI399"/>
  <c r="BH399"/>
  <c r="BG399"/>
  <c r="BF399"/>
  <c r="BE399"/>
  <c r="BD399"/>
  <c r="BC399"/>
  <c r="BB399"/>
  <c r="BA399"/>
  <c r="AX399"/>
  <c r="AW399"/>
  <c r="AV399"/>
  <c r="AC399"/>
  <c r="H399"/>
  <c r="BT398"/>
  <c r="BS398"/>
  <c r="BR398"/>
  <c r="BQ398"/>
  <c r="BP398"/>
  <c r="BO398"/>
  <c r="BN398"/>
  <c r="BM398"/>
  <c r="BL398"/>
  <c r="BK398"/>
  <c r="BJ398"/>
  <c r="BI398"/>
  <c r="BH398"/>
  <c r="BG398"/>
  <c r="BF398"/>
  <c r="BE398"/>
  <c r="BD398"/>
  <c r="BC398"/>
  <c r="BB398"/>
  <c r="BA398" s="1"/>
  <c r="AZ398" s="1"/>
  <c r="AX398"/>
  <c r="AW398"/>
  <c r="AV398"/>
  <c r="AC398"/>
  <c r="H398"/>
  <c r="H60" i="40"/>
  <c r="I60" s="1"/>
  <c r="C60" s="1"/>
  <c r="H59"/>
  <c r="I59" s="1"/>
  <c r="C59" s="1"/>
  <c r="H58"/>
  <c r="I58" s="1"/>
  <c r="C58" s="1"/>
  <c r="H57"/>
  <c r="I57" s="1"/>
  <c r="C57" s="1"/>
  <c r="H56"/>
  <c r="I56" s="1"/>
  <c r="C56" s="1"/>
  <c r="H55"/>
  <c r="I55" s="1"/>
  <c r="C55" s="1"/>
  <c r="H54"/>
  <c r="I54" s="1"/>
  <c r="C54" s="1"/>
  <c r="H53"/>
  <c r="I53" s="1"/>
  <c r="C53" s="1"/>
  <c r="H52"/>
  <c r="I52" s="1"/>
  <c r="C52" s="1"/>
  <c r="H65" i="39"/>
  <c r="I65" s="1"/>
  <c r="C65" s="1"/>
  <c r="H64"/>
  <c r="I64" s="1"/>
  <c r="C64" s="1"/>
  <c r="H60"/>
  <c r="I60" s="1"/>
  <c r="C60" s="1"/>
  <c r="H59"/>
  <c r="I59" s="1"/>
  <c r="C59" s="1"/>
  <c r="H58"/>
  <c r="I58" s="1"/>
  <c r="C58" s="1"/>
  <c r="H57"/>
  <c r="I57" s="1"/>
  <c r="C57" s="1"/>
  <c r="H61"/>
  <c r="I61" s="1"/>
  <c r="C61" s="1"/>
  <c r="H63"/>
  <c r="I63" s="1"/>
  <c r="C63" s="1"/>
  <c r="H62"/>
  <c r="I62" s="1"/>
  <c r="C62" s="1"/>
  <c r="C145" i="21"/>
  <c r="K139" s="1"/>
  <c r="J142"/>
  <c r="J140"/>
  <c r="M87"/>
  <c r="L87"/>
  <c r="K87"/>
  <c r="J87"/>
  <c r="I87"/>
  <c r="H87"/>
  <c r="G87"/>
  <c r="F87"/>
  <c r="E87"/>
  <c r="D87"/>
  <c r="G2" i="43"/>
  <c r="X7" s="1"/>
  <c r="R26" i="31"/>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S255" s="1"/>
  <c r="R256"/>
  <c r="R257"/>
  <c r="S257" s="1"/>
  <c r="R258"/>
  <c r="R259"/>
  <c r="S259" s="1"/>
  <c r="R260"/>
  <c r="R261"/>
  <c r="S261" s="1"/>
  <c r="R262"/>
  <c r="R263"/>
  <c r="S263" s="1"/>
  <c r="R264"/>
  <c r="R265"/>
  <c r="S265" s="1"/>
  <c r="R266"/>
  <c r="R267"/>
  <c r="S267" s="1"/>
  <c r="R268"/>
  <c r="R269"/>
  <c r="S269" s="1"/>
  <c r="R270"/>
  <c r="R271"/>
  <c r="S271" s="1"/>
  <c r="R272"/>
  <c r="R273"/>
  <c r="S273" s="1"/>
  <c r="R274"/>
  <c r="R275"/>
  <c r="S275" s="1"/>
  <c r="R276"/>
  <c r="R277"/>
  <c r="S277" s="1"/>
  <c r="R278"/>
  <c r="R279"/>
  <c r="S279" s="1"/>
  <c r="R280"/>
  <c r="R281"/>
  <c r="S281" s="1"/>
  <c r="R282"/>
  <c r="R283"/>
  <c r="S283" s="1"/>
  <c r="R284"/>
  <c r="R285"/>
  <c r="S285" s="1"/>
  <c r="R286"/>
  <c r="R287"/>
  <c r="S287" s="1"/>
  <c r="R288"/>
  <c r="R289"/>
  <c r="S289" s="1"/>
  <c r="R290"/>
  <c r="R291"/>
  <c r="S291" s="1"/>
  <c r="R292"/>
  <c r="R293"/>
  <c r="S293" s="1"/>
  <c r="R294"/>
  <c r="R295"/>
  <c r="S295" s="1"/>
  <c r="R296"/>
  <c r="R297"/>
  <c r="S297" s="1"/>
  <c r="R298"/>
  <c r="R299"/>
  <c r="S299" s="1"/>
  <c r="R300"/>
  <c r="R301"/>
  <c r="S301" s="1"/>
  <c r="R302"/>
  <c r="R303"/>
  <c r="S303" s="1"/>
  <c r="R304"/>
  <c r="R305"/>
  <c r="S305" s="1"/>
  <c r="R306"/>
  <c r="R307"/>
  <c r="S307" s="1"/>
  <c r="R308"/>
  <c r="R309"/>
  <c r="S309" s="1"/>
  <c r="R310"/>
  <c r="R311"/>
  <c r="S311" s="1"/>
  <c r="R312"/>
  <c r="R313"/>
  <c r="S313" s="1"/>
  <c r="R314"/>
  <c r="R315"/>
  <c r="S315" s="1"/>
  <c r="R316"/>
  <c r="R317"/>
  <c r="S317" s="1"/>
  <c r="R318"/>
  <c r="R319"/>
  <c r="S319" s="1"/>
  <c r="R320"/>
  <c r="R321"/>
  <c r="S321" s="1"/>
  <c r="R322"/>
  <c r="R323"/>
  <c r="S323" s="1"/>
  <c r="R324"/>
  <c r="R325"/>
  <c r="S325" s="1"/>
  <c r="R326"/>
  <c r="R327"/>
  <c r="S327" s="1"/>
  <c r="R328"/>
  <c r="R329"/>
  <c r="S329" s="1"/>
  <c r="R330"/>
  <c r="R331"/>
  <c r="S331" s="1"/>
  <c r="R332"/>
  <c r="R333"/>
  <c r="S333" s="1"/>
  <c r="R334"/>
  <c r="R335"/>
  <c r="S335" s="1"/>
  <c r="R336"/>
  <c r="R337"/>
  <c r="S337" s="1"/>
  <c r="R338"/>
  <c r="R339"/>
  <c r="S339" s="1"/>
  <c r="R340"/>
  <c r="R341"/>
  <c r="S341" s="1"/>
  <c r="R342"/>
  <c r="R343"/>
  <c r="S343" s="1"/>
  <c r="R344"/>
  <c r="R345"/>
  <c r="S345" s="1"/>
  <c r="R346"/>
  <c r="R347"/>
  <c r="S347" s="1"/>
  <c r="R348"/>
  <c r="R349"/>
  <c r="S349" s="1"/>
  <c r="R350"/>
  <c r="R351"/>
  <c r="S351" s="1"/>
  <c r="R352"/>
  <c r="R353"/>
  <c r="S353" s="1"/>
  <c r="R354"/>
  <c r="R355"/>
  <c r="S355" s="1"/>
  <c r="R356"/>
  <c r="R357"/>
  <c r="S357" s="1"/>
  <c r="R358"/>
  <c r="R359"/>
  <c r="S359" s="1"/>
  <c r="R360"/>
  <c r="R361"/>
  <c r="S361" s="1"/>
  <c r="R362"/>
  <c r="R363"/>
  <c r="S363" s="1"/>
  <c r="R364"/>
  <c r="R365"/>
  <c r="S365" s="1"/>
  <c r="R366"/>
  <c r="R367"/>
  <c r="S367" s="1"/>
  <c r="R368"/>
  <c r="R369"/>
  <c r="S369" s="1"/>
  <c r="R370"/>
  <c r="R371"/>
  <c r="S371" s="1"/>
  <c r="R372"/>
  <c r="R373"/>
  <c r="S373" s="1"/>
  <c r="R374"/>
  <c r="R375"/>
  <c r="S375" s="1"/>
  <c r="R376"/>
  <c r="R377"/>
  <c r="S377" s="1"/>
  <c r="R378"/>
  <c r="R379"/>
  <c r="S379" s="1"/>
  <c r="R380"/>
  <c r="R381"/>
  <c r="S381" s="1"/>
  <c r="R382"/>
  <c r="R383"/>
  <c r="S383" s="1"/>
  <c r="R384"/>
  <c r="R385"/>
  <c r="S385" s="1"/>
  <c r="R386"/>
  <c r="R387"/>
  <c r="S387" s="1"/>
  <c r="R388"/>
  <c r="R389"/>
  <c r="S389" s="1"/>
  <c r="R390"/>
  <c r="R391"/>
  <c r="S391" s="1"/>
  <c r="R392"/>
  <c r="R393"/>
  <c r="S393" s="1"/>
  <c r="R394"/>
  <c r="R395"/>
  <c r="S395" s="1"/>
  <c r="R396"/>
  <c r="R397"/>
  <c r="S397" s="1"/>
  <c r="R398"/>
  <c r="R399"/>
  <c r="S399" s="1"/>
  <c r="R400"/>
  <c r="R401"/>
  <c r="S401" s="1"/>
  <c r="R402"/>
  <c r="R403"/>
  <c r="S403" s="1"/>
  <c r="R404"/>
  <c r="R405"/>
  <c r="S405" s="1"/>
  <c r="R406"/>
  <c r="R407"/>
  <c r="S407" s="1"/>
  <c r="R408"/>
  <c r="R409"/>
  <c r="S409" s="1"/>
  <c r="R410"/>
  <c r="R411"/>
  <c r="S411" s="1"/>
  <c r="R412"/>
  <c r="R413"/>
  <c r="S413" s="1"/>
  <c r="R414"/>
  <c r="R415"/>
  <c r="S415" s="1"/>
  <c r="R416"/>
  <c r="R417"/>
  <c r="S417" s="1"/>
  <c r="R418"/>
  <c r="R419"/>
  <c r="S419" s="1"/>
  <c r="R420"/>
  <c r="R421"/>
  <c r="S421" s="1"/>
  <c r="R422"/>
  <c r="R423"/>
  <c r="S423" s="1"/>
  <c r="R424"/>
  <c r="R425"/>
  <c r="R426"/>
  <c r="R427"/>
  <c r="R428"/>
  <c r="R429"/>
  <c r="R430"/>
  <c r="R431"/>
  <c r="R432"/>
  <c r="R433"/>
  <c r="R434"/>
  <c r="R435"/>
  <c r="R436"/>
  <c r="R437"/>
  <c r="R438"/>
  <c r="R439"/>
  <c r="R440"/>
  <c r="R441"/>
  <c r="R442"/>
  <c r="R443"/>
  <c r="R444"/>
  <c r="R445"/>
  <c r="R446"/>
  <c r="R447"/>
  <c r="R448"/>
  <c r="R449"/>
  <c r="R450"/>
  <c r="R451"/>
  <c r="R452"/>
  <c r="R453"/>
  <c r="R454"/>
  <c r="R455"/>
  <c r="R456"/>
  <c r="R457"/>
  <c r="R458"/>
  <c r="R459"/>
  <c r="R460"/>
  <c r="R461"/>
  <c r="R462"/>
  <c r="R463"/>
  <c r="R464"/>
  <c r="R465"/>
  <c r="R466"/>
  <c r="R467"/>
  <c r="R468"/>
  <c r="R469"/>
  <c r="R470"/>
  <c r="R471"/>
  <c r="R472"/>
  <c r="R473"/>
  <c r="R474"/>
  <c r="R475"/>
  <c r="R476"/>
  <c r="R477"/>
  <c r="R478"/>
  <c r="R479"/>
  <c r="R480"/>
  <c r="R481"/>
  <c r="R482"/>
  <c r="R483"/>
  <c r="R484"/>
  <c r="R485"/>
  <c r="R486"/>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25"/>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BM13" i="3"/>
  <c r="A6" i="52"/>
  <c r="B57" i="72" s="1"/>
  <c r="A10" i="52"/>
  <c r="B55" i="72" s="1"/>
  <c r="K4" i="9"/>
  <c r="L22" i="4"/>
  <c r="L20"/>
  <c r="A5" i="62"/>
  <c r="B72" i="72" s="1"/>
  <c r="A4" i="62"/>
  <c r="B70" i="72" s="1"/>
  <c r="F33" i="9"/>
  <c r="B13" i="53"/>
  <c r="B29" i="72" s="1"/>
  <c r="R35" i="4"/>
  <c r="Q35"/>
  <c r="P35"/>
  <c r="O35"/>
  <c r="N35"/>
  <c r="M35"/>
  <c r="L35"/>
  <c r="K34"/>
  <c r="T34" s="1"/>
  <c r="I15"/>
  <c r="H15"/>
  <c r="G15"/>
  <c r="F13" i="1" s="1"/>
  <c r="G13" s="1"/>
  <c r="E15" i="4"/>
  <c r="D15"/>
  <c r="L21"/>
  <c r="F19"/>
  <c r="F2" i="52"/>
  <c r="B50" i="72" s="1"/>
  <c r="D2" i="52"/>
  <c r="B46" i="72" s="1"/>
  <c r="B8" i="53"/>
  <c r="B23" i="72" s="1"/>
  <c r="L4" i="9"/>
  <c r="B17" i="72"/>
  <c r="B15"/>
  <c r="A3" i="51"/>
  <c r="C8" i="11"/>
  <c r="B2" i="49"/>
  <c r="B23" s="1"/>
  <c r="B40" i="48"/>
  <c r="B3" i="72" s="1"/>
  <c r="I2" i="43"/>
  <c r="N1" s="1"/>
  <c r="F35" i="4"/>
  <c r="J55" i="39" s="1"/>
  <c r="H34" i="43"/>
  <c r="H35"/>
  <c r="H36"/>
  <c r="H37"/>
  <c r="H38"/>
  <c r="H39"/>
  <c r="H33"/>
  <c r="J20"/>
  <c r="P17"/>
  <c r="O17"/>
  <c r="N17"/>
  <c r="G20" s="1"/>
  <c r="M17"/>
  <c r="C18"/>
  <c r="F15"/>
  <c r="E15"/>
  <c r="D15"/>
  <c r="C15"/>
  <c r="C10"/>
  <c r="C11" s="1"/>
  <c r="C9"/>
  <c r="A7"/>
  <c r="F33" i="15"/>
  <c r="F61" s="1"/>
  <c r="M19"/>
  <c r="BR13" i="3"/>
  <c r="B22" i="1"/>
  <c r="B23"/>
  <c r="B24"/>
  <c r="B43"/>
  <c r="D78" i="9" s="1"/>
  <c r="BQ13" i="3"/>
  <c r="BQ14"/>
  <c r="BQ15"/>
  <c r="BQ16"/>
  <c r="BQ17"/>
  <c r="BS13"/>
  <c r="BS14"/>
  <c r="BS15"/>
  <c r="BS16"/>
  <c r="BS17"/>
  <c r="BR14"/>
  <c r="BR15"/>
  <c r="BR16"/>
  <c r="BR17"/>
  <c r="BT13"/>
  <c r="BT14"/>
  <c r="BT15"/>
  <c r="BT16"/>
  <c r="BT17"/>
  <c r="BM14"/>
  <c r="BM15"/>
  <c r="BM16"/>
  <c r="BL16" s="1"/>
  <c r="BM17"/>
  <c r="BO13"/>
  <c r="BO14"/>
  <c r="BO15"/>
  <c r="BO16"/>
  <c r="BO17"/>
  <c r="BN13"/>
  <c r="BN14"/>
  <c r="BN15"/>
  <c r="BN16"/>
  <c r="BN17"/>
  <c r="BP13"/>
  <c r="BP14"/>
  <c r="BP15"/>
  <c r="BP16"/>
  <c r="BP17"/>
  <c r="E19" i="6"/>
  <c r="E20"/>
  <c r="E21"/>
  <c r="K8" i="1" s="1"/>
  <c r="F23" i="15"/>
  <c r="D24" s="1"/>
  <c r="E22" i="6"/>
  <c r="E23"/>
  <c r="E24"/>
  <c r="E25"/>
  <c r="E26"/>
  <c r="K13" i="1" s="1"/>
  <c r="M13" s="1"/>
  <c r="O13" s="1"/>
  <c r="P13" s="1"/>
  <c r="BB13" i="3"/>
  <c r="BC13"/>
  <c r="BD13"/>
  <c r="BE13"/>
  <c r="BF13"/>
  <c r="BG13"/>
  <c r="BH13"/>
  <c r="BI13"/>
  <c r="BJ13"/>
  <c r="BK13"/>
  <c r="BB14"/>
  <c r="BC14"/>
  <c r="BD14"/>
  <c r="BE14"/>
  <c r="BF14"/>
  <c r="BG14"/>
  <c r="BH14"/>
  <c r="BI14"/>
  <c r="BJ14"/>
  <c r="BK14"/>
  <c r="BB15"/>
  <c r="BC15"/>
  <c r="BD15"/>
  <c r="BE15"/>
  <c r="BF15"/>
  <c r="BG15"/>
  <c r="BH15"/>
  <c r="BI15"/>
  <c r="BJ15"/>
  <c r="BK15"/>
  <c r="BB16"/>
  <c r="BC16"/>
  <c r="BD16"/>
  <c r="BE16"/>
  <c r="BF16"/>
  <c r="BG16"/>
  <c r="BH16"/>
  <c r="BI16"/>
  <c r="BJ16"/>
  <c r="BK16"/>
  <c r="BB17"/>
  <c r="BC17"/>
  <c r="BD17"/>
  <c r="BE17"/>
  <c r="BF17"/>
  <c r="BG17"/>
  <c r="BH17"/>
  <c r="BI17"/>
  <c r="BJ17"/>
  <c r="BK17"/>
  <c r="BC10"/>
  <c r="BD10"/>
  <c r="BB10"/>
  <c r="H13"/>
  <c r="AC13"/>
  <c r="H14"/>
  <c r="AC14"/>
  <c r="H15"/>
  <c r="AC15"/>
  <c r="H16"/>
  <c r="AC16"/>
  <c r="H17"/>
  <c r="AC17"/>
  <c r="AT5"/>
  <c r="I5"/>
  <c r="AD5"/>
  <c r="AH5"/>
  <c r="AL5"/>
  <c r="AP5"/>
  <c r="F35" i="11"/>
  <c r="F36"/>
  <c r="F38"/>
  <c r="E37"/>
  <c r="F20"/>
  <c r="F21"/>
  <c r="C21" s="1"/>
  <c r="F7"/>
  <c r="C7" s="1"/>
  <c r="C5" s="1"/>
  <c r="F12" i="12"/>
  <c r="F13"/>
  <c r="F15"/>
  <c r="E14"/>
  <c r="BC11" i="3"/>
  <c r="BD11"/>
  <c r="BB11"/>
  <c r="E19" i="12"/>
  <c r="E17"/>
  <c r="F22"/>
  <c r="F23"/>
  <c r="F24"/>
  <c r="C17" i="9"/>
  <c r="D17"/>
  <c r="I55"/>
  <c r="F55" s="1"/>
  <c r="O53" s="1"/>
  <c r="D89"/>
  <c r="C89" s="1"/>
  <c r="C87" s="1"/>
  <c r="J55"/>
  <c r="B31" i="1"/>
  <c r="B52"/>
  <c r="M20" i="15" s="1"/>
  <c r="T4" i="1"/>
  <c r="F15" i="15"/>
  <c r="F17"/>
  <c r="F18"/>
  <c r="F20"/>
  <c r="F21"/>
  <c r="D3" i="35"/>
  <c r="E59" i="9"/>
  <c r="N55" s="1"/>
  <c r="K55"/>
  <c r="F59"/>
  <c r="N54"/>
  <c r="N53"/>
  <c r="E48"/>
  <c r="N52" s="1"/>
  <c r="O55"/>
  <c r="F56"/>
  <c r="O54" s="1"/>
  <c r="D101"/>
  <c r="C101"/>
  <c r="H104"/>
  <c r="D10" i="53" s="1"/>
  <c r="B26" i="72" s="1"/>
  <c r="C30" i="40"/>
  <c r="C28"/>
  <c r="C23" i="39"/>
  <c r="C19" i="40"/>
  <c r="D27" i="9"/>
  <c r="D30" s="1"/>
  <c r="B30"/>
  <c r="C25" s="1"/>
  <c r="D77"/>
  <c r="E90"/>
  <c r="H77"/>
  <c r="H105"/>
  <c r="D11" i="53" s="1"/>
  <c r="B27" i="72" s="1"/>
  <c r="H106" i="9"/>
  <c r="D12" i="53" s="1"/>
  <c r="B28" i="72" s="1"/>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6"/>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6"/>
  <c r="E27"/>
  <c r="E28"/>
  <c r="P23"/>
  <c r="N23"/>
  <c r="L23"/>
  <c r="J23"/>
  <c r="H23"/>
  <c r="F23"/>
  <c r="Q25"/>
  <c r="O25"/>
  <c r="M25"/>
  <c r="K25"/>
  <c r="G25"/>
  <c r="E25"/>
  <c r="S422"/>
  <c r="S420"/>
  <c r="S418"/>
  <c r="S416"/>
  <c r="S414"/>
  <c r="S412"/>
  <c r="S410"/>
  <c r="S408"/>
  <c r="S406"/>
  <c r="S404"/>
  <c r="S402"/>
  <c r="S400"/>
  <c r="S398"/>
  <c r="S396"/>
  <c r="S394"/>
  <c r="S392"/>
  <c r="S390"/>
  <c r="S388"/>
  <c r="S386"/>
  <c r="S384"/>
  <c r="S382"/>
  <c r="S380"/>
  <c r="S378"/>
  <c r="S376"/>
  <c r="S374"/>
  <c r="S372"/>
  <c r="S370"/>
  <c r="S368"/>
  <c r="S366"/>
  <c r="S364"/>
  <c r="S362"/>
  <c r="S360"/>
  <c r="S358"/>
  <c r="S356"/>
  <c r="S354"/>
  <c r="S352"/>
  <c r="S350"/>
  <c r="S348"/>
  <c r="S346"/>
  <c r="S344"/>
  <c r="S342"/>
  <c r="S340"/>
  <c r="S338"/>
  <c r="S336"/>
  <c r="S334"/>
  <c r="S332"/>
  <c r="S330"/>
  <c r="S328"/>
  <c r="S326"/>
  <c r="S324"/>
  <c r="S322"/>
  <c r="S424"/>
  <c r="S320"/>
  <c r="S318"/>
  <c r="S316"/>
  <c r="S314"/>
  <c r="S312"/>
  <c r="S310"/>
  <c r="S308"/>
  <c r="S306"/>
  <c r="S304"/>
  <c r="S302"/>
  <c r="S300"/>
  <c r="S298"/>
  <c r="S296"/>
  <c r="S294"/>
  <c r="S292"/>
  <c r="S290"/>
  <c r="S288"/>
  <c r="S286"/>
  <c r="S284"/>
  <c r="S282"/>
  <c r="S280"/>
  <c r="S278"/>
  <c r="S276"/>
  <c r="S274"/>
  <c r="S272"/>
  <c r="S270"/>
  <c r="S268"/>
  <c r="S266"/>
  <c r="S264"/>
  <c r="S262"/>
  <c r="S260"/>
  <c r="S258"/>
  <c r="S256"/>
  <c r="S254"/>
  <c r="S253"/>
  <c r="S252"/>
  <c r="S251"/>
  <c r="S250"/>
  <c r="S249"/>
  <c r="S248"/>
  <c r="S247"/>
  <c r="S246"/>
  <c r="S245"/>
  <c r="S244"/>
  <c r="S243"/>
  <c r="S242"/>
  <c r="S241"/>
  <c r="S240"/>
  <c r="S239"/>
  <c r="S238"/>
  <c r="S237"/>
  <c r="S236"/>
  <c r="S235"/>
  <c r="S234"/>
  <c r="S233"/>
  <c r="S232"/>
  <c r="S231"/>
  <c r="S230"/>
  <c r="S229"/>
  <c r="S228"/>
  <c r="S227"/>
  <c r="S226"/>
  <c r="S225"/>
  <c r="S224"/>
  <c r="S223"/>
  <c r="S429"/>
  <c r="S428"/>
  <c r="S427"/>
  <c r="S426"/>
  <c r="S425"/>
  <c r="S222"/>
  <c r="S221"/>
  <c r="S220"/>
  <c r="S219"/>
  <c r="S218"/>
  <c r="S217"/>
  <c r="S216"/>
  <c r="S215"/>
  <c r="S214"/>
  <c r="S213"/>
  <c r="S212"/>
  <c r="S211"/>
  <c r="S210"/>
  <c r="S209"/>
  <c r="S208"/>
  <c r="S207"/>
  <c r="S206"/>
  <c r="S205"/>
  <c r="S204"/>
  <c r="S203"/>
  <c r="S202"/>
  <c r="S201"/>
  <c r="S200"/>
  <c r="S199"/>
  <c r="S198"/>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S145"/>
  <c r="S144"/>
  <c r="S143"/>
  <c r="S142"/>
  <c r="S141"/>
  <c r="S140"/>
  <c r="S139"/>
  <c r="S138"/>
  <c r="S137"/>
  <c r="S136"/>
  <c r="S135"/>
  <c r="S134"/>
  <c r="S133"/>
  <c r="S132"/>
  <c r="S131"/>
  <c r="S130"/>
  <c r="S129"/>
  <c r="S128"/>
  <c r="S127"/>
  <c r="S126"/>
  <c r="S125"/>
  <c r="S124"/>
  <c r="S123"/>
  <c r="S497"/>
  <c r="S496"/>
  <c r="S495"/>
  <c r="S494"/>
  <c r="S493"/>
  <c r="S492"/>
  <c r="S491"/>
  <c r="S490"/>
  <c r="S489"/>
  <c r="S488"/>
  <c r="S487"/>
  <c r="S486"/>
  <c r="S485"/>
  <c r="S484"/>
  <c r="S483"/>
  <c r="S482"/>
  <c r="S481"/>
  <c r="S480"/>
  <c r="S479"/>
  <c r="S478"/>
  <c r="S477"/>
  <c r="S476"/>
  <c r="S475"/>
  <c r="S474"/>
  <c r="S473"/>
  <c r="S472"/>
  <c r="S471"/>
  <c r="S470"/>
  <c r="S469"/>
  <c r="S468"/>
  <c r="S444"/>
  <c r="S443"/>
  <c r="S442"/>
  <c r="S441"/>
  <c r="S440"/>
  <c r="S439"/>
  <c r="S438"/>
  <c r="S437"/>
  <c r="S436"/>
  <c r="S435"/>
  <c r="S434"/>
  <c r="S433"/>
  <c r="S432"/>
  <c r="S431"/>
  <c r="S430"/>
  <c r="S122"/>
  <c r="S121"/>
  <c r="S120"/>
  <c r="S119"/>
  <c r="S118"/>
  <c r="S117"/>
  <c r="S116"/>
  <c r="S115"/>
  <c r="S114"/>
  <c r="S113"/>
  <c r="S112"/>
  <c r="S506"/>
  <c r="S504"/>
  <c r="S502"/>
  <c r="S500"/>
  <c r="S498"/>
  <c r="S467"/>
  <c r="S466"/>
  <c r="S465"/>
  <c r="S464"/>
  <c r="S463"/>
  <c r="S462"/>
  <c r="S461"/>
  <c r="S460"/>
  <c r="S459"/>
  <c r="S458"/>
  <c r="S457"/>
  <c r="S456"/>
  <c r="S455"/>
  <c r="S454"/>
  <c r="S453"/>
  <c r="S452"/>
  <c r="S451"/>
  <c r="S450"/>
  <c r="S54"/>
  <c r="S53"/>
  <c r="S52"/>
  <c r="S51"/>
  <c r="S50"/>
  <c r="S49"/>
  <c r="S48"/>
  <c r="S47"/>
  <c r="S46"/>
  <c r="S45"/>
  <c r="S44"/>
  <c r="S43"/>
  <c r="S42"/>
  <c r="S41"/>
  <c r="S40"/>
  <c r="S39"/>
  <c r="S38"/>
  <c r="S37"/>
  <c r="S36"/>
  <c r="S35"/>
  <c r="S34"/>
  <c r="S33"/>
  <c r="S32"/>
  <c r="S77"/>
  <c r="S76"/>
  <c r="S75"/>
  <c r="S74"/>
  <c r="S73"/>
  <c r="S72"/>
  <c r="S71"/>
  <c r="S70"/>
  <c r="S69"/>
  <c r="S68"/>
  <c r="S67"/>
  <c r="S66"/>
  <c r="S65"/>
  <c r="S64"/>
  <c r="S63"/>
  <c r="S62"/>
  <c r="S61"/>
  <c r="S60"/>
  <c r="S59"/>
  <c r="S58"/>
  <c r="S57"/>
  <c r="S56"/>
  <c r="S55"/>
  <c r="S24"/>
  <c r="S97"/>
  <c r="S96"/>
  <c r="S95"/>
  <c r="S94"/>
  <c r="S93"/>
  <c r="S92"/>
  <c r="S91"/>
  <c r="S90"/>
  <c r="S89"/>
  <c r="S88"/>
  <c r="S87"/>
  <c r="S86"/>
  <c r="S85"/>
  <c r="S84"/>
  <c r="S83"/>
  <c r="S82"/>
  <c r="S81"/>
  <c r="S80"/>
  <c r="S79"/>
  <c r="S78"/>
  <c r="S31"/>
  <c r="S30"/>
  <c r="S29"/>
  <c r="S98"/>
  <c r="S99"/>
  <c r="S100"/>
  <c r="S101"/>
  <c r="S102"/>
  <c r="S103"/>
  <c r="S104"/>
  <c r="S105"/>
  <c r="S106"/>
  <c r="S107"/>
  <c r="S108"/>
  <c r="S109"/>
  <c r="S110"/>
  <c r="S111"/>
  <c r="S445"/>
  <c r="S446"/>
  <c r="S447"/>
  <c r="S448"/>
  <c r="S449"/>
  <c r="S507"/>
  <c r="S508"/>
  <c r="S509"/>
  <c r="S510"/>
  <c r="S511"/>
  <c r="S512"/>
  <c r="S513"/>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G526" s="1"/>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G542" s="1"/>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O548"/>
  <c r="BP548"/>
  <c r="BQ548"/>
  <c r="BR548"/>
  <c r="BS548"/>
  <c r="BT548"/>
  <c r="H549"/>
  <c r="AC549"/>
  <c r="BB549"/>
  <c r="BC549"/>
  <c r="BD549"/>
  <c r="BE549"/>
  <c r="BF549"/>
  <c r="BG549"/>
  <c r="BH549"/>
  <c r="BI549"/>
  <c r="BJ549"/>
  <c r="BK549"/>
  <c r="BM549"/>
  <c r="BN549"/>
  <c r="BO549"/>
  <c r="BP549"/>
  <c r="BR549"/>
  <c r="BS549"/>
  <c r="BT549"/>
  <c r="H550"/>
  <c r="AC550"/>
  <c r="BB550"/>
  <c r="BC550"/>
  <c r="BD550"/>
  <c r="BE550"/>
  <c r="BF550"/>
  <c r="BG550"/>
  <c r="BH550"/>
  <c r="BI550"/>
  <c r="BJ550"/>
  <c r="BK550"/>
  <c r="BM550"/>
  <c r="BN550"/>
  <c r="BO550"/>
  <c r="BP550"/>
  <c r="BQ550"/>
  <c r="BR550"/>
  <c r="BS550"/>
  <c r="BT550"/>
  <c r="H551"/>
  <c r="G551" s="1"/>
  <c r="AC551"/>
  <c r="BB551"/>
  <c r="BC551"/>
  <c r="BD551"/>
  <c r="BE551"/>
  <c r="BF551"/>
  <c r="BG551"/>
  <c r="BH551"/>
  <c r="BI551"/>
  <c r="BJ551"/>
  <c r="BK551"/>
  <c r="BM551"/>
  <c r="BN551"/>
  <c r="BO551"/>
  <c r="BP551"/>
  <c r="BR551"/>
  <c r="BS551"/>
  <c r="BT551"/>
  <c r="H552"/>
  <c r="AC552"/>
  <c r="G552" s="1"/>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s="1"/>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G566" s="1"/>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G570" s="1"/>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s="1"/>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B112"/>
  <c r="J30" i="36"/>
  <c r="H30"/>
  <c r="F30"/>
  <c r="AA30" s="1"/>
  <c r="C26" i="35"/>
  <c r="C79" s="1"/>
  <c r="J31"/>
  <c r="W31" s="1"/>
  <c r="H31"/>
  <c r="F31"/>
  <c r="D87"/>
  <c r="E87" s="1"/>
  <c r="F87" s="1"/>
  <c r="G87" s="1"/>
  <c r="H34" i="37"/>
  <c r="D101"/>
  <c r="E101" s="1"/>
  <c r="F101" s="1"/>
  <c r="G101" s="1"/>
  <c r="H101" s="1"/>
  <c r="I101" s="1"/>
  <c r="J101" s="1"/>
  <c r="K101" s="1"/>
  <c r="L101" s="1"/>
  <c r="M101" s="1"/>
  <c r="F34"/>
  <c r="D99"/>
  <c r="E99" s="1"/>
  <c r="F99" s="1"/>
  <c r="G99" s="1"/>
  <c r="H99" s="1"/>
  <c r="I99" s="1"/>
  <c r="J99" s="1"/>
  <c r="K99" s="1"/>
  <c r="L99" s="1"/>
  <c r="M99" s="1"/>
  <c r="H42" i="34"/>
  <c r="J42"/>
  <c r="W42" s="1"/>
  <c r="F42"/>
  <c r="AA42" s="1"/>
  <c r="J38"/>
  <c r="W38" s="1"/>
  <c r="D114"/>
  <c r="E114" s="1"/>
  <c r="F114" s="1"/>
  <c r="G114" s="1"/>
  <c r="H114" s="1"/>
  <c r="I114" s="1"/>
  <c r="J114" s="1"/>
  <c r="K114" s="1"/>
  <c r="L114" s="1"/>
  <c r="M114" s="1"/>
  <c r="F38"/>
  <c r="S38" s="1"/>
  <c r="D112"/>
  <c r="E112" s="1"/>
  <c r="F112" s="1"/>
  <c r="G112" s="1"/>
  <c r="H112" s="1"/>
  <c r="I112" s="1"/>
  <c r="J112" s="1"/>
  <c r="K112" s="1"/>
  <c r="L112" s="1"/>
  <c r="M112" s="1"/>
  <c r="F40" i="33"/>
  <c r="J41"/>
  <c r="W41" s="1"/>
  <c r="D113"/>
  <c r="F37" s="1"/>
  <c r="D111"/>
  <c r="E111" s="1"/>
  <c r="F111" s="1"/>
  <c r="S515" i="31"/>
  <c r="S516"/>
  <c r="S517"/>
  <c r="S518"/>
  <c r="S519"/>
  <c r="S520"/>
  <c r="S521"/>
  <c r="S522"/>
  <c r="S523"/>
  <c r="S524"/>
  <c r="F41" i="21"/>
  <c r="J41"/>
  <c r="AC41" s="1"/>
  <c r="H41"/>
  <c r="U41" s="1"/>
  <c r="D81" i="39"/>
  <c r="E81" s="1"/>
  <c r="F81" s="1"/>
  <c r="G81" s="1"/>
  <c r="H81" s="1"/>
  <c r="I81" s="1"/>
  <c r="J81" s="1"/>
  <c r="K81" s="1"/>
  <c r="L81" s="1"/>
  <c r="M81" s="1"/>
  <c r="D76" i="40"/>
  <c r="E76" s="1"/>
  <c r="F76" s="1"/>
  <c r="G76" s="1"/>
  <c r="H76" s="1"/>
  <c r="I76" s="1"/>
  <c r="J76" s="1"/>
  <c r="K76" s="1"/>
  <c r="L76" s="1"/>
  <c r="M76" s="1"/>
  <c r="B120"/>
  <c r="B118"/>
  <c r="J39" s="1"/>
  <c r="B116"/>
  <c r="D115"/>
  <c r="E115" s="1"/>
  <c r="F115" s="1"/>
  <c r="G115" s="1"/>
  <c r="H115" s="1"/>
  <c r="I115" s="1"/>
  <c r="J115" s="1"/>
  <c r="K115" s="1"/>
  <c r="L115" s="1"/>
  <c r="M115" s="1"/>
  <c r="D113"/>
  <c r="E113" s="1"/>
  <c r="F113" s="1"/>
  <c r="G113" s="1"/>
  <c r="H113" s="1"/>
  <c r="I113" s="1"/>
  <c r="J113" s="1"/>
  <c r="K113" s="1"/>
  <c r="L113" s="1"/>
  <c r="M113" s="1"/>
  <c r="D111"/>
  <c r="E111" s="1"/>
  <c r="M107"/>
  <c r="L107"/>
  <c r="K107"/>
  <c r="J107"/>
  <c r="H107"/>
  <c r="G107"/>
  <c r="F107"/>
  <c r="E107"/>
  <c r="D107"/>
  <c r="C107"/>
  <c r="B105"/>
  <c r="J33" s="1"/>
  <c r="W33" s="1"/>
  <c r="B103"/>
  <c r="J32" s="1"/>
  <c r="B101"/>
  <c r="J31" s="1"/>
  <c r="AC31" s="1"/>
  <c r="D100"/>
  <c r="E100" s="1"/>
  <c r="F100" s="1"/>
  <c r="G100" s="1"/>
  <c r="H100" s="1"/>
  <c r="I100" s="1"/>
  <c r="J100" s="1"/>
  <c r="K100" s="1"/>
  <c r="L100" s="1"/>
  <c r="M100" s="1"/>
  <c r="D98"/>
  <c r="J28"/>
  <c r="AC28" s="1"/>
  <c r="D96"/>
  <c r="E96" s="1"/>
  <c r="F96" s="1"/>
  <c r="G96" s="1"/>
  <c r="H96" s="1"/>
  <c r="I96" s="1"/>
  <c r="J96" s="1"/>
  <c r="K96" s="1"/>
  <c r="L96" s="1"/>
  <c r="M96" s="1"/>
  <c r="B95"/>
  <c r="D92"/>
  <c r="E92" s="1"/>
  <c r="F92" s="1"/>
  <c r="G92" s="1"/>
  <c r="D90"/>
  <c r="E90" s="1"/>
  <c r="F90" s="1"/>
  <c r="G90" s="1"/>
  <c r="D88"/>
  <c r="E88"/>
  <c r="D86"/>
  <c r="E86" s="1"/>
  <c r="F86" s="1"/>
  <c r="G86" s="1"/>
  <c r="D84"/>
  <c r="E84" s="1"/>
  <c r="F84" s="1"/>
  <c r="G84" s="1"/>
  <c r="B81"/>
  <c r="B79"/>
  <c r="B77"/>
  <c r="J12"/>
  <c r="W12" s="1"/>
  <c r="M74"/>
  <c r="L74"/>
  <c r="K74"/>
  <c r="J74"/>
  <c r="I74"/>
  <c r="H74"/>
  <c r="G74"/>
  <c r="F74"/>
  <c r="E74"/>
  <c r="D74"/>
  <c r="C74"/>
  <c r="P43"/>
  <c r="P42"/>
  <c r="V41"/>
  <c r="T41"/>
  <c r="R41"/>
  <c r="P41"/>
  <c r="Q40"/>
  <c r="Z40" s="1"/>
  <c r="H40"/>
  <c r="Q39"/>
  <c r="Z39" s="1"/>
  <c r="H39"/>
  <c r="U39" s="1"/>
  <c r="Q38"/>
  <c r="Z38" s="1"/>
  <c r="J38"/>
  <c r="AC38" s="1"/>
  <c r="Q37"/>
  <c r="Z37" s="1"/>
  <c r="Q36"/>
  <c r="Z36" s="1"/>
  <c r="Q35"/>
  <c r="Z35" s="1"/>
  <c r="Q34"/>
  <c r="Z34"/>
  <c r="J34"/>
  <c r="AC34" s="1"/>
  <c r="H34"/>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H9"/>
  <c r="AB9" s="1"/>
  <c r="F9"/>
  <c r="S9" s="1"/>
  <c r="J8"/>
  <c r="AC8" s="1"/>
  <c r="H8"/>
  <c r="AB8" s="1"/>
  <c r="F8"/>
  <c r="AA8" s="1"/>
  <c r="J38" i="39"/>
  <c r="W38" s="1"/>
  <c r="H38"/>
  <c r="AB38" s="1"/>
  <c r="F38"/>
  <c r="AA38" s="1"/>
  <c r="D124"/>
  <c r="E124" s="1"/>
  <c r="F124" s="1"/>
  <c r="G124" s="1"/>
  <c r="H124" s="1"/>
  <c r="I124" s="1"/>
  <c r="J124" s="1"/>
  <c r="K124" s="1"/>
  <c r="L124" s="1"/>
  <c r="M124" s="1"/>
  <c r="D120"/>
  <c r="E120" s="1"/>
  <c r="B114"/>
  <c r="J37"/>
  <c r="D109"/>
  <c r="D107"/>
  <c r="E107" s="1"/>
  <c r="D105"/>
  <c r="D101"/>
  <c r="D99"/>
  <c r="E99" s="1"/>
  <c r="F99" s="1"/>
  <c r="G99" s="1"/>
  <c r="Q39"/>
  <c r="Z39"/>
  <c r="Q40"/>
  <c r="Z40"/>
  <c r="Q41"/>
  <c r="Z41"/>
  <c r="Q42"/>
  <c r="Z42"/>
  <c r="Q43"/>
  <c r="Z43" s="1"/>
  <c r="Q44"/>
  <c r="Z44" s="1"/>
  <c r="Q45"/>
  <c r="Z45" s="1"/>
  <c r="Q38"/>
  <c r="Z38" s="1"/>
  <c r="Q36"/>
  <c r="Z36" s="1"/>
  <c r="Q37"/>
  <c r="Z37" s="1"/>
  <c r="B131"/>
  <c r="B129"/>
  <c r="H44" s="1"/>
  <c r="B127"/>
  <c r="J43" s="1"/>
  <c r="D126"/>
  <c r="E126" s="1"/>
  <c r="F126" s="1"/>
  <c r="G126" s="1"/>
  <c r="H126" s="1"/>
  <c r="I126" s="1"/>
  <c r="J126" s="1"/>
  <c r="K126" s="1"/>
  <c r="L126" s="1"/>
  <c r="M126" s="1"/>
  <c r="D122"/>
  <c r="E122" s="1"/>
  <c r="F122" s="1"/>
  <c r="G122" s="1"/>
  <c r="H122" s="1"/>
  <c r="I122" s="1"/>
  <c r="J122" s="1"/>
  <c r="K122" s="1"/>
  <c r="L122" s="1"/>
  <c r="M122" s="1"/>
  <c r="H35"/>
  <c r="AB35" s="1"/>
  <c r="B104"/>
  <c r="D97"/>
  <c r="J23" s="1"/>
  <c r="AC23" s="1"/>
  <c r="D95"/>
  <c r="E95" s="1"/>
  <c r="F95" s="1"/>
  <c r="D93"/>
  <c r="E93" s="1"/>
  <c r="F93" s="1"/>
  <c r="G93" s="1"/>
  <c r="D91"/>
  <c r="D89"/>
  <c r="E89" s="1"/>
  <c r="F89" s="1"/>
  <c r="G89" s="1"/>
  <c r="B86"/>
  <c r="B84"/>
  <c r="B82"/>
  <c r="J12" s="1"/>
  <c r="M79"/>
  <c r="L79"/>
  <c r="K79"/>
  <c r="J79"/>
  <c r="I79"/>
  <c r="H79"/>
  <c r="G79"/>
  <c r="F79"/>
  <c r="E79"/>
  <c r="D79"/>
  <c r="C79"/>
  <c r="P48"/>
  <c r="P47"/>
  <c r="V46"/>
  <c r="T46"/>
  <c r="R46"/>
  <c r="P46"/>
  <c r="F44"/>
  <c r="AA44" s="1"/>
  <c r="J40"/>
  <c r="AC40" s="1"/>
  <c r="F40"/>
  <c r="Q35"/>
  <c r="Z35" s="1"/>
  <c r="Q34"/>
  <c r="Z34" s="1"/>
  <c r="Q32"/>
  <c r="Z32" s="1"/>
  <c r="Q31"/>
  <c r="Z31" s="1"/>
  <c r="Q27"/>
  <c r="Z27" s="1"/>
  <c r="Q25"/>
  <c r="Z25" s="1"/>
  <c r="Q23"/>
  <c r="Z23" s="1"/>
  <c r="Q21"/>
  <c r="Z21" s="1"/>
  <c r="Q19"/>
  <c r="Z19" s="1"/>
  <c r="Q17"/>
  <c r="Z17" s="1"/>
  <c r="Q15"/>
  <c r="Z15" s="1"/>
  <c r="Q14"/>
  <c r="Z14" s="1"/>
  <c r="Q13"/>
  <c r="Z13" s="1"/>
  <c r="Q12"/>
  <c r="Z12" s="1"/>
  <c r="Q11"/>
  <c r="Z11" s="1"/>
  <c r="Q10"/>
  <c r="Z10" s="1"/>
  <c r="Q9"/>
  <c r="Z9" s="1"/>
  <c r="J9"/>
  <c r="AC9" s="1"/>
  <c r="H9"/>
  <c r="AB9" s="1"/>
  <c r="F9"/>
  <c r="AA9" s="1"/>
  <c r="J8"/>
  <c r="AC8" s="1"/>
  <c r="H8"/>
  <c r="U8" s="1"/>
  <c r="F8"/>
  <c r="AA8" s="1"/>
  <c r="C20" i="36"/>
  <c r="C20" i="35"/>
  <c r="C16" i="36"/>
  <c r="C16" i="35"/>
  <c r="C14" i="36"/>
  <c r="C14" i="35"/>
  <c r="B80" i="37"/>
  <c r="H25"/>
  <c r="U25" s="1"/>
  <c r="B110"/>
  <c r="J39"/>
  <c r="AC39" s="1"/>
  <c r="B108"/>
  <c r="C23"/>
  <c r="C19"/>
  <c r="C17"/>
  <c r="C15"/>
  <c r="B112"/>
  <c r="D107"/>
  <c r="E107"/>
  <c r="D105"/>
  <c r="E105"/>
  <c r="D103"/>
  <c r="J35"/>
  <c r="W35" s="1"/>
  <c r="F97"/>
  <c r="E97"/>
  <c r="D97"/>
  <c r="C97"/>
  <c r="D96"/>
  <c r="E96"/>
  <c r="D94"/>
  <c r="M90"/>
  <c r="L90"/>
  <c r="K90"/>
  <c r="J90"/>
  <c r="I90"/>
  <c r="H90"/>
  <c r="G90"/>
  <c r="F90"/>
  <c r="E90"/>
  <c r="D90"/>
  <c r="C90"/>
  <c r="D89"/>
  <c r="B86"/>
  <c r="J28" s="1"/>
  <c r="AC28" s="1"/>
  <c r="B84"/>
  <c r="H27"/>
  <c r="U27" s="1"/>
  <c r="B82"/>
  <c r="D79"/>
  <c r="E79" s="1"/>
  <c r="D75"/>
  <c r="E75" s="1"/>
  <c r="D73"/>
  <c r="E73" s="1"/>
  <c r="F73" s="1"/>
  <c r="D71"/>
  <c r="H15"/>
  <c r="AB15" s="1"/>
  <c r="B68"/>
  <c r="H14"/>
  <c r="B66"/>
  <c r="B64"/>
  <c r="D63"/>
  <c r="E63" s="1"/>
  <c r="M61"/>
  <c r="L61"/>
  <c r="K61"/>
  <c r="J61"/>
  <c r="I61"/>
  <c r="H61"/>
  <c r="G61"/>
  <c r="F61"/>
  <c r="E61"/>
  <c r="D61"/>
  <c r="C61"/>
  <c r="F60"/>
  <c r="G60" s="1"/>
  <c r="C57"/>
  <c r="P43"/>
  <c r="P42"/>
  <c r="V41"/>
  <c r="T41"/>
  <c r="R41"/>
  <c r="P41"/>
  <c r="Q40"/>
  <c r="Z40"/>
  <c r="Q39"/>
  <c r="Z39"/>
  <c r="Q38"/>
  <c r="Z38"/>
  <c r="Q37"/>
  <c r="Z37"/>
  <c r="Q36"/>
  <c r="Z36"/>
  <c r="Q35"/>
  <c r="Z35" s="1"/>
  <c r="Q34"/>
  <c r="Z34" s="1"/>
  <c r="Q33"/>
  <c r="Z33" s="1"/>
  <c r="Q32"/>
  <c r="Z32" s="1"/>
  <c r="Q31"/>
  <c r="Z31" s="1"/>
  <c r="J31"/>
  <c r="AC31" s="1"/>
  <c r="Q30"/>
  <c r="Z30" s="1"/>
  <c r="J30"/>
  <c r="AC30" s="1"/>
  <c r="H30"/>
  <c r="AB30" s="1"/>
  <c r="F30"/>
  <c r="AA30" s="1"/>
  <c r="Q29"/>
  <c r="Z29"/>
  <c r="H29"/>
  <c r="AB29" s="1"/>
  <c r="Q28"/>
  <c r="Z28" s="1"/>
  <c r="Q27"/>
  <c r="Z27" s="1"/>
  <c r="Q26"/>
  <c r="Z26" s="1"/>
  <c r="J26"/>
  <c r="AC26" s="1"/>
  <c r="H26"/>
  <c r="AB26" s="1"/>
  <c r="F26"/>
  <c r="AA26" s="1"/>
  <c r="Q25"/>
  <c r="Z25" s="1"/>
  <c r="J25"/>
  <c r="AC25" s="1"/>
  <c r="F25"/>
  <c r="AA25" s="1"/>
  <c r="Q23"/>
  <c r="Z23" s="1"/>
  <c r="Q19"/>
  <c r="Z19" s="1"/>
  <c r="Q17"/>
  <c r="Z17" s="1"/>
  <c r="Q15"/>
  <c r="Z15" s="1"/>
  <c r="Q14"/>
  <c r="Z14" s="1"/>
  <c r="Q13"/>
  <c r="Z13" s="1"/>
  <c r="Q12"/>
  <c r="Z12" s="1"/>
  <c r="Q11"/>
  <c r="Z11" s="1"/>
  <c r="Q10"/>
  <c r="Z10" s="1"/>
  <c r="F10"/>
  <c r="Q9"/>
  <c r="Z9" s="1"/>
  <c r="J8"/>
  <c r="W8" s="1"/>
  <c r="H8"/>
  <c r="AB8" s="1"/>
  <c r="F8"/>
  <c r="S8" s="1"/>
  <c r="J31" i="36"/>
  <c r="H31"/>
  <c r="F31"/>
  <c r="S31" s="1"/>
  <c r="M86"/>
  <c r="L86"/>
  <c r="K86"/>
  <c r="J86"/>
  <c r="I86"/>
  <c r="H86"/>
  <c r="G86"/>
  <c r="F86"/>
  <c r="E86"/>
  <c r="D86"/>
  <c r="C86"/>
  <c r="D85"/>
  <c r="H29"/>
  <c r="D81"/>
  <c r="E81" s="1"/>
  <c r="F81" s="1"/>
  <c r="G81" s="1"/>
  <c r="H81" s="1"/>
  <c r="I81" s="1"/>
  <c r="J81" s="1"/>
  <c r="K81" s="1"/>
  <c r="L81" s="1"/>
  <c r="M81" s="1"/>
  <c r="F79"/>
  <c r="E79"/>
  <c r="D79"/>
  <c r="C79"/>
  <c r="B93"/>
  <c r="B91"/>
  <c r="F32" s="1"/>
  <c r="B95"/>
  <c r="H34" s="1"/>
  <c r="D83"/>
  <c r="E83" s="1"/>
  <c r="F83" s="1"/>
  <c r="G83" s="1"/>
  <c r="H83" s="1"/>
  <c r="I83" s="1"/>
  <c r="J83" s="1"/>
  <c r="K83" s="1"/>
  <c r="L83" s="1"/>
  <c r="M83" s="1"/>
  <c r="D78"/>
  <c r="E78" s="1"/>
  <c r="F78" s="1"/>
  <c r="G78" s="1"/>
  <c r="H78" s="1"/>
  <c r="I78" s="1"/>
  <c r="J78" s="1"/>
  <c r="K78" s="1"/>
  <c r="L78" s="1"/>
  <c r="M78" s="1"/>
  <c r="B75"/>
  <c r="B73"/>
  <c r="B71"/>
  <c r="H23" s="1"/>
  <c r="AB23" s="1"/>
  <c r="D70"/>
  <c r="H22"/>
  <c r="AB22" s="1"/>
  <c r="D68"/>
  <c r="E68" s="1"/>
  <c r="F68" s="1"/>
  <c r="G68" s="1"/>
  <c r="D64"/>
  <c r="E64" s="1"/>
  <c r="F64" s="1"/>
  <c r="G64" s="1"/>
  <c r="J16"/>
  <c r="W16" s="1"/>
  <c r="D62"/>
  <c r="E62" s="1"/>
  <c r="F62" s="1"/>
  <c r="G62" s="1"/>
  <c r="B59"/>
  <c r="B57"/>
  <c r="B55"/>
  <c r="H11" s="1"/>
  <c r="U11" s="1"/>
  <c r="F54"/>
  <c r="G54" s="1"/>
  <c r="H54" s="1"/>
  <c r="I54" s="1"/>
  <c r="C51"/>
  <c r="H9" s="1"/>
  <c r="P37"/>
  <c r="P36"/>
  <c r="V35"/>
  <c r="T35"/>
  <c r="R35"/>
  <c r="P35"/>
  <c r="Q34"/>
  <c r="Z34" s="1"/>
  <c r="Q33"/>
  <c r="Z33" s="1"/>
  <c r="Q32"/>
  <c r="Z32" s="1"/>
  <c r="Q31"/>
  <c r="Z31" s="1"/>
  <c r="Q30"/>
  <c r="Z30" s="1"/>
  <c r="AC30"/>
  <c r="Q29"/>
  <c r="Z29" s="1"/>
  <c r="Q28"/>
  <c r="Z28" s="1"/>
  <c r="J28"/>
  <c r="AC28" s="1"/>
  <c r="Q27"/>
  <c r="Z27" s="1"/>
  <c r="Q26"/>
  <c r="Z26" s="1"/>
  <c r="H26"/>
  <c r="AB26" s="1"/>
  <c r="Q25"/>
  <c r="Z25" s="1"/>
  <c r="Q24"/>
  <c r="Z24" s="1"/>
  <c r="Q23"/>
  <c r="Z23" s="1"/>
  <c r="J23"/>
  <c r="AC23" s="1"/>
  <c r="F23"/>
  <c r="AA23" s="1"/>
  <c r="Q22"/>
  <c r="Z22" s="1"/>
  <c r="J22"/>
  <c r="AC22" s="1"/>
  <c r="Q20"/>
  <c r="Z20"/>
  <c r="Q16"/>
  <c r="Z16" s="1"/>
  <c r="Q14"/>
  <c r="Z14" s="1"/>
  <c r="Q13"/>
  <c r="Z13" s="1"/>
  <c r="Q12"/>
  <c r="Z12" s="1"/>
  <c r="Q11"/>
  <c r="Z11" s="1"/>
  <c r="Q10"/>
  <c r="Z10" s="1"/>
  <c r="F10"/>
  <c r="Q9"/>
  <c r="Z9" s="1"/>
  <c r="J9"/>
  <c r="AC9" s="1"/>
  <c r="F9"/>
  <c r="AA9" s="1"/>
  <c r="J8"/>
  <c r="AC8" s="1"/>
  <c r="H8"/>
  <c r="U8" s="1"/>
  <c r="F8"/>
  <c r="AA8" s="1"/>
  <c r="D89" i="35"/>
  <c r="E89" s="1"/>
  <c r="F89" s="1"/>
  <c r="G89" s="1"/>
  <c r="H89" s="1"/>
  <c r="I89" s="1"/>
  <c r="J89" s="1"/>
  <c r="K89" s="1"/>
  <c r="L89" s="1"/>
  <c r="M89" s="1"/>
  <c r="M90"/>
  <c r="L90"/>
  <c r="K90"/>
  <c r="J90"/>
  <c r="I90"/>
  <c r="H90"/>
  <c r="G90"/>
  <c r="F90"/>
  <c r="E90"/>
  <c r="D90"/>
  <c r="C90"/>
  <c r="F85"/>
  <c r="E85"/>
  <c r="D85"/>
  <c r="C85"/>
  <c r="J27"/>
  <c r="W27" s="1"/>
  <c r="H27"/>
  <c r="U27" s="1"/>
  <c r="F27"/>
  <c r="AA27" s="1"/>
  <c r="J22"/>
  <c r="AC22" s="1"/>
  <c r="B101"/>
  <c r="B99"/>
  <c r="B97"/>
  <c r="H34" s="1"/>
  <c r="B77"/>
  <c r="B75"/>
  <c r="J24" s="1"/>
  <c r="AC24" s="1"/>
  <c r="B73"/>
  <c r="B57"/>
  <c r="J11" s="1"/>
  <c r="AC11" s="1"/>
  <c r="B61"/>
  <c r="B59"/>
  <c r="H12" s="1"/>
  <c r="B131" i="34"/>
  <c r="B129"/>
  <c r="B127"/>
  <c r="B99"/>
  <c r="F32" s="1"/>
  <c r="B97"/>
  <c r="B95"/>
  <c r="B93"/>
  <c r="B75"/>
  <c r="F14" s="1"/>
  <c r="S14" s="1"/>
  <c r="B73"/>
  <c r="B71"/>
  <c r="H12" s="1"/>
  <c r="B130" i="33"/>
  <c r="B128"/>
  <c r="B126"/>
  <c r="B98"/>
  <c r="H31" s="1"/>
  <c r="B96"/>
  <c r="B94"/>
  <c r="B74"/>
  <c r="B72"/>
  <c r="H13" s="1"/>
  <c r="AB13" s="1"/>
  <c r="B70"/>
  <c r="J12" s="1"/>
  <c r="D96" i="35"/>
  <c r="E96" s="1"/>
  <c r="F96" s="1"/>
  <c r="G96" s="1"/>
  <c r="D94"/>
  <c r="E94" s="1"/>
  <c r="F94" s="1"/>
  <c r="G94" s="1"/>
  <c r="H94" s="1"/>
  <c r="I94" s="1"/>
  <c r="J94" s="1"/>
  <c r="K94" s="1"/>
  <c r="L94" s="1"/>
  <c r="M94" s="1"/>
  <c r="D84"/>
  <c r="D80"/>
  <c r="E80" s="1"/>
  <c r="F80" s="1"/>
  <c r="G80" s="1"/>
  <c r="H80" s="1"/>
  <c r="I80" s="1"/>
  <c r="J80" s="1"/>
  <c r="K80" s="1"/>
  <c r="L80" s="1"/>
  <c r="M80" s="1"/>
  <c r="D72"/>
  <c r="E72" s="1"/>
  <c r="F72" s="1"/>
  <c r="G72" s="1"/>
  <c r="D70"/>
  <c r="D66"/>
  <c r="E66" s="1"/>
  <c r="F66" s="1"/>
  <c r="G66" s="1"/>
  <c r="D64"/>
  <c r="E64" s="1"/>
  <c r="F64" s="1"/>
  <c r="G64" s="1"/>
  <c r="J14"/>
  <c r="W14" s="1"/>
  <c r="F56"/>
  <c r="G56" s="1"/>
  <c r="H56" s="1"/>
  <c r="I56" s="1"/>
  <c r="C53"/>
  <c r="J9" s="1"/>
  <c r="P39"/>
  <c r="P38"/>
  <c r="V37"/>
  <c r="T37"/>
  <c r="R37"/>
  <c r="P37"/>
  <c r="Q36"/>
  <c r="Z36" s="1"/>
  <c r="Q35"/>
  <c r="Z35" s="1"/>
  <c r="Q34"/>
  <c r="Z34" s="1"/>
  <c r="J34"/>
  <c r="Q33"/>
  <c r="Z33" s="1"/>
  <c r="Q32"/>
  <c r="Z32" s="1"/>
  <c r="H32"/>
  <c r="AB32" s="1"/>
  <c r="F32"/>
  <c r="AA32" s="1"/>
  <c r="Q31"/>
  <c r="Z31" s="1"/>
  <c r="AC31"/>
  <c r="AA31"/>
  <c r="Q30"/>
  <c r="Z30" s="1"/>
  <c r="Q29"/>
  <c r="Z29" s="1"/>
  <c r="Q28"/>
  <c r="Z28" s="1"/>
  <c r="H28"/>
  <c r="AB28" s="1"/>
  <c r="Q27"/>
  <c r="Z27" s="1"/>
  <c r="Q26"/>
  <c r="Z26" s="1"/>
  <c r="Q25"/>
  <c r="Z25" s="1"/>
  <c r="Q24"/>
  <c r="Z24" s="1"/>
  <c r="Q23"/>
  <c r="Z23" s="1"/>
  <c r="Q22"/>
  <c r="Z22" s="1"/>
  <c r="Q20"/>
  <c r="Z20" s="1"/>
  <c r="Q16"/>
  <c r="Z16" s="1"/>
  <c r="Q14"/>
  <c r="Z14" s="1"/>
  <c r="Q13"/>
  <c r="Z13" s="1"/>
  <c r="Q12"/>
  <c r="Z12" s="1"/>
  <c r="J12"/>
  <c r="W12" s="1"/>
  <c r="Q11"/>
  <c r="Z11" s="1"/>
  <c r="Q10"/>
  <c r="Z10" s="1"/>
  <c r="Q9"/>
  <c r="Z9" s="1"/>
  <c r="J8"/>
  <c r="W8" s="1"/>
  <c r="H8"/>
  <c r="AB8" s="1"/>
  <c r="F8"/>
  <c r="AA8" s="1"/>
  <c r="D120" i="34"/>
  <c r="E120" s="1"/>
  <c r="F120" s="1"/>
  <c r="G120" s="1"/>
  <c r="H120" s="1"/>
  <c r="I120" s="1"/>
  <c r="J120" s="1"/>
  <c r="K120" s="1"/>
  <c r="L120" s="1"/>
  <c r="M120" s="1"/>
  <c r="D90"/>
  <c r="E90" s="1"/>
  <c r="F90" s="1"/>
  <c r="G90" s="1"/>
  <c r="H90" s="1"/>
  <c r="I90" s="1"/>
  <c r="J90" s="1"/>
  <c r="K90" s="1"/>
  <c r="L90" s="1"/>
  <c r="M90" s="1"/>
  <c r="C15"/>
  <c r="F67"/>
  <c r="G67" s="1"/>
  <c r="D126"/>
  <c r="E126" s="1"/>
  <c r="F126" s="1"/>
  <c r="G126" s="1"/>
  <c r="D124"/>
  <c r="E124" s="1"/>
  <c r="F124" s="1"/>
  <c r="G124" s="1"/>
  <c r="H124" s="1"/>
  <c r="I124" s="1"/>
  <c r="J124" s="1"/>
  <c r="K124" s="1"/>
  <c r="L124" s="1"/>
  <c r="M124" s="1"/>
  <c r="H43"/>
  <c r="AB43" s="1"/>
  <c r="D118"/>
  <c r="E118" s="1"/>
  <c r="F118" s="1"/>
  <c r="G118" s="1"/>
  <c r="D116"/>
  <c r="E116" s="1"/>
  <c r="F116" s="1"/>
  <c r="G116" s="1"/>
  <c r="H116" s="1"/>
  <c r="I116" s="1"/>
  <c r="J116" s="1"/>
  <c r="K116" s="1"/>
  <c r="L116" s="1"/>
  <c r="M116" s="1"/>
  <c r="F110"/>
  <c r="E110"/>
  <c r="D110"/>
  <c r="C110"/>
  <c r="D109"/>
  <c r="E109" s="1"/>
  <c r="F109" s="1"/>
  <c r="G109" s="1"/>
  <c r="H109" s="1"/>
  <c r="I109" s="1"/>
  <c r="J109" s="1"/>
  <c r="K109" s="1"/>
  <c r="L109" s="1"/>
  <c r="M109" s="1"/>
  <c r="D107"/>
  <c r="E107" s="1"/>
  <c r="F107" s="1"/>
  <c r="G107" s="1"/>
  <c r="H107" s="1"/>
  <c r="I107" s="1"/>
  <c r="J107" s="1"/>
  <c r="K107" s="1"/>
  <c r="L107" s="1"/>
  <c r="M107" s="1"/>
  <c r="F35"/>
  <c r="AA35" s="1"/>
  <c r="M103"/>
  <c r="L103"/>
  <c r="K103"/>
  <c r="J103"/>
  <c r="I103"/>
  <c r="H103"/>
  <c r="G103"/>
  <c r="F103"/>
  <c r="E103"/>
  <c r="D103"/>
  <c r="C103"/>
  <c r="D102"/>
  <c r="E102" s="1"/>
  <c r="F102" s="1"/>
  <c r="G102" s="1"/>
  <c r="H102" s="1"/>
  <c r="I102" s="1"/>
  <c r="J102" s="1"/>
  <c r="K102" s="1"/>
  <c r="L102" s="1"/>
  <c r="M102" s="1"/>
  <c r="D92"/>
  <c r="E92" s="1"/>
  <c r="F92" s="1"/>
  <c r="G92" s="1"/>
  <c r="H92" s="1"/>
  <c r="I92" s="1"/>
  <c r="J92" s="1"/>
  <c r="K92" s="1"/>
  <c r="L92" s="1"/>
  <c r="M92" s="1"/>
  <c r="B91"/>
  <c r="B89"/>
  <c r="J27" s="1"/>
  <c r="D88"/>
  <c r="E88" s="1"/>
  <c r="F88" s="1"/>
  <c r="G88" s="1"/>
  <c r="H88" s="1"/>
  <c r="I88" s="1"/>
  <c r="J88" s="1"/>
  <c r="K88" s="1"/>
  <c r="L88" s="1"/>
  <c r="M88" s="1"/>
  <c r="D86"/>
  <c r="E86" s="1"/>
  <c r="F86" s="1"/>
  <c r="G86" s="1"/>
  <c r="D82"/>
  <c r="E82" s="1"/>
  <c r="F82" s="1"/>
  <c r="G82" s="1"/>
  <c r="D80"/>
  <c r="E80" s="1"/>
  <c r="F80" s="1"/>
  <c r="G80" s="1"/>
  <c r="D78"/>
  <c r="E78" s="1"/>
  <c r="F78" s="1"/>
  <c r="G78" s="1"/>
  <c r="D70"/>
  <c r="E70" s="1"/>
  <c r="M68"/>
  <c r="L68"/>
  <c r="K68"/>
  <c r="J68"/>
  <c r="I68"/>
  <c r="H68"/>
  <c r="G68"/>
  <c r="F68"/>
  <c r="E68"/>
  <c r="D68"/>
  <c r="C68"/>
  <c r="C64"/>
  <c r="P50"/>
  <c r="P49"/>
  <c r="V48"/>
  <c r="T48"/>
  <c r="R48"/>
  <c r="P48"/>
  <c r="Q47"/>
  <c r="Z47" s="1"/>
  <c r="Q46"/>
  <c r="Z46" s="1"/>
  <c r="Q45"/>
  <c r="Z45" s="1"/>
  <c r="Q44"/>
  <c r="Z44" s="1"/>
  <c r="Q43"/>
  <c r="Z43" s="1"/>
  <c r="Q42"/>
  <c r="Z42" s="1"/>
  <c r="Q41"/>
  <c r="Z41" s="1"/>
  <c r="Q40"/>
  <c r="Z40" s="1"/>
  <c r="Q39"/>
  <c r="Z39" s="1"/>
  <c r="H39"/>
  <c r="AB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F12"/>
  <c r="S12" s="1"/>
  <c r="Q11"/>
  <c r="Z11" s="1"/>
  <c r="Q10"/>
  <c r="Z10" s="1"/>
  <c r="F10"/>
  <c r="AA10" s="1"/>
  <c r="Q9"/>
  <c r="Z9" s="1"/>
  <c r="J9"/>
  <c r="AC9" s="1"/>
  <c r="H9"/>
  <c r="F9"/>
  <c r="AA9" s="1"/>
  <c r="J8"/>
  <c r="AC8" s="1"/>
  <c r="H8"/>
  <c r="U8" s="1"/>
  <c r="F8"/>
  <c r="D121" i="33"/>
  <c r="E121" s="1"/>
  <c r="F109"/>
  <c r="E109"/>
  <c r="D109"/>
  <c r="C109"/>
  <c r="D91"/>
  <c r="E91" s="1"/>
  <c r="B88"/>
  <c r="J26" s="1"/>
  <c r="C23"/>
  <c r="C19"/>
  <c r="C17"/>
  <c r="C15"/>
  <c r="C15" i="21"/>
  <c r="D125" i="33"/>
  <c r="D123"/>
  <c r="D117"/>
  <c r="E117"/>
  <c r="F117" s="1"/>
  <c r="G117" s="1"/>
  <c r="D115"/>
  <c r="E115"/>
  <c r="F115" s="1"/>
  <c r="G115" s="1"/>
  <c r="H115" s="1"/>
  <c r="I115" s="1"/>
  <c r="J115" s="1"/>
  <c r="K115" s="1"/>
  <c r="L115" s="1"/>
  <c r="M115" s="1"/>
  <c r="D108"/>
  <c r="E108"/>
  <c r="F108" s="1"/>
  <c r="D106"/>
  <c r="E106"/>
  <c r="M102"/>
  <c r="L102"/>
  <c r="K102"/>
  <c r="J102"/>
  <c r="I102"/>
  <c r="H102"/>
  <c r="G102"/>
  <c r="F102"/>
  <c r="E102"/>
  <c r="D102"/>
  <c r="C102"/>
  <c r="D101"/>
  <c r="E101" s="1"/>
  <c r="B92"/>
  <c r="B90"/>
  <c r="F27" s="1"/>
  <c r="AA27" s="1"/>
  <c r="D87"/>
  <c r="E87" s="1"/>
  <c r="D85"/>
  <c r="E85" s="1"/>
  <c r="D81"/>
  <c r="E81" s="1"/>
  <c r="D79"/>
  <c r="E79" s="1"/>
  <c r="D77"/>
  <c r="E77" s="1"/>
  <c r="F77" s="1"/>
  <c r="G77" s="1"/>
  <c r="D69"/>
  <c r="E69" s="1"/>
  <c r="F69" s="1"/>
  <c r="G69" s="1"/>
  <c r="H69" s="1"/>
  <c r="I69" s="1"/>
  <c r="J69" s="1"/>
  <c r="K69" s="1"/>
  <c r="L69" s="1"/>
  <c r="M69" s="1"/>
  <c r="M67"/>
  <c r="L67"/>
  <c r="K67"/>
  <c r="J67"/>
  <c r="I67"/>
  <c r="H67"/>
  <c r="G67"/>
  <c r="F67"/>
  <c r="E67"/>
  <c r="D67"/>
  <c r="C67"/>
  <c r="G66"/>
  <c r="H66" s="1"/>
  <c r="C63"/>
  <c r="H54"/>
  <c r="F54"/>
  <c r="P49"/>
  <c r="P48"/>
  <c r="V47"/>
  <c r="T47"/>
  <c r="R47"/>
  <c r="P47"/>
  <c r="Q46"/>
  <c r="Z46" s="1"/>
  <c r="Q45"/>
  <c r="Z45" s="1"/>
  <c r="Q44"/>
  <c r="Z44" s="1"/>
  <c r="Q43"/>
  <c r="Z43" s="1"/>
  <c r="Q42"/>
  <c r="Z42" s="1"/>
  <c r="J42"/>
  <c r="AC42" s="1"/>
  <c r="AC41"/>
  <c r="Q41"/>
  <c r="Z41" s="1"/>
  <c r="Q40"/>
  <c r="Z40" s="1"/>
  <c r="J40"/>
  <c r="H40"/>
  <c r="AB40" s="1"/>
  <c r="AA40"/>
  <c r="Q39"/>
  <c r="Z39" s="1"/>
  <c r="J39"/>
  <c r="AC39" s="1"/>
  <c r="Q38"/>
  <c r="Z38" s="1"/>
  <c r="J38"/>
  <c r="AC38" s="1"/>
  <c r="H38"/>
  <c r="AB38" s="1"/>
  <c r="F38"/>
  <c r="Q37"/>
  <c r="Z37" s="1"/>
  <c r="Q36"/>
  <c r="Z36" s="1"/>
  <c r="Q35"/>
  <c r="Z35" s="1"/>
  <c r="H35"/>
  <c r="Q34"/>
  <c r="Z34" s="1"/>
  <c r="Q33"/>
  <c r="Z33" s="1"/>
  <c r="J33"/>
  <c r="AC33" s="1"/>
  <c r="H33"/>
  <c r="AB33" s="1"/>
  <c r="F33"/>
  <c r="AA33" s="1"/>
  <c r="Q32"/>
  <c r="Z32" s="1"/>
  <c r="Q31"/>
  <c r="Z31" s="1"/>
  <c r="Q30"/>
  <c r="Z30" s="1"/>
  <c r="Q29"/>
  <c r="Z29" s="1"/>
  <c r="Q28"/>
  <c r="Z28" s="1"/>
  <c r="Q27"/>
  <c r="Z27" s="1"/>
  <c r="Q26"/>
  <c r="Z26" s="1"/>
  <c r="Q25"/>
  <c r="Z25" s="1"/>
  <c r="Q23"/>
  <c r="Z23" s="1"/>
  <c r="Q19"/>
  <c r="Z19" s="1"/>
  <c r="Q17"/>
  <c r="Z17" s="1"/>
  <c r="Q15"/>
  <c r="Z15" s="1"/>
  <c r="F15"/>
  <c r="AA15" s="1"/>
  <c r="Q14"/>
  <c r="Z14" s="1"/>
  <c r="Q13"/>
  <c r="Z13" s="1"/>
  <c r="Q12"/>
  <c r="Z12" s="1"/>
  <c r="H12"/>
  <c r="U12" s="1"/>
  <c r="Q11"/>
  <c r="Z11" s="1"/>
  <c r="Q10"/>
  <c r="Z10" s="1"/>
  <c r="Q9"/>
  <c r="Z9" s="1"/>
  <c r="J9"/>
  <c r="AC9" s="1"/>
  <c r="H9"/>
  <c r="AB9" s="1"/>
  <c r="F9"/>
  <c r="AA9" s="1"/>
  <c r="J8"/>
  <c r="AC8" s="1"/>
  <c r="H8"/>
  <c r="AB8" s="1"/>
  <c r="F8"/>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C17" i="39" s="1"/>
  <c r="C15" i="20"/>
  <c r="B70" i="43" s="1"/>
  <c r="E54" i="21"/>
  <c r="F54" s="1"/>
  <c r="I54"/>
  <c r="J54" s="1"/>
  <c r="G54"/>
  <c r="H54" s="1"/>
  <c r="D125"/>
  <c r="E125" s="1"/>
  <c r="F125" s="1"/>
  <c r="G125" s="1"/>
  <c r="D123"/>
  <c r="D119"/>
  <c r="E119" s="1"/>
  <c r="F119" s="1"/>
  <c r="G119" s="1"/>
  <c r="H119" s="1"/>
  <c r="I119" s="1"/>
  <c r="J119" s="1"/>
  <c r="K119" s="1"/>
  <c r="L119" s="1"/>
  <c r="M119" s="1"/>
  <c r="F40"/>
  <c r="AA40" s="1"/>
  <c r="D117"/>
  <c r="E117" s="1"/>
  <c r="F117" s="1"/>
  <c r="G117" s="1"/>
  <c r="D115"/>
  <c r="E115" s="1"/>
  <c r="F115" s="1"/>
  <c r="G115" s="1"/>
  <c r="H115" s="1"/>
  <c r="I115" s="1"/>
  <c r="J115" s="1"/>
  <c r="K115" s="1"/>
  <c r="L115" s="1"/>
  <c r="M115" s="1"/>
  <c r="D113"/>
  <c r="E113" s="1"/>
  <c r="F113" s="1"/>
  <c r="G113" s="1"/>
  <c r="H113" s="1"/>
  <c r="D110"/>
  <c r="E110" s="1"/>
  <c r="F110" s="1"/>
  <c r="G110" s="1"/>
  <c r="H110" s="1"/>
  <c r="I110" s="1"/>
  <c r="J110" s="1"/>
  <c r="K110" s="1"/>
  <c r="L110" s="1"/>
  <c r="M110" s="1"/>
  <c r="J36"/>
  <c r="AC36" s="1"/>
  <c r="D108"/>
  <c r="E108" s="1"/>
  <c r="F108" s="1"/>
  <c r="G108" s="1"/>
  <c r="H108" s="1"/>
  <c r="I108" s="1"/>
  <c r="J108" s="1"/>
  <c r="K108" s="1"/>
  <c r="L108" s="1"/>
  <c r="M108" s="1"/>
  <c r="D106"/>
  <c r="E106" s="1"/>
  <c r="F106" s="1"/>
  <c r="G106" s="1"/>
  <c r="H106" s="1"/>
  <c r="I106" s="1"/>
  <c r="J106" s="1"/>
  <c r="K106" s="1"/>
  <c r="L106" s="1"/>
  <c r="M106" s="1"/>
  <c r="D101"/>
  <c r="E101" s="1"/>
  <c r="F101" s="1"/>
  <c r="G101" s="1"/>
  <c r="H101" s="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F19"/>
  <c r="AA19" s="1"/>
  <c r="E81"/>
  <c r="F81" s="1"/>
  <c r="G81" s="1"/>
  <c r="D77"/>
  <c r="E77" s="1"/>
  <c r="B130"/>
  <c r="B128"/>
  <c r="J45" s="1"/>
  <c r="W45" s="1"/>
  <c r="B126"/>
  <c r="B98"/>
  <c r="B96"/>
  <c r="B94"/>
  <c r="B92"/>
  <c r="B90"/>
  <c r="B74"/>
  <c r="B72"/>
  <c r="H13" s="1"/>
  <c r="B70"/>
  <c r="F12"/>
  <c r="S12"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H40"/>
  <c r="AB40" s="1"/>
  <c r="Q40"/>
  <c r="Z40" s="1"/>
  <c r="Q41"/>
  <c r="Z41" s="1"/>
  <c r="Q42"/>
  <c r="Z42" s="1"/>
  <c r="J43"/>
  <c r="AC43" s="1"/>
  <c r="Q43"/>
  <c r="Z43" s="1"/>
  <c r="Q44"/>
  <c r="Z44" s="1"/>
  <c r="Q45"/>
  <c r="Z45" s="1"/>
  <c r="Q46"/>
  <c r="Z46" s="1"/>
  <c r="P47"/>
  <c r="R47"/>
  <c r="T47"/>
  <c r="V47"/>
  <c r="P48"/>
  <c r="P49"/>
  <c r="F8"/>
  <c r="AA8" s="1"/>
  <c r="E9" i="11"/>
  <c r="C7" i="12"/>
  <c r="BB12" i="3"/>
  <c r="F7" i="12"/>
  <c r="D7"/>
  <c r="E7"/>
  <c r="G7"/>
  <c r="K5" i="3"/>
  <c r="I4" i="6" s="1"/>
  <c r="G3" i="43" s="1"/>
  <c r="BE10" i="3"/>
  <c r="BB585"/>
  <c r="BC585"/>
  <c r="BD585"/>
  <c r="BE585"/>
  <c r="BF585"/>
  <c r="BG585"/>
  <c r="BH585"/>
  <c r="BI585"/>
  <c r="BJ585"/>
  <c r="BK585"/>
  <c r="BM585"/>
  <c r="BN585"/>
  <c r="BO585"/>
  <c r="BP585"/>
  <c r="BQ585"/>
  <c r="BR585"/>
  <c r="BS585"/>
  <c r="BL585" s="1"/>
  <c r="BT585"/>
  <c r="BB586"/>
  <c r="BC586"/>
  <c r="BD586"/>
  <c r="BE586"/>
  <c r="BF586"/>
  <c r="BG586"/>
  <c r="BH586"/>
  <c r="BI586"/>
  <c r="BJ586"/>
  <c r="BK586"/>
  <c r="BM586"/>
  <c r="BN586"/>
  <c r="BO586"/>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s="1"/>
  <c r="H586"/>
  <c r="G586" s="1"/>
  <c r="H587"/>
  <c r="G587" s="1"/>
  <c r="F5"/>
  <c r="G27" i="6"/>
  <c r="F34" i="21"/>
  <c r="AA34" s="1"/>
  <c r="H34"/>
  <c r="AB34" s="1"/>
  <c r="F43"/>
  <c r="S43" s="1"/>
  <c r="H38"/>
  <c r="U38" s="1"/>
  <c r="H43"/>
  <c r="AB43" s="1"/>
  <c r="F38"/>
  <c r="S38" s="1"/>
  <c r="F36"/>
  <c r="S36" s="1"/>
  <c r="F39"/>
  <c r="AA39" s="1"/>
  <c r="J40"/>
  <c r="W40" s="1"/>
  <c r="H35"/>
  <c r="AB35" s="1"/>
  <c r="J8"/>
  <c r="AC8" s="1"/>
  <c r="H8"/>
  <c r="U8" s="1"/>
  <c r="H10"/>
  <c r="AB10" s="1"/>
  <c r="H39"/>
  <c r="U39" s="1"/>
  <c r="J34"/>
  <c r="W34" s="1"/>
  <c r="H36"/>
  <c r="U36" s="1"/>
  <c r="F35"/>
  <c r="AA35" s="1"/>
  <c r="J10"/>
  <c r="AC10" s="1"/>
  <c r="H26"/>
  <c r="AB26" s="1"/>
  <c r="AB19"/>
  <c r="J19"/>
  <c r="W19" s="1"/>
  <c r="J12"/>
  <c r="AC12" s="1"/>
  <c r="H12"/>
  <c r="AB12" s="1"/>
  <c r="J26"/>
  <c r="W26" s="1"/>
  <c r="F26"/>
  <c r="S26" s="1"/>
  <c r="AB41"/>
  <c r="S41"/>
  <c r="AA41"/>
  <c r="F45" i="39"/>
  <c r="S45" s="1"/>
  <c r="J44"/>
  <c r="AC44" s="1"/>
  <c r="H36"/>
  <c r="AB36" s="1"/>
  <c r="J35"/>
  <c r="AC35" s="1"/>
  <c r="F35"/>
  <c r="AA35" s="1"/>
  <c r="U9"/>
  <c r="W40"/>
  <c r="W25" i="37"/>
  <c r="U30"/>
  <c r="W31"/>
  <c r="E103"/>
  <c r="F103" s="1"/>
  <c r="G103" s="1"/>
  <c r="H103" s="1"/>
  <c r="I103" s="1"/>
  <c r="J103" s="1"/>
  <c r="K103" s="1"/>
  <c r="L103" s="1"/>
  <c r="M103" s="1"/>
  <c r="F39"/>
  <c r="S39" s="1"/>
  <c r="F29" i="36"/>
  <c r="AA29" s="1"/>
  <c r="W8"/>
  <c r="F16"/>
  <c r="AA16" s="1"/>
  <c r="W28"/>
  <c r="S30"/>
  <c r="AA31"/>
  <c r="AC31"/>
  <c r="W31"/>
  <c r="J33"/>
  <c r="W33" s="1"/>
  <c r="H22" i="35"/>
  <c r="AB22" s="1"/>
  <c r="W22"/>
  <c r="S31"/>
  <c r="F36" i="34"/>
  <c r="J35"/>
  <c r="W9"/>
  <c r="S34"/>
  <c r="U34"/>
  <c r="H39" i="33"/>
  <c r="AB39" s="1"/>
  <c r="F26"/>
  <c r="S9"/>
  <c r="U33"/>
  <c r="S40"/>
  <c r="W33"/>
  <c r="W39"/>
  <c r="H39" i="37"/>
  <c r="AB39" s="1"/>
  <c r="S27" i="35"/>
  <c r="F11" i="40"/>
  <c r="AA11" s="1"/>
  <c r="H11"/>
  <c r="AB11" s="1"/>
  <c r="W8"/>
  <c r="AB39"/>
  <c r="AA9"/>
  <c r="U9"/>
  <c r="S34"/>
  <c r="W31"/>
  <c r="F42" i="39"/>
  <c r="AA42" s="1"/>
  <c r="F41"/>
  <c r="S41" s="1"/>
  <c r="H40"/>
  <c r="AB40" s="1"/>
  <c r="S38"/>
  <c r="E109"/>
  <c r="F31"/>
  <c r="AA31" s="1"/>
  <c r="E101"/>
  <c r="H19"/>
  <c r="AB19" s="1"/>
  <c r="F19"/>
  <c r="AA19" s="1"/>
  <c r="J23" i="40"/>
  <c r="AC23" s="1"/>
  <c r="F21"/>
  <c r="AA21" s="1"/>
  <c r="J21"/>
  <c r="W21" s="1"/>
  <c r="H42" i="39"/>
  <c r="AB42" s="1"/>
  <c r="F109"/>
  <c r="G109" s="1"/>
  <c r="J31"/>
  <c r="F101"/>
  <c r="H27"/>
  <c r="U27" s="1"/>
  <c r="J19"/>
  <c r="AC19" s="1"/>
  <c r="J27"/>
  <c r="AC27" s="1"/>
  <c r="F27"/>
  <c r="S40" i="21"/>
  <c r="C25" i="39"/>
  <c r="C21"/>
  <c r="C15"/>
  <c r="H32" i="33"/>
  <c r="AB32" s="1"/>
  <c r="H37" i="40"/>
  <c r="U37" s="1"/>
  <c r="H36"/>
  <c r="AB36" s="1"/>
  <c r="F35"/>
  <c r="AA35" s="1"/>
  <c r="H23"/>
  <c r="AB23" s="1"/>
  <c r="H17"/>
  <c r="U17" s="1"/>
  <c r="J15"/>
  <c r="W15" s="1"/>
  <c r="J11"/>
  <c r="W11" s="1"/>
  <c r="AB8" i="39"/>
  <c r="AB12" i="33"/>
  <c r="AA12" i="34"/>
  <c r="S44" i="39"/>
  <c r="F37"/>
  <c r="AA37" s="1"/>
  <c r="J34" i="36"/>
  <c r="W34" s="1"/>
  <c r="J30" i="35"/>
  <c r="W30" s="1"/>
  <c r="H30"/>
  <c r="AB30" s="1"/>
  <c r="F22"/>
  <c r="AA22" s="1"/>
  <c r="H10"/>
  <c r="U10" s="1"/>
  <c r="AC16" i="36"/>
  <c r="W30"/>
  <c r="H16"/>
  <c r="AB16" s="1"/>
  <c r="E85"/>
  <c r="F85" s="1"/>
  <c r="G85" s="1"/>
  <c r="H85" s="1"/>
  <c r="I85" s="1"/>
  <c r="J85" s="1"/>
  <c r="K85" s="1"/>
  <c r="L85" s="1"/>
  <c r="M85" s="1"/>
  <c r="J29"/>
  <c r="AC29" s="1"/>
  <c r="F12"/>
  <c r="S12" s="1"/>
  <c r="F34"/>
  <c r="S34" s="1"/>
  <c r="AB8"/>
  <c r="S8"/>
  <c r="U8" i="35"/>
  <c r="F14"/>
  <c r="AA14" s="1"/>
  <c r="F23"/>
  <c r="AA23" s="1"/>
  <c r="J32"/>
  <c r="AC32" s="1"/>
  <c r="J16"/>
  <c r="AC16" s="1"/>
  <c r="H16"/>
  <c r="U16" s="1"/>
  <c r="F16"/>
  <c r="S16" s="1"/>
  <c r="H14"/>
  <c r="AB14" s="1"/>
  <c r="H33"/>
  <c r="AB33" s="1"/>
  <c r="AC8"/>
  <c r="F35" i="37"/>
  <c r="S35" s="1"/>
  <c r="J34"/>
  <c r="W34" s="1"/>
  <c r="AA39"/>
  <c r="AB34"/>
  <c r="J33"/>
  <c r="H40" i="34"/>
  <c r="U40" s="1"/>
  <c r="H36"/>
  <c r="U36" s="1"/>
  <c r="F37"/>
  <c r="AA37" s="1"/>
  <c r="S35"/>
  <c r="F27"/>
  <c r="AA27" s="1"/>
  <c r="F25"/>
  <c r="S25" s="1"/>
  <c r="H23"/>
  <c r="J23"/>
  <c r="F19"/>
  <c r="H17"/>
  <c r="U17" s="1"/>
  <c r="F15"/>
  <c r="AA15" s="1"/>
  <c r="J15"/>
  <c r="H15"/>
  <c r="AB15" s="1"/>
  <c r="S9"/>
  <c r="W8"/>
  <c r="F41" i="33"/>
  <c r="E113"/>
  <c r="F32"/>
  <c r="AA32" s="1"/>
  <c r="J19"/>
  <c r="AC19" s="1"/>
  <c r="J15"/>
  <c r="AC15" s="1"/>
  <c r="F11"/>
  <c r="AA11" s="1"/>
  <c r="U40"/>
  <c r="U8"/>
  <c r="F37" i="40"/>
  <c r="AA37" s="1"/>
  <c r="F36"/>
  <c r="AA36" s="1"/>
  <c r="H28"/>
  <c r="U28" s="1"/>
  <c r="F23"/>
  <c r="AA23" s="1"/>
  <c r="F17"/>
  <c r="AA17" s="1"/>
  <c r="J17"/>
  <c r="W17" s="1"/>
  <c r="F15"/>
  <c r="S15" s="1"/>
  <c r="H15"/>
  <c r="AB15" s="1"/>
  <c r="AC11"/>
  <c r="AA12" i="36"/>
  <c r="AC34"/>
  <c r="U30" i="35"/>
  <c r="H33" i="37"/>
  <c r="AB33" s="1"/>
  <c r="F33"/>
  <c r="AA33" s="1"/>
  <c r="U34"/>
  <c r="S34"/>
  <c r="AA34"/>
  <c r="J43" i="34"/>
  <c r="J40"/>
  <c r="H38"/>
  <c r="AB38" s="1"/>
  <c r="J36"/>
  <c r="W36" s="1"/>
  <c r="H37"/>
  <c r="U37" s="1"/>
  <c r="H25"/>
  <c r="AB25" s="1"/>
  <c r="J25"/>
  <c r="AC25" s="1"/>
  <c r="F23"/>
  <c r="AA23" s="1"/>
  <c r="J19"/>
  <c r="AC19" s="1"/>
  <c r="F17"/>
  <c r="AA17" s="1"/>
  <c r="J17"/>
  <c r="W17" s="1"/>
  <c r="AB17"/>
  <c r="S15"/>
  <c r="F113" i="33"/>
  <c r="G113" s="1"/>
  <c r="H113" s="1"/>
  <c r="I113" s="1"/>
  <c r="J113" s="1"/>
  <c r="K113" s="1"/>
  <c r="L113" s="1"/>
  <c r="M113" s="1"/>
  <c r="H37"/>
  <c r="AB37" s="1"/>
  <c r="H15"/>
  <c r="AB15" s="1"/>
  <c r="H11"/>
  <c r="AB11" s="1"/>
  <c r="F28" i="40"/>
  <c r="AA28" s="1"/>
  <c r="S42" i="34"/>
  <c r="AC38"/>
  <c r="AA38"/>
  <c r="J37"/>
  <c r="AC37" s="1"/>
  <c r="J11" i="33"/>
  <c r="W11" s="1"/>
  <c r="U23" i="40"/>
  <c r="J42" i="21"/>
  <c r="AC42" s="1"/>
  <c r="J44" i="34"/>
  <c r="F44"/>
  <c r="AA44" s="1"/>
  <c r="J10" i="35"/>
  <c r="W10" s="1"/>
  <c r="J14" i="21"/>
  <c r="W14" s="1"/>
  <c r="F14"/>
  <c r="S14" s="1"/>
  <c r="H14"/>
  <c r="U14" s="1"/>
  <c r="H28"/>
  <c r="AB28" s="1"/>
  <c r="F28"/>
  <c r="AA28" s="1"/>
  <c r="J28"/>
  <c r="W28" s="1"/>
  <c r="H30"/>
  <c r="U30" s="1"/>
  <c r="F30"/>
  <c r="S30" s="1"/>
  <c r="J30"/>
  <c r="AC30" s="1"/>
  <c r="J44"/>
  <c r="AC44" s="1"/>
  <c r="H44"/>
  <c r="U44" s="1"/>
  <c r="F44"/>
  <c r="AA44" s="1"/>
  <c r="H46"/>
  <c r="U46" s="1"/>
  <c r="J46"/>
  <c r="W46" s="1"/>
  <c r="F46"/>
  <c r="AA46" s="1"/>
  <c r="H26" i="33"/>
  <c r="U26" s="1"/>
  <c r="H28"/>
  <c r="U28" s="1"/>
  <c r="F28"/>
  <c r="AA28" s="1"/>
  <c r="J28"/>
  <c r="W28" s="1"/>
  <c r="F33" i="35"/>
  <c r="S33" s="1"/>
  <c r="J33"/>
  <c r="AC33" s="1"/>
  <c r="F30"/>
  <c r="S30" s="1"/>
  <c r="H10" i="36"/>
  <c r="AB10" s="1"/>
  <c r="J14"/>
  <c r="AC14" s="1"/>
  <c r="H14"/>
  <c r="U14" s="1"/>
  <c r="F28"/>
  <c r="AA28" s="1"/>
  <c r="J13" i="21"/>
  <c r="AC13" s="1"/>
  <c r="F27"/>
  <c r="AA27" s="1"/>
  <c r="J31"/>
  <c r="AC31" s="1"/>
  <c r="F45"/>
  <c r="AA45" s="1"/>
  <c r="J13" i="33"/>
  <c r="F13"/>
  <c r="S13" s="1"/>
  <c r="H29"/>
  <c r="U29" s="1"/>
  <c r="J31"/>
  <c r="W31" s="1"/>
  <c r="F31"/>
  <c r="J45"/>
  <c r="W45" s="1"/>
  <c r="J14" i="34"/>
  <c r="W14" s="1"/>
  <c r="H14"/>
  <c r="F30"/>
  <c r="S30" s="1"/>
  <c r="H32"/>
  <c r="J32"/>
  <c r="W32" s="1"/>
  <c r="F46"/>
  <c r="H11" i="35"/>
  <c r="U11" s="1"/>
  <c r="F11"/>
  <c r="S11" s="1"/>
  <c r="J26" i="36"/>
  <c r="W26" s="1"/>
  <c r="H28"/>
  <c r="U28" s="1"/>
  <c r="H32"/>
  <c r="AB32" s="1"/>
  <c r="J32"/>
  <c r="W32" s="1"/>
  <c r="J11"/>
  <c r="AC11" s="1"/>
  <c r="F11"/>
  <c r="AA11" s="1"/>
  <c r="H13"/>
  <c r="AB13" s="1"/>
  <c r="J13"/>
  <c r="F13"/>
  <c r="S13" s="1"/>
  <c r="E89" i="37"/>
  <c r="F89" s="1"/>
  <c r="G89" s="1"/>
  <c r="H89" s="1"/>
  <c r="I89" s="1"/>
  <c r="J89" s="1"/>
  <c r="K89" s="1"/>
  <c r="L89" s="1"/>
  <c r="M89" s="1"/>
  <c r="J29"/>
  <c r="W29" s="1"/>
  <c r="F29"/>
  <c r="S29" s="1"/>
  <c r="F105"/>
  <c r="H36"/>
  <c r="AB36" s="1"/>
  <c r="F107"/>
  <c r="J37"/>
  <c r="AC37" s="1"/>
  <c r="H37"/>
  <c r="U37" s="1"/>
  <c r="J40"/>
  <c r="AC40" s="1"/>
  <c r="AC12" i="40"/>
  <c r="H14" i="33"/>
  <c r="U14" s="1"/>
  <c r="F14"/>
  <c r="S14" s="1"/>
  <c r="J14"/>
  <c r="H30"/>
  <c r="AB30" s="1"/>
  <c r="F30"/>
  <c r="J30"/>
  <c r="H44"/>
  <c r="J44"/>
  <c r="AC44" s="1"/>
  <c r="F44"/>
  <c r="S44" s="1"/>
  <c r="J46"/>
  <c r="AC46" s="1"/>
  <c r="F46"/>
  <c r="AA46" s="1"/>
  <c r="H46"/>
  <c r="AB46" s="1"/>
  <c r="H13" i="34"/>
  <c r="U13" s="1"/>
  <c r="J13"/>
  <c r="W13" s="1"/>
  <c r="F13"/>
  <c r="AA13" s="1"/>
  <c r="J29"/>
  <c r="F29"/>
  <c r="S29" s="1"/>
  <c r="H29"/>
  <c r="AB29" s="1"/>
  <c r="J31"/>
  <c r="AC31" s="1"/>
  <c r="H31"/>
  <c r="AB31" s="1"/>
  <c r="F31"/>
  <c r="S31" s="1"/>
  <c r="H45"/>
  <c r="U45" s="1"/>
  <c r="J45"/>
  <c r="W45" s="1"/>
  <c r="F45"/>
  <c r="S45" s="1"/>
  <c r="H47"/>
  <c r="U47" s="1"/>
  <c r="F47"/>
  <c r="S47" s="1"/>
  <c r="J47"/>
  <c r="AC47" s="1"/>
  <c r="F13" i="35"/>
  <c r="S13" s="1"/>
  <c r="J13"/>
  <c r="AC13" s="1"/>
  <c r="H13"/>
  <c r="U13" s="1"/>
  <c r="J25"/>
  <c r="W25" s="1"/>
  <c r="F25"/>
  <c r="S25" s="1"/>
  <c r="H25"/>
  <c r="AB25" s="1"/>
  <c r="J35"/>
  <c r="AC35" s="1"/>
  <c r="F35"/>
  <c r="AA35" s="1"/>
  <c r="H35"/>
  <c r="AB35" s="1"/>
  <c r="J25" i="36"/>
  <c r="W25" s="1"/>
  <c r="F25"/>
  <c r="S25" s="1"/>
  <c r="H25"/>
  <c r="AB25" s="1"/>
  <c r="H13" i="37"/>
  <c r="AB13" s="1"/>
  <c r="F13"/>
  <c r="S13" s="1"/>
  <c r="J13"/>
  <c r="W13" s="1"/>
  <c r="F28"/>
  <c r="AA28" s="1"/>
  <c r="H28"/>
  <c r="U28" s="1"/>
  <c r="H38"/>
  <c r="AB38" s="1"/>
  <c r="J38"/>
  <c r="AC38" s="1"/>
  <c r="F38"/>
  <c r="S38" s="1"/>
  <c r="F43" i="39"/>
  <c r="AA43" s="1"/>
  <c r="H43"/>
  <c r="J14"/>
  <c r="AC14" s="1"/>
  <c r="F14"/>
  <c r="H14"/>
  <c r="AB14" s="1"/>
  <c r="F12" i="40"/>
  <c r="S12" s="1"/>
  <c r="H12"/>
  <c r="AB12" s="1"/>
  <c r="H30"/>
  <c r="AB30" s="1"/>
  <c r="F33"/>
  <c r="AA33" s="1"/>
  <c r="H33"/>
  <c r="U33" s="1"/>
  <c r="J35"/>
  <c r="AC35" s="1"/>
  <c r="J37"/>
  <c r="AC37" s="1"/>
  <c r="H13"/>
  <c r="U13" s="1"/>
  <c r="J13"/>
  <c r="W13" s="1"/>
  <c r="F13"/>
  <c r="AA13" s="1"/>
  <c r="F14" i="37"/>
  <c r="S14" s="1"/>
  <c r="F27"/>
  <c r="AA27" s="1"/>
  <c r="F13" i="39"/>
  <c r="J13"/>
  <c r="W13" s="1"/>
  <c r="H13"/>
  <c r="H14" i="40"/>
  <c r="AB14" s="1"/>
  <c r="J14"/>
  <c r="W14" s="1"/>
  <c r="F14"/>
  <c r="AA14" s="1"/>
  <c r="J14" i="37"/>
  <c r="AC14" s="1"/>
  <c r="J27"/>
  <c r="AC27" s="1"/>
  <c r="AA44" i="33"/>
  <c r="AA13" i="35"/>
  <c r="U31" i="34"/>
  <c r="U46" i="33"/>
  <c r="AA14"/>
  <c r="J36" i="37"/>
  <c r="AC36" s="1"/>
  <c r="G105"/>
  <c r="AB11" i="36"/>
  <c r="AB11" i="35"/>
  <c r="J10" i="36"/>
  <c r="AC10" s="1"/>
  <c r="AB26" i="33"/>
  <c r="AB30" i="21"/>
  <c r="AA14" i="37"/>
  <c r="W31" i="34"/>
  <c r="AC13" i="36"/>
  <c r="W13"/>
  <c r="S11"/>
  <c r="W11"/>
  <c r="W11" i="35"/>
  <c r="AA14" i="34"/>
  <c r="AB31" i="33"/>
  <c r="U31"/>
  <c r="U13"/>
  <c r="AC28" i="21"/>
  <c r="S44" i="34"/>
  <c r="BA586" i="3"/>
  <c r="BA585"/>
  <c r="F17" i="21"/>
  <c r="AA17" s="1"/>
  <c r="H17"/>
  <c r="AB17" s="1"/>
  <c r="F15"/>
  <c r="S15" s="1"/>
  <c r="J41" i="39"/>
  <c r="W41" s="1"/>
  <c r="W44"/>
  <c r="W35"/>
  <c r="U36"/>
  <c r="S35"/>
  <c r="G544" i="3"/>
  <c r="G540"/>
  <c r="G536"/>
  <c r="G535"/>
  <c r="G532"/>
  <c r="G531"/>
  <c r="G528"/>
  <c r="G527"/>
  <c r="G523"/>
  <c r="G518"/>
  <c r="G514"/>
  <c r="G510"/>
  <c r="G508"/>
  <c r="G504"/>
  <c r="G500"/>
  <c r="G496"/>
  <c r="G584"/>
  <c r="G580"/>
  <c r="G576"/>
  <c r="G572"/>
  <c r="G568"/>
  <c r="G564"/>
  <c r="G560"/>
  <c r="G554"/>
  <c r="G550"/>
  <c r="BL584"/>
  <c r="BL580"/>
  <c r="BL576"/>
  <c r="BL572"/>
  <c r="BL568"/>
  <c r="BL564"/>
  <c r="BL560"/>
  <c r="BL554"/>
  <c r="BL546"/>
  <c r="BL542"/>
  <c r="BL538"/>
  <c r="BL534"/>
  <c r="BL530"/>
  <c r="BL526"/>
  <c r="BL522"/>
  <c r="BL516"/>
  <c r="BL512"/>
  <c r="BL506"/>
  <c r="BL502"/>
  <c r="BL498"/>
  <c r="BL494"/>
  <c r="BL582"/>
  <c r="BL578"/>
  <c r="BL574"/>
  <c r="BL570"/>
  <c r="BL566"/>
  <c r="BL562"/>
  <c r="BL556"/>
  <c r="BL552"/>
  <c r="BL544"/>
  <c r="BL540"/>
  <c r="BL536"/>
  <c r="G533"/>
  <c r="BL532"/>
  <c r="G529"/>
  <c r="BL528"/>
  <c r="G525"/>
  <c r="BL524"/>
  <c r="BL518"/>
  <c r="BL514"/>
  <c r="BL510"/>
  <c r="BL504"/>
  <c r="BL500"/>
  <c r="BL496"/>
  <c r="G493"/>
  <c r="BA584"/>
  <c r="BA582"/>
  <c r="AZ582" s="1"/>
  <c r="BA580"/>
  <c r="AZ580"/>
  <c r="BA578"/>
  <c r="AZ578"/>
  <c r="BA576"/>
  <c r="AZ576"/>
  <c r="BA574"/>
  <c r="AZ574"/>
  <c r="BA572"/>
  <c r="AZ572"/>
  <c r="BA570"/>
  <c r="AZ570"/>
  <c r="BA568"/>
  <c r="AZ568"/>
  <c r="BA566"/>
  <c r="AZ566"/>
  <c r="BA564"/>
  <c r="AZ564"/>
  <c r="BA562"/>
  <c r="AZ562"/>
  <c r="BA560"/>
  <c r="BA558"/>
  <c r="BA556"/>
  <c r="AZ556" s="1"/>
  <c r="BA554"/>
  <c r="AZ554" s="1"/>
  <c r="BA552"/>
  <c r="BA548"/>
  <c r="BA546"/>
  <c r="BA544"/>
  <c r="AZ544" s="1"/>
  <c r="BA542"/>
  <c r="AZ542" s="1"/>
  <c r="BA540"/>
  <c r="AZ540" s="1"/>
  <c r="BA538"/>
  <c r="AZ538" s="1"/>
  <c r="BA536"/>
  <c r="AZ536" s="1"/>
  <c r="BA534"/>
  <c r="AZ534" s="1"/>
  <c r="BA532"/>
  <c r="AZ532" s="1"/>
  <c r="BA530"/>
  <c r="BA528"/>
  <c r="AZ528" s="1"/>
  <c r="BA526"/>
  <c r="AZ526" s="1"/>
  <c r="BA524"/>
  <c r="AZ524" s="1"/>
  <c r="BA522"/>
  <c r="BA520"/>
  <c r="BA518"/>
  <c r="BA516"/>
  <c r="AZ516" s="1"/>
  <c r="BA514"/>
  <c r="BA512"/>
  <c r="AZ512" s="1"/>
  <c r="BA510"/>
  <c r="AZ510" s="1"/>
  <c r="BA508"/>
  <c r="BA506"/>
  <c r="BA504"/>
  <c r="AZ504" s="1"/>
  <c r="BA502"/>
  <c r="BA500"/>
  <c r="BA498"/>
  <c r="AZ498" s="1"/>
  <c r="BA496"/>
  <c r="BA494"/>
  <c r="BA587"/>
  <c r="BA583"/>
  <c r="BA581"/>
  <c r="BA579"/>
  <c r="BA577"/>
  <c r="BA575"/>
  <c r="BA573"/>
  <c r="BA571"/>
  <c r="BA569"/>
  <c r="BA567"/>
  <c r="BA565"/>
  <c r="BA563"/>
  <c r="BA561"/>
  <c r="BA559"/>
  <c r="BA555"/>
  <c r="BA553"/>
  <c r="BA549"/>
  <c r="BA547"/>
  <c r="BA545"/>
  <c r="BA543"/>
  <c r="BA541"/>
  <c r="BA539"/>
  <c r="BA537"/>
  <c r="BA535"/>
  <c r="BA533"/>
  <c r="BA531"/>
  <c r="BA529"/>
  <c r="BA527"/>
  <c r="BA525"/>
  <c r="BA523"/>
  <c r="BA519"/>
  <c r="BA517"/>
  <c r="BA515"/>
  <c r="BA513"/>
  <c r="BA511"/>
  <c r="BA507"/>
  <c r="BA505"/>
  <c r="BA503"/>
  <c r="BA501"/>
  <c r="BA499"/>
  <c r="BA497"/>
  <c r="BA495"/>
  <c r="BA493"/>
  <c r="AZ560"/>
  <c r="G583"/>
  <c r="G581"/>
  <c r="G579"/>
  <c r="G577"/>
  <c r="G575"/>
  <c r="G573"/>
  <c r="G571"/>
  <c r="G569"/>
  <c r="G567"/>
  <c r="G565"/>
  <c r="G563"/>
  <c r="G561"/>
  <c r="BL558"/>
  <c r="BA557"/>
  <c r="AC557"/>
  <c r="G557"/>
  <c r="BQ557"/>
  <c r="BL557"/>
  <c r="BQ583"/>
  <c r="BL583" s="1"/>
  <c r="AZ583" s="1"/>
  <c r="BQ581"/>
  <c r="BL581" s="1"/>
  <c r="BQ579"/>
  <c r="BL579" s="1"/>
  <c r="AZ579" s="1"/>
  <c r="BQ577"/>
  <c r="BL577" s="1"/>
  <c r="AZ577" s="1"/>
  <c r="BQ575"/>
  <c r="BL575"/>
  <c r="AZ575" s="1"/>
  <c r="BQ573"/>
  <c r="BL573" s="1"/>
  <c r="AZ573" s="1"/>
  <c r="BQ571"/>
  <c r="BL571" s="1"/>
  <c r="AZ571" s="1"/>
  <c r="BQ569"/>
  <c r="BL569" s="1"/>
  <c r="AZ569" s="1"/>
  <c r="BQ567"/>
  <c r="BL567"/>
  <c r="AZ567" s="1"/>
  <c r="BQ565"/>
  <c r="BL565" s="1"/>
  <c r="AZ565" s="1"/>
  <c r="BQ563"/>
  <c r="BL563" s="1"/>
  <c r="AZ563" s="1"/>
  <c r="BQ561"/>
  <c r="BL561" s="1"/>
  <c r="AZ561" s="1"/>
  <c r="BQ559"/>
  <c r="BL559" s="1"/>
  <c r="AZ559" s="1"/>
  <c r="G559"/>
  <c r="G555"/>
  <c r="G553"/>
  <c r="G549"/>
  <c r="G547"/>
  <c r="G545"/>
  <c r="G543"/>
  <c r="G541"/>
  <c r="G539"/>
  <c r="G537"/>
  <c r="BQ555"/>
  <c r="BL555"/>
  <c r="AZ555" s="1"/>
  <c r="BQ553"/>
  <c r="BL553" s="1"/>
  <c r="AZ553" s="1"/>
  <c r="BQ551"/>
  <c r="BL551" s="1"/>
  <c r="BQ549"/>
  <c r="BQ547"/>
  <c r="BL547" s="1"/>
  <c r="AZ547" s="1"/>
  <c r="BQ545"/>
  <c r="BL545" s="1"/>
  <c r="AZ545" s="1"/>
  <c r="BQ543"/>
  <c r="BL543" s="1"/>
  <c r="AZ543" s="1"/>
  <c r="BQ541"/>
  <c r="BL541" s="1"/>
  <c r="AZ541" s="1"/>
  <c r="BQ539"/>
  <c r="BL539" s="1"/>
  <c r="AZ539" s="1"/>
  <c r="BQ537"/>
  <c r="BL537" s="1"/>
  <c r="AZ537" s="1"/>
  <c r="BQ535"/>
  <c r="BL535" s="1"/>
  <c r="AZ535" s="1"/>
  <c r="BQ533"/>
  <c r="BL533" s="1"/>
  <c r="AZ533" s="1"/>
  <c r="BQ531"/>
  <c r="BL531" s="1"/>
  <c r="AZ531" s="1"/>
  <c r="BQ529"/>
  <c r="BL529" s="1"/>
  <c r="AZ529" s="1"/>
  <c r="BQ527"/>
  <c r="BL527" s="1"/>
  <c r="AZ527" s="1"/>
  <c r="BQ525"/>
  <c r="BL525" s="1"/>
  <c r="AZ525" s="1"/>
  <c r="BQ523"/>
  <c r="BL523" s="1"/>
  <c r="AZ523" s="1"/>
  <c r="BA521"/>
  <c r="AC521"/>
  <c r="G521" s="1"/>
  <c r="BQ521"/>
  <c r="BL521" s="1"/>
  <c r="BL520"/>
  <c r="AZ520" s="1"/>
  <c r="G519"/>
  <c r="G517"/>
  <c r="G515"/>
  <c r="G513"/>
  <c r="G511"/>
  <c r="BQ519"/>
  <c r="BL519" s="1"/>
  <c r="AZ519" s="1"/>
  <c r="BQ517"/>
  <c r="BL517" s="1"/>
  <c r="AZ517" s="1"/>
  <c r="BQ515"/>
  <c r="BL515"/>
  <c r="AZ515" s="1"/>
  <c r="BQ513"/>
  <c r="BL513" s="1"/>
  <c r="AZ513" s="1"/>
  <c r="BQ511"/>
  <c r="BL511" s="1"/>
  <c r="AZ511" s="1"/>
  <c r="BA509"/>
  <c r="AC509"/>
  <c r="BQ509"/>
  <c r="BL509" s="1"/>
  <c r="AZ509" s="1"/>
  <c r="BL508"/>
  <c r="AZ508" s="1"/>
  <c r="G507"/>
  <c r="G505"/>
  <c r="G503"/>
  <c r="G501"/>
  <c r="G499"/>
  <c r="G497"/>
  <c r="G495"/>
  <c r="BQ507"/>
  <c r="BL507" s="1"/>
  <c r="AZ507" s="1"/>
  <c r="BQ505"/>
  <c r="BL505" s="1"/>
  <c r="AZ505" s="1"/>
  <c r="BQ503"/>
  <c r="BL503" s="1"/>
  <c r="AZ503" s="1"/>
  <c r="BQ501"/>
  <c r="BL501"/>
  <c r="BQ499"/>
  <c r="BL499"/>
  <c r="BQ497"/>
  <c r="BL497"/>
  <c r="BQ495"/>
  <c r="BL495"/>
  <c r="AZ495" s="1"/>
  <c r="BQ493"/>
  <c r="AZ584"/>
  <c r="S505" i="31"/>
  <c r="S503"/>
  <c r="S501"/>
  <c r="S499"/>
  <c r="O27"/>
  <c r="O28"/>
  <c r="O26"/>
  <c r="M27"/>
  <c r="M28"/>
  <c r="M26"/>
  <c r="I26"/>
  <c r="I25"/>
  <c r="S25"/>
  <c r="Q26"/>
  <c r="K26"/>
  <c r="I27"/>
  <c r="Q27"/>
  <c r="K27"/>
  <c r="I28"/>
  <c r="Q28"/>
  <c r="K28"/>
  <c r="S21" i="40"/>
  <c r="AA12" i="21"/>
  <c r="H25"/>
  <c r="U25" s="1"/>
  <c r="F25"/>
  <c r="S25" s="1"/>
  <c r="J25"/>
  <c r="AC25" s="1"/>
  <c r="E125" i="33"/>
  <c r="F125" s="1"/>
  <c r="G125" s="1"/>
  <c r="H43"/>
  <c r="AB43" s="1"/>
  <c r="H17" i="37"/>
  <c r="U17" s="1"/>
  <c r="AB27"/>
  <c r="U32" i="33"/>
  <c r="F39"/>
  <c r="AA39" s="1"/>
  <c r="E123"/>
  <c r="F42"/>
  <c r="AA42" s="1"/>
  <c r="H28" i="34"/>
  <c r="AB28" s="1"/>
  <c r="F14" i="36"/>
  <c r="AA14" s="1"/>
  <c r="F22"/>
  <c r="S22" s="1"/>
  <c r="F26"/>
  <c r="S26" s="1"/>
  <c r="H27" i="34"/>
  <c r="AB27" s="1"/>
  <c r="H35"/>
  <c r="U35" s="1"/>
  <c r="F41"/>
  <c r="S41" s="1"/>
  <c r="H41"/>
  <c r="U41" s="1"/>
  <c r="J41"/>
  <c r="AC41" s="1"/>
  <c r="F10" i="35"/>
  <c r="S10" s="1"/>
  <c r="F24"/>
  <c r="AA24" s="1"/>
  <c r="H24"/>
  <c r="AB24" s="1"/>
  <c r="H23" i="37"/>
  <c r="AB23" s="1"/>
  <c r="J32"/>
  <c r="AC32" s="1"/>
  <c r="F36"/>
  <c r="AA36" s="1"/>
  <c r="F37"/>
  <c r="AA37" s="1"/>
  <c r="F31" i="40"/>
  <c r="AA31" s="1"/>
  <c r="H31"/>
  <c r="U31" s="1"/>
  <c r="F32"/>
  <c r="S32" s="1"/>
  <c r="H32"/>
  <c r="AB32" s="1"/>
  <c r="J36"/>
  <c r="W36" s="1"/>
  <c r="AA41" i="34"/>
  <c r="H19" i="37"/>
  <c r="AB19" s="1"/>
  <c r="F123" i="33"/>
  <c r="G123" s="1"/>
  <c r="H123" s="1"/>
  <c r="I123" s="1"/>
  <c r="J123" s="1"/>
  <c r="K123" s="1"/>
  <c r="L123" s="1"/>
  <c r="M123" s="1"/>
  <c r="H42"/>
  <c r="AB42" s="1"/>
  <c r="J43"/>
  <c r="AC43" s="1"/>
  <c r="U43"/>
  <c r="S28" i="31"/>
  <c r="S27"/>
  <c r="S26"/>
  <c r="U14" i="40"/>
  <c r="AC32" i="36"/>
  <c r="AC33"/>
  <c r="U35" i="35"/>
  <c r="W14" i="37"/>
  <c r="AB28"/>
  <c r="U33"/>
  <c r="U39"/>
  <c r="W26"/>
  <c r="AC8"/>
  <c r="U26"/>
  <c r="W47" i="34"/>
  <c r="AB13"/>
  <c r="W37"/>
  <c r="AB37"/>
  <c r="AC36"/>
  <c r="AA13" i="33"/>
  <c r="AC31"/>
  <c r="AC45"/>
  <c r="W44"/>
  <c r="U11"/>
  <c r="U19" i="21"/>
  <c r="U26"/>
  <c r="U12"/>
  <c r="AB38"/>
  <c r="F43" i="33"/>
  <c r="AA43" s="1"/>
  <c r="W15" i="34"/>
  <c r="AC15"/>
  <c r="W16" i="35"/>
  <c r="W40" i="37"/>
  <c r="G107"/>
  <c r="H107" s="1"/>
  <c r="I107" s="1"/>
  <c r="J107" s="1"/>
  <c r="K107" s="1"/>
  <c r="L107" s="1"/>
  <c r="M107" s="1"/>
  <c r="H37" i="21"/>
  <c r="U37" s="1"/>
  <c r="H19" i="34"/>
  <c r="AB19" s="1"/>
  <c r="F36" i="35"/>
  <c r="S36" s="1"/>
  <c r="J9" i="37"/>
  <c r="W9" s="1"/>
  <c r="H9"/>
  <c r="AB9" s="1"/>
  <c r="F9"/>
  <c r="S9" s="1"/>
  <c r="J12"/>
  <c r="W12" s="1"/>
  <c r="H12"/>
  <c r="AB12" s="1"/>
  <c r="F12"/>
  <c r="S12" s="1"/>
  <c r="E71"/>
  <c r="F15"/>
  <c r="AA15" s="1"/>
  <c r="E94"/>
  <c r="F31"/>
  <c r="S31" s="1"/>
  <c r="F12" i="39"/>
  <c r="S12" s="1"/>
  <c r="J42"/>
  <c r="AC42" s="1"/>
  <c r="H21" i="40"/>
  <c r="AB21" s="1"/>
  <c r="AC12" i="37"/>
  <c r="F94"/>
  <c r="G94" s="1"/>
  <c r="H94" s="1"/>
  <c r="I94" s="1"/>
  <c r="J94" s="1"/>
  <c r="K94" s="1"/>
  <c r="L94" s="1"/>
  <c r="M94" s="1"/>
  <c r="H31"/>
  <c r="U31" s="1"/>
  <c r="F71"/>
  <c r="G71" s="1"/>
  <c r="J15"/>
  <c r="W15" s="1"/>
  <c r="U12"/>
  <c r="H5" i="3"/>
  <c r="AA25" i="21"/>
  <c r="C12" i="43"/>
  <c r="H19" i="40"/>
  <c r="U19" s="1"/>
  <c r="F88"/>
  <c r="G88" s="1"/>
  <c r="F19"/>
  <c r="S19" s="1"/>
  <c r="S14"/>
  <c r="AC13"/>
  <c r="AB33"/>
  <c r="W23" i="39"/>
  <c r="AC43"/>
  <c r="W43"/>
  <c r="AB44"/>
  <c r="U44"/>
  <c r="G101"/>
  <c r="H37"/>
  <c r="AB37" s="1"/>
  <c r="AC37"/>
  <c r="W37"/>
  <c r="H25"/>
  <c r="AB25" s="1"/>
  <c r="J25"/>
  <c r="F25"/>
  <c r="AA25" s="1"/>
  <c r="F15"/>
  <c r="AA15" s="1"/>
  <c r="H15"/>
  <c r="U15" s="1"/>
  <c r="J15"/>
  <c r="W15" s="1"/>
  <c r="H41"/>
  <c r="W27"/>
  <c r="U40"/>
  <c r="W9"/>
  <c r="W8"/>
  <c r="J19" i="40"/>
  <c r="AC19" s="1"/>
  <c r="J50"/>
  <c r="B54" i="72"/>
  <c r="H103" i="9"/>
  <c r="D8" i="53" s="1"/>
  <c r="B16"/>
  <c r="B33" i="72" s="1"/>
  <c r="C7" i="37"/>
  <c r="C7" i="34"/>
  <c r="C7" i="36"/>
  <c r="W35" i="40"/>
  <c r="A118" i="9"/>
  <c r="A4" i="52"/>
  <c r="B41" i="72" s="1"/>
  <c r="A12" i="52"/>
  <c r="B56" i="72" s="1"/>
  <c r="G4" i="4"/>
  <c r="I4"/>
  <c r="K5"/>
  <c r="B47" i="48" s="1"/>
  <c r="A2" i="9"/>
  <c r="N2" i="43"/>
  <c r="F59" s="1"/>
  <c r="AZ32" i="3"/>
  <c r="AZ497"/>
  <c r="BL549"/>
  <c r="AZ549" s="1"/>
  <c r="AZ494"/>
  <c r="AZ502"/>
  <c r="AZ514"/>
  <c r="AZ522"/>
  <c r="AZ530"/>
  <c r="AZ546"/>
  <c r="G546"/>
  <c r="G524"/>
  <c r="G303"/>
  <c r="BL304"/>
  <c r="G305"/>
  <c r="BL306"/>
  <c r="BA308"/>
  <c r="AZ308" s="1"/>
  <c r="BA309"/>
  <c r="BL309"/>
  <c r="G310"/>
  <c r="BA311"/>
  <c r="G319"/>
  <c r="BL320"/>
  <c r="G321"/>
  <c r="BL322"/>
  <c r="BA324"/>
  <c r="AZ324" s="1"/>
  <c r="BA325"/>
  <c r="BL325"/>
  <c r="G326"/>
  <c r="BA327"/>
  <c r="G335"/>
  <c r="BL336"/>
  <c r="G337"/>
  <c r="BL338"/>
  <c r="BA340"/>
  <c r="AZ340" s="1"/>
  <c r="BA341"/>
  <c r="BL341"/>
  <c r="BA343"/>
  <c r="AZ343" s="1"/>
  <c r="BA345"/>
  <c r="BL355"/>
  <c r="G356"/>
  <c r="BL357"/>
  <c r="BA359"/>
  <c r="AZ359"/>
  <c r="BA360"/>
  <c r="BL360"/>
  <c r="AZ360" s="1"/>
  <c r="G361"/>
  <c r="BA362"/>
  <c r="G370"/>
  <c r="BL371"/>
  <c r="G372"/>
  <c r="BL373"/>
  <c r="BA375"/>
  <c r="AZ375" s="1"/>
  <c r="BA376"/>
  <c r="BL376"/>
  <c r="G377"/>
  <c r="BA378"/>
  <c r="AZ378"/>
  <c r="BL378"/>
  <c r="G379"/>
  <c r="BA380"/>
  <c r="G388"/>
  <c r="BL389"/>
  <c r="G390"/>
  <c r="BL391"/>
  <c r="BA393"/>
  <c r="BA394"/>
  <c r="BL394"/>
  <c r="G113"/>
  <c r="BA115"/>
  <c r="BL116"/>
  <c r="AZ116" s="1"/>
  <c r="G117"/>
  <c r="BA119"/>
  <c r="AZ119" s="1"/>
  <c r="BL120"/>
  <c r="AZ120" s="1"/>
  <c r="G121"/>
  <c r="BA123"/>
  <c r="AZ123" s="1"/>
  <c r="BL124"/>
  <c r="G125"/>
  <c r="BA127"/>
  <c r="BL128"/>
  <c r="G129"/>
  <c r="BA131"/>
  <c r="BL132"/>
  <c r="AZ132"/>
  <c r="G133"/>
  <c r="BA135"/>
  <c r="AZ135" s="1"/>
  <c r="BL136"/>
  <c r="G137"/>
  <c r="BA139"/>
  <c r="AZ139" s="1"/>
  <c r="BL140"/>
  <c r="AZ140" s="1"/>
  <c r="G141"/>
  <c r="BA143"/>
  <c r="AZ143" s="1"/>
  <c r="BL144"/>
  <c r="G145"/>
  <c r="BA147"/>
  <c r="AZ147" s="1"/>
  <c r="BL148"/>
  <c r="AZ148" s="1"/>
  <c r="G149"/>
  <c r="BA151"/>
  <c r="AZ151" s="1"/>
  <c r="BL152"/>
  <c r="G153"/>
  <c r="BA155"/>
  <c r="AZ155" s="1"/>
  <c r="BL156"/>
  <c r="AZ156" s="1"/>
  <c r="G157"/>
  <c r="BA159"/>
  <c r="AZ159"/>
  <c r="BL160"/>
  <c r="G161"/>
  <c r="BA163"/>
  <c r="AZ163"/>
  <c r="BL164"/>
  <c r="AZ164"/>
  <c r="G165"/>
  <c r="BA167"/>
  <c r="AZ167" s="1"/>
  <c r="BL168"/>
  <c r="G169"/>
  <c r="BA171"/>
  <c r="AZ171" s="1"/>
  <c r="BL172"/>
  <c r="AZ172" s="1"/>
  <c r="G173"/>
  <c r="BA175"/>
  <c r="AZ175" s="1"/>
  <c r="BL176"/>
  <c r="G177"/>
  <c r="BA179"/>
  <c r="AZ179" s="1"/>
  <c r="BL180"/>
  <c r="AZ180" s="1"/>
  <c r="G181"/>
  <c r="BA183"/>
  <c r="AZ183" s="1"/>
  <c r="BL184"/>
  <c r="G185"/>
  <c r="BA187"/>
  <c r="AZ187" s="1"/>
  <c r="BL188"/>
  <c r="AZ188" s="1"/>
  <c r="G189"/>
  <c r="BA191"/>
  <c r="AZ191"/>
  <c r="BL192"/>
  <c r="G193"/>
  <c r="BA195"/>
  <c r="AZ195"/>
  <c r="BL196"/>
  <c r="AZ196"/>
  <c r="G197"/>
  <c r="BA199"/>
  <c r="AZ199" s="1"/>
  <c r="BL200"/>
  <c r="G201"/>
  <c r="BA203"/>
  <c r="AZ203" s="1"/>
  <c r="BL204"/>
  <c r="AZ204" s="1"/>
  <c r="AZ39"/>
  <c r="AZ51"/>
  <c r="AZ55"/>
  <c r="AZ67"/>
  <c r="AZ71"/>
  <c r="AZ79"/>
  <c r="AZ83"/>
  <c r="AZ136"/>
  <c r="AZ144"/>
  <c r="AZ85"/>
  <c r="AZ89"/>
  <c r="AZ97"/>
  <c r="AZ105"/>
  <c r="AZ128"/>
  <c r="G534"/>
  <c r="G530"/>
  <c r="G522"/>
  <c r="G516"/>
  <c r="G512"/>
  <c r="G506"/>
  <c r="G498"/>
  <c r="G494"/>
  <c r="G16"/>
  <c r="G15"/>
  <c r="BA304"/>
  <c r="BA305"/>
  <c r="AZ305" s="1"/>
  <c r="BL305"/>
  <c r="G306"/>
  <c r="G309"/>
  <c r="BL310"/>
  <c r="BA312"/>
  <c r="AZ312"/>
  <c r="BA313"/>
  <c r="BL313"/>
  <c r="AZ313" s="1"/>
  <c r="G314"/>
  <c r="G317"/>
  <c r="BL318"/>
  <c r="BA320"/>
  <c r="AZ320" s="1"/>
  <c r="BA321"/>
  <c r="BL321"/>
  <c r="G322"/>
  <c r="G325"/>
  <c r="BL326"/>
  <c r="BA328"/>
  <c r="AZ328" s="1"/>
  <c r="BA329"/>
  <c r="BL329"/>
  <c r="G330"/>
  <c r="G333"/>
  <c r="BL334"/>
  <c r="BA336"/>
  <c r="BA337"/>
  <c r="AZ337" s="1"/>
  <c r="BL337"/>
  <c r="G338"/>
  <c r="G341"/>
  <c r="BA342"/>
  <c r="BL342"/>
  <c r="AZ342"/>
  <c r="BA344"/>
  <c r="BL344"/>
  <c r="AZ344" s="1"/>
  <c r="BA346"/>
  <c r="AZ346" s="1"/>
  <c r="BA347"/>
  <c r="AZ347" s="1"/>
  <c r="BL347"/>
  <c r="G350"/>
  <c r="BA351"/>
  <c r="AZ351"/>
  <c r="BL351"/>
  <c r="G352"/>
  <c r="G354"/>
  <c r="BA355"/>
  <c r="AZ355" s="1"/>
  <c r="BA356"/>
  <c r="BL356"/>
  <c r="G357"/>
  <c r="G360"/>
  <c r="BL361"/>
  <c r="BA363"/>
  <c r="AZ363" s="1"/>
  <c r="BA364"/>
  <c r="BL364"/>
  <c r="G365"/>
  <c r="G368"/>
  <c r="BL369"/>
  <c r="BA371"/>
  <c r="BA372"/>
  <c r="AZ372" s="1"/>
  <c r="BL372"/>
  <c r="G373"/>
  <c r="G376"/>
  <c r="BL377"/>
  <c r="BL379"/>
  <c r="BA381"/>
  <c r="BA382"/>
  <c r="BL382"/>
  <c r="G383"/>
  <c r="G386"/>
  <c r="BL387"/>
  <c r="BA389"/>
  <c r="AZ389" s="1"/>
  <c r="BA390"/>
  <c r="AZ390" s="1"/>
  <c r="BL390"/>
  <c r="G391"/>
  <c r="G394"/>
  <c r="AZ138"/>
  <c r="AZ142"/>
  <c r="AZ146"/>
  <c r="AZ154"/>
  <c r="AZ162"/>
  <c r="AZ170"/>
  <c r="AZ178"/>
  <c r="AZ186"/>
  <c r="AZ194"/>
  <c r="AZ202"/>
  <c r="AZ206"/>
  <c r="AZ500"/>
  <c r="BA16"/>
  <c r="AZ16" s="1"/>
  <c r="BL303"/>
  <c r="AZ303" s="1"/>
  <c r="G304"/>
  <c r="BA306"/>
  <c r="AZ306" s="1"/>
  <c r="BL307"/>
  <c r="AZ307" s="1"/>
  <c r="G308"/>
  <c r="BA310"/>
  <c r="BL311"/>
  <c r="AZ311" s="1"/>
  <c r="G312"/>
  <c r="BA314"/>
  <c r="AZ314" s="1"/>
  <c r="BL315"/>
  <c r="AZ315" s="1"/>
  <c r="G316"/>
  <c r="BA318"/>
  <c r="AZ318"/>
  <c r="BL319"/>
  <c r="G320"/>
  <c r="BA322"/>
  <c r="AZ322"/>
  <c r="BL323"/>
  <c r="AZ323"/>
  <c r="G324"/>
  <c r="BA326"/>
  <c r="AZ326" s="1"/>
  <c r="BL327"/>
  <c r="G328"/>
  <c r="BA330"/>
  <c r="AZ330" s="1"/>
  <c r="BL331"/>
  <c r="AZ331" s="1"/>
  <c r="G332"/>
  <c r="BA334"/>
  <c r="AZ334" s="1"/>
  <c r="BL335"/>
  <c r="AZ335" s="1"/>
  <c r="G336"/>
  <c r="BA338"/>
  <c r="AZ338" s="1"/>
  <c r="BL339"/>
  <c r="AZ339" s="1"/>
  <c r="G340"/>
  <c r="BL343"/>
  <c r="G344"/>
  <c r="G348"/>
  <c r="G355"/>
  <c r="AZ214"/>
  <c r="AZ222"/>
  <c r="AZ319"/>
  <c r="G342"/>
  <c r="BL345"/>
  <c r="AZ345" s="1"/>
  <c r="G346"/>
  <c r="BL349"/>
  <c r="BL352"/>
  <c r="AZ352" s="1"/>
  <c r="G353"/>
  <c r="BA357"/>
  <c r="AZ357" s="1"/>
  <c r="BL358"/>
  <c r="AZ358" s="1"/>
  <c r="G359"/>
  <c r="BA361"/>
  <c r="AZ361" s="1"/>
  <c r="BL362"/>
  <c r="G363"/>
  <c r="BA365"/>
  <c r="AZ365" s="1"/>
  <c r="BL366"/>
  <c r="G367"/>
  <c r="BA369"/>
  <c r="AZ369"/>
  <c r="BL370"/>
  <c r="G371"/>
  <c r="BA373"/>
  <c r="AZ373"/>
  <c r="BL374"/>
  <c r="AZ374"/>
  <c r="G375"/>
  <c r="BA377"/>
  <c r="AZ377" s="1"/>
  <c r="AZ233"/>
  <c r="AZ237"/>
  <c r="AZ249"/>
  <c r="AZ253"/>
  <c r="AZ269"/>
  <c r="AZ273"/>
  <c r="AZ370"/>
  <c r="BA379"/>
  <c r="AZ379" s="1"/>
  <c r="BL380"/>
  <c r="AZ380" s="1"/>
  <c r="G381"/>
  <c r="BA383"/>
  <c r="AZ383" s="1"/>
  <c r="BL384"/>
  <c r="G385"/>
  <c r="BA387"/>
  <c r="AZ387" s="1"/>
  <c r="BL388"/>
  <c r="AZ388" s="1"/>
  <c r="G389"/>
  <c r="BA391"/>
  <c r="AZ391" s="1"/>
  <c r="BL392"/>
  <c r="G393"/>
  <c r="AZ275"/>
  <c r="AZ283"/>
  <c r="AZ291"/>
  <c r="AZ299"/>
  <c r="BO5"/>
  <c r="BM5"/>
  <c r="BJ5"/>
  <c r="BH5"/>
  <c r="BF5"/>
  <c r="BD5"/>
  <c r="AZ309"/>
  <c r="AZ325"/>
  <c r="AZ341"/>
  <c r="BQ5"/>
  <c r="AC5"/>
  <c r="AZ506"/>
  <c r="AZ496"/>
  <c r="G548"/>
  <c r="G538"/>
  <c r="G520"/>
  <c r="G502"/>
  <c r="BS5"/>
  <c r="BP5"/>
  <c r="BN5"/>
  <c r="BK5"/>
  <c r="BI5"/>
  <c r="BG5"/>
  <c r="BE5"/>
  <c r="BC5"/>
  <c r="G17"/>
  <c r="BA17"/>
  <c r="BT5"/>
  <c r="AZ350"/>
  <c r="AZ356"/>
  <c r="AZ364"/>
  <c r="AZ368"/>
  <c r="BA15"/>
  <c r="BB5"/>
  <c r="E8" i="6" s="1"/>
  <c r="F27" s="1"/>
  <c r="BR5" i="3"/>
  <c r="G28" i="6" s="1"/>
  <c r="AZ384" i="3"/>
  <c r="AZ392"/>
  <c r="AZ394"/>
  <c r="AZ499"/>
  <c r="G509"/>
  <c r="BL493"/>
  <c r="AZ493" s="1"/>
  <c r="AZ491"/>
  <c r="AZ376"/>
  <c r="AZ382"/>
  <c r="U36" i="40"/>
  <c r="N4" i="43"/>
  <c r="F36"/>
  <c r="F81"/>
  <c r="H83" s="1"/>
  <c r="H113"/>
  <c r="F48"/>
  <c r="H52" s="1"/>
  <c r="N7"/>
  <c r="F70"/>
  <c r="H73" s="1"/>
  <c r="M6"/>
  <c r="M11"/>
  <c r="E17"/>
  <c r="F39"/>
  <c r="I17"/>
  <c r="F35"/>
  <c r="J17"/>
  <c r="F6" i="1"/>
  <c r="S14" i="35"/>
  <c r="U43" i="21"/>
  <c r="AC35"/>
  <c r="U10"/>
  <c r="F48" i="9"/>
  <c r="O52" s="1"/>
  <c r="AZ501" i="3"/>
  <c r="W37" i="37"/>
  <c r="W44" i="34"/>
  <c r="AC44"/>
  <c r="S15" i="37"/>
  <c r="U13"/>
  <c r="U12" i="40"/>
  <c r="AA12"/>
  <c r="J37" i="33"/>
  <c r="W37" s="1"/>
  <c r="AC17" i="34"/>
  <c r="F106" i="33"/>
  <c r="G106" s="1"/>
  <c r="H106" s="1"/>
  <c r="I106" s="1"/>
  <c r="J106" s="1"/>
  <c r="K106" s="1"/>
  <c r="L106" s="1"/>
  <c r="M106" s="1"/>
  <c r="J34"/>
  <c r="W34" s="1"/>
  <c r="F33" i="34"/>
  <c r="S33" s="1"/>
  <c r="H20" i="36"/>
  <c r="U20" s="1"/>
  <c r="J20"/>
  <c r="W20" s="1"/>
  <c r="J27"/>
  <c r="W27" s="1"/>
  <c r="AB25" i="37"/>
  <c r="AC33" i="40"/>
  <c r="F111"/>
  <c r="G111"/>
  <c r="H111" s="1"/>
  <c r="I111" s="1"/>
  <c r="J111" s="1"/>
  <c r="K111" s="1"/>
  <c r="L111" s="1"/>
  <c r="M111" s="1"/>
  <c r="H35"/>
  <c r="AB35" s="1"/>
  <c r="H35" i="37"/>
  <c r="U35" s="1"/>
  <c r="AC14" i="35"/>
  <c r="H20"/>
  <c r="U20" s="1"/>
  <c r="F20"/>
  <c r="AA20" s="1"/>
  <c r="AB29" i="36"/>
  <c r="U29"/>
  <c r="H32" i="37"/>
  <c r="AB32" s="1"/>
  <c r="F96"/>
  <c r="H27" i="40"/>
  <c r="U27" s="1"/>
  <c r="J27"/>
  <c r="AC27" s="1"/>
  <c r="F27"/>
  <c r="S27" s="1"/>
  <c r="J30"/>
  <c r="AC30" s="1"/>
  <c r="F30"/>
  <c r="AA30" s="1"/>
  <c r="AC21"/>
  <c r="S31" i="39"/>
  <c r="S11" i="40"/>
  <c r="E98"/>
  <c r="F98" s="1"/>
  <c r="G98" s="1"/>
  <c r="H98" s="1"/>
  <c r="I98" s="1"/>
  <c r="J98" s="1"/>
  <c r="K98" s="1"/>
  <c r="L98" s="1"/>
  <c r="M98" s="1"/>
  <c r="F10" i="33"/>
  <c r="S10" s="1"/>
  <c r="F34"/>
  <c r="S34" s="1"/>
  <c r="H34"/>
  <c r="U34" s="1"/>
  <c r="F35"/>
  <c r="S35" s="1"/>
  <c r="F39" i="34"/>
  <c r="S39" s="1"/>
  <c r="J39"/>
  <c r="W39" s="1"/>
  <c r="F40"/>
  <c r="S40" s="1"/>
  <c r="F43"/>
  <c r="AA43" s="1"/>
  <c r="H44"/>
  <c r="AB44" s="1"/>
  <c r="AC38" i="39"/>
  <c r="F39"/>
  <c r="S39" s="1"/>
  <c r="J39"/>
  <c r="AC39" s="1"/>
  <c r="E97"/>
  <c r="F97" s="1"/>
  <c r="G97" s="1"/>
  <c r="AZ353" i="3"/>
  <c r="C40" i="11"/>
  <c r="AZ223" i="3"/>
  <c r="AZ232"/>
  <c r="AZ235"/>
  <c r="AZ248"/>
  <c r="AZ251"/>
  <c r="AZ268"/>
  <c r="AZ271"/>
  <c r="AZ288"/>
  <c r="AZ117"/>
  <c r="AZ133"/>
  <c r="AZ37"/>
  <c r="AZ42"/>
  <c r="AZ53"/>
  <c r="AZ58"/>
  <c r="AZ69"/>
  <c r="AZ82"/>
  <c r="AZ102"/>
  <c r="H75" i="43"/>
  <c r="H74"/>
  <c r="H50"/>
  <c r="H49"/>
  <c r="H48"/>
  <c r="I20"/>
  <c r="F23" i="39"/>
  <c r="AA23" s="1"/>
  <c r="H27" i="36"/>
  <c r="U27" s="1"/>
  <c r="F27"/>
  <c r="AA27" s="1"/>
  <c r="H33" i="34"/>
  <c r="U33" s="1"/>
  <c r="F32" i="37"/>
  <c r="AA32" s="1"/>
  <c r="G96"/>
  <c r="H96" s="1"/>
  <c r="I96" s="1"/>
  <c r="J96" s="1"/>
  <c r="K96" s="1"/>
  <c r="L96" s="1"/>
  <c r="M96" s="1"/>
  <c r="F20" i="36"/>
  <c r="AA20" s="1"/>
  <c r="J33" i="34"/>
  <c r="AC33" s="1"/>
  <c r="H23" i="39"/>
  <c r="U23" s="1"/>
  <c r="D48" i="9"/>
  <c r="M52" s="1"/>
  <c r="H86" i="43"/>
  <c r="H82"/>
  <c r="H87"/>
  <c r="K9" i="1"/>
  <c r="AE9"/>
  <c r="F29" i="6" l="1"/>
  <c r="AZ327" i="3"/>
  <c r="AZ310"/>
  <c r="AZ371"/>
  <c r="AZ336"/>
  <c r="AZ329"/>
  <c r="AZ321"/>
  <c r="AZ304"/>
  <c r="AZ521"/>
  <c r="AZ581"/>
  <c r="AZ518"/>
  <c r="AZ552"/>
  <c r="U23" i="34"/>
  <c r="AB23"/>
  <c r="H109" i="39"/>
  <c r="I109" s="1"/>
  <c r="J109" s="1"/>
  <c r="K109" s="1"/>
  <c r="L109" s="1"/>
  <c r="M109" s="1"/>
  <c r="H34"/>
  <c r="U34" s="1"/>
  <c r="J34"/>
  <c r="AC34" s="1"/>
  <c r="AA26" i="33"/>
  <c r="S26"/>
  <c r="BL587" i="3"/>
  <c r="AZ587" s="1"/>
  <c r="BL586"/>
  <c r="AZ585"/>
  <c r="J27" i="21"/>
  <c r="W27" s="1"/>
  <c r="H27"/>
  <c r="AB27" s="1"/>
  <c r="J29"/>
  <c r="AC29" s="1"/>
  <c r="H29"/>
  <c r="U29" s="1"/>
  <c r="H31"/>
  <c r="F31"/>
  <c r="S31" s="1"/>
  <c r="AB35" i="33"/>
  <c r="U35"/>
  <c r="AA38"/>
  <c r="S38"/>
  <c r="AC40"/>
  <c r="W40"/>
  <c r="W12" i="34"/>
  <c r="AC12"/>
  <c r="F28"/>
  <c r="J28"/>
  <c r="F12" i="35"/>
  <c r="F34"/>
  <c r="E70"/>
  <c r="F70" s="1"/>
  <c r="G70" s="1"/>
  <c r="J20"/>
  <c r="W20" s="1"/>
  <c r="H23"/>
  <c r="J23"/>
  <c r="AA10" i="36"/>
  <c r="S10"/>
  <c r="AB9"/>
  <c r="U9"/>
  <c r="J24"/>
  <c r="H24"/>
  <c r="AB24" s="1"/>
  <c r="F24"/>
  <c r="AA24" s="1"/>
  <c r="H33"/>
  <c r="F33"/>
  <c r="AA33" s="1"/>
  <c r="AB31"/>
  <c r="U31"/>
  <c r="AA10" i="37"/>
  <c r="S10"/>
  <c r="AB14"/>
  <c r="U14"/>
  <c r="H40"/>
  <c r="U40" s="1"/>
  <c r="F40"/>
  <c r="AA40" s="1"/>
  <c r="E105" i="39"/>
  <c r="F105" s="1"/>
  <c r="G105" s="1"/>
  <c r="H105" s="1"/>
  <c r="I105" s="1"/>
  <c r="J105" s="1"/>
  <c r="K105" s="1"/>
  <c r="L105" s="1"/>
  <c r="M105" s="1"/>
  <c r="H31"/>
  <c r="AB31" s="1"/>
  <c r="F34"/>
  <c r="AA34" s="1"/>
  <c r="F120"/>
  <c r="G120" s="1"/>
  <c r="H120" s="1"/>
  <c r="I120" s="1"/>
  <c r="J120" s="1"/>
  <c r="K120" s="1"/>
  <c r="L120" s="1"/>
  <c r="M120" s="1"/>
  <c r="H39"/>
  <c r="U39" s="1"/>
  <c r="W9" i="40"/>
  <c r="AC9"/>
  <c r="AB34"/>
  <c r="U34"/>
  <c r="AC32"/>
  <c r="W32"/>
  <c r="H87" i="35"/>
  <c r="H29"/>
  <c r="AB29" s="1"/>
  <c r="AB31"/>
  <c r="U31"/>
  <c r="U30" i="36"/>
  <c r="AB30"/>
  <c r="F36" i="39"/>
  <c r="J36"/>
  <c r="BA551" i="3"/>
  <c r="BL550"/>
  <c r="BA550"/>
  <c r="BL548"/>
  <c r="AZ548" s="1"/>
  <c r="AZ362"/>
  <c r="AZ557"/>
  <c r="AZ558"/>
  <c r="AA41" i="33"/>
  <c r="S41"/>
  <c r="AC33" i="37"/>
  <c r="W33"/>
  <c r="E123" i="21"/>
  <c r="F123" s="1"/>
  <c r="G123" s="1"/>
  <c r="H123" s="1"/>
  <c r="I123" s="1"/>
  <c r="J123" s="1"/>
  <c r="K123" s="1"/>
  <c r="L123" s="1"/>
  <c r="M123" s="1"/>
  <c r="F42"/>
  <c r="H42"/>
  <c r="U42" s="1"/>
  <c r="B74" i="43"/>
  <c r="C27" i="39"/>
  <c r="AA8" i="33"/>
  <c r="S8"/>
  <c r="AC34" i="35"/>
  <c r="W34"/>
  <c r="E84"/>
  <c r="F84" s="1"/>
  <c r="G84" s="1"/>
  <c r="H84" s="1"/>
  <c r="I84" s="1"/>
  <c r="J84" s="1"/>
  <c r="K84" s="1"/>
  <c r="L84" s="1"/>
  <c r="M84" s="1"/>
  <c r="J28"/>
  <c r="F28"/>
  <c r="AA28" s="1"/>
  <c r="J29" i="33"/>
  <c r="F29"/>
  <c r="S29" s="1"/>
  <c r="H45"/>
  <c r="F45"/>
  <c r="H30" i="34"/>
  <c r="J30"/>
  <c r="H46"/>
  <c r="J46"/>
  <c r="U12" i="35"/>
  <c r="AB12"/>
  <c r="AB34"/>
  <c r="U34"/>
  <c r="H36"/>
  <c r="AB36" s="1"/>
  <c r="J36"/>
  <c r="J12" i="36"/>
  <c r="H12"/>
  <c r="AA40" i="39"/>
  <c r="S40"/>
  <c r="E91"/>
  <c r="F17"/>
  <c r="AA17" s="1"/>
  <c r="H45"/>
  <c r="J45"/>
  <c r="AB40" i="40"/>
  <c r="U40"/>
  <c r="F38"/>
  <c r="H38"/>
  <c r="J40"/>
  <c r="F40"/>
  <c r="U42" i="34"/>
  <c r="AB42"/>
  <c r="G398" i="3"/>
  <c r="G399"/>
  <c r="BL399"/>
  <c r="BA400"/>
  <c r="AZ400" s="1"/>
  <c r="BL402"/>
  <c r="AZ402" s="1"/>
  <c r="G405"/>
  <c r="BL405"/>
  <c r="G408"/>
  <c r="BL408"/>
  <c r="BA409"/>
  <c r="AZ409" s="1"/>
  <c r="BA410"/>
  <c r="AZ410" s="1"/>
  <c r="BA411"/>
  <c r="AZ411" s="1"/>
  <c r="G414"/>
  <c r="G415"/>
  <c r="BL415"/>
  <c r="BA416"/>
  <c r="AZ416" s="1"/>
  <c r="BL418"/>
  <c r="AZ418" s="1"/>
  <c r="G421"/>
  <c r="BL421"/>
  <c r="G424"/>
  <c r="G425"/>
  <c r="BL425"/>
  <c r="BA426"/>
  <c r="AZ426" s="1"/>
  <c r="BA427"/>
  <c r="AZ427" s="1"/>
  <c r="G430"/>
  <c r="G431"/>
  <c r="BL431"/>
  <c r="BA432"/>
  <c r="AZ432" s="1"/>
  <c r="BL434"/>
  <c r="AZ434" s="1"/>
  <c r="G437"/>
  <c r="BL437"/>
  <c r="G440"/>
  <c r="G441"/>
  <c r="BL441"/>
  <c r="BL443"/>
  <c r="AZ443" s="1"/>
  <c r="BA444"/>
  <c r="AZ444" s="1"/>
  <c r="BL446"/>
  <c r="AZ446" s="1"/>
  <c r="BA447"/>
  <c r="AZ447" s="1"/>
  <c r="BA448"/>
  <c r="AZ448" s="1"/>
  <c r="BL450"/>
  <c r="AZ450" s="1"/>
  <c r="G453"/>
  <c r="BL453"/>
  <c r="G456"/>
  <c r="G457"/>
  <c r="BL457"/>
  <c r="BL459"/>
  <c r="AZ459" s="1"/>
  <c r="BA460"/>
  <c r="AZ460" s="1"/>
  <c r="BL462"/>
  <c r="AZ462" s="1"/>
  <c r="BA463"/>
  <c r="AZ463" s="1"/>
  <c r="BA464"/>
  <c r="AZ464" s="1"/>
  <c r="G467"/>
  <c r="G468"/>
  <c r="BL468"/>
  <c r="G471"/>
  <c r="G472"/>
  <c r="G473"/>
  <c r="BL473"/>
  <c r="BA474"/>
  <c r="AZ474" s="1"/>
  <c r="BA475"/>
  <c r="AZ475" s="1"/>
  <c r="BL477"/>
  <c r="AZ477" s="1"/>
  <c r="BA478"/>
  <c r="AZ478" s="1"/>
  <c r="BA479"/>
  <c r="AZ479" s="1"/>
  <c r="BL481"/>
  <c r="AZ481" s="1"/>
  <c r="BA482"/>
  <c r="AZ482" s="1"/>
  <c r="BA483"/>
  <c r="AZ483" s="1"/>
  <c r="G485"/>
  <c r="G486"/>
  <c r="BL486"/>
  <c r="G489"/>
  <c r="G490"/>
  <c r="BL490"/>
  <c r="G311"/>
  <c r="G315"/>
  <c r="BA317"/>
  <c r="AZ317" s="1"/>
  <c r="G327"/>
  <c r="G331"/>
  <c r="BA333"/>
  <c r="AZ333" s="1"/>
  <c r="G343"/>
  <c r="BA348"/>
  <c r="AZ348" s="1"/>
  <c r="BA349"/>
  <c r="AZ349" s="1"/>
  <c r="G351"/>
  <c r="BA354"/>
  <c r="AZ354" s="1"/>
  <c r="G364"/>
  <c r="BA366"/>
  <c r="AZ366" s="1"/>
  <c r="BL367"/>
  <c r="G369"/>
  <c r="BL381"/>
  <c r="AZ381" s="1"/>
  <c r="BL386"/>
  <c r="AZ386" s="1"/>
  <c r="G392"/>
  <c r="BL393"/>
  <c r="AZ393" s="1"/>
  <c r="BL396"/>
  <c r="AZ396" s="1"/>
  <c r="BA397"/>
  <c r="AZ397" s="1"/>
  <c r="BL209"/>
  <c r="AZ209" s="1"/>
  <c r="BA210"/>
  <c r="AZ210" s="1"/>
  <c r="G213"/>
  <c r="BL213"/>
  <c r="BL215"/>
  <c r="AZ215" s="1"/>
  <c r="BA216"/>
  <c r="AZ216" s="1"/>
  <c r="BL218"/>
  <c r="AZ218" s="1"/>
  <c r="BA219"/>
  <c r="AZ219" s="1"/>
  <c r="G222"/>
  <c r="G223"/>
  <c r="G224"/>
  <c r="BL224"/>
  <c r="BA225"/>
  <c r="AZ225" s="1"/>
  <c r="BL227"/>
  <c r="AZ227" s="1"/>
  <c r="BA228"/>
  <c r="AZ228" s="1"/>
  <c r="BA229"/>
  <c r="AZ229" s="1"/>
  <c r="G232"/>
  <c r="G233"/>
  <c r="G234"/>
  <c r="BL234"/>
  <c r="G237"/>
  <c r="G238"/>
  <c r="BL238"/>
  <c r="BA239"/>
  <c r="AZ239" s="1"/>
  <c r="BA240"/>
  <c r="AZ240" s="1"/>
  <c r="BA241"/>
  <c r="AZ241" s="1"/>
  <c r="BL243"/>
  <c r="AZ243" s="1"/>
  <c r="BA244"/>
  <c r="AZ244" s="1"/>
  <c r="BA245"/>
  <c r="AZ245" s="1"/>
  <c r="G248"/>
  <c r="G249"/>
  <c r="G250"/>
  <c r="BL250"/>
  <c r="G253"/>
  <c r="G254"/>
  <c r="BL254"/>
  <c r="G574"/>
  <c r="G558"/>
  <c r="C30" i="9"/>
  <c r="G14" i="3"/>
  <c r="F7" i="1"/>
  <c r="G7" s="1"/>
  <c r="F9"/>
  <c r="G9" s="1"/>
  <c r="F11"/>
  <c r="G11" s="1"/>
  <c r="F10"/>
  <c r="G10" s="1"/>
  <c r="F8"/>
  <c r="G8" s="1"/>
  <c r="F12"/>
  <c r="G12" s="1"/>
  <c r="AZ399" i="3"/>
  <c r="AZ403"/>
  <c r="AZ405"/>
  <c r="AZ406"/>
  <c r="AZ415"/>
  <c r="AZ419"/>
  <c r="AZ421"/>
  <c r="AZ422"/>
  <c r="AZ425"/>
  <c r="AZ431"/>
  <c r="AZ435"/>
  <c r="AZ438"/>
  <c r="AZ442"/>
  <c r="AZ451"/>
  <c r="AZ453"/>
  <c r="AZ454"/>
  <c r="AZ458"/>
  <c r="AZ468"/>
  <c r="AZ469"/>
  <c r="AZ486"/>
  <c r="AZ487"/>
  <c r="BA255"/>
  <c r="AZ255" s="1"/>
  <c r="BA256"/>
  <c r="AZ256" s="1"/>
  <c r="BA257"/>
  <c r="AZ257" s="1"/>
  <c r="BL259"/>
  <c r="AZ259" s="1"/>
  <c r="BA260"/>
  <c r="AZ260" s="1"/>
  <c r="BA261"/>
  <c r="AZ261" s="1"/>
  <c r="BL263"/>
  <c r="AZ263" s="1"/>
  <c r="BA264"/>
  <c r="AZ264" s="1"/>
  <c r="BA265"/>
  <c r="AZ265" s="1"/>
  <c r="G268"/>
  <c r="G269"/>
  <c r="G270"/>
  <c r="BL270"/>
  <c r="G273"/>
  <c r="G274"/>
  <c r="BL274"/>
  <c r="G277"/>
  <c r="BL277"/>
  <c r="BA278"/>
  <c r="AZ278" s="1"/>
  <c r="BA279"/>
  <c r="AZ279" s="1"/>
  <c r="BA280"/>
  <c r="AZ280" s="1"/>
  <c r="G283"/>
  <c r="G284"/>
  <c r="BL284"/>
  <c r="BA285"/>
  <c r="AZ285" s="1"/>
  <c r="BL287"/>
  <c r="AZ287" s="1"/>
  <c r="G290"/>
  <c r="BL290"/>
  <c r="G293"/>
  <c r="BL293"/>
  <c r="BA294"/>
  <c r="AZ294" s="1"/>
  <c r="BA295"/>
  <c r="AZ295" s="1"/>
  <c r="BA296"/>
  <c r="AZ296" s="1"/>
  <c r="G299"/>
  <c r="G300"/>
  <c r="BL300"/>
  <c r="BA301"/>
  <c r="AZ301" s="1"/>
  <c r="BA302"/>
  <c r="AZ302" s="1"/>
  <c r="BA113"/>
  <c r="AZ113" s="1"/>
  <c r="BA114"/>
  <c r="AZ114" s="1"/>
  <c r="BL115"/>
  <c r="AZ115" s="1"/>
  <c r="G119"/>
  <c r="G122"/>
  <c r="BL122"/>
  <c r="BA124"/>
  <c r="AZ124" s="1"/>
  <c r="BL125"/>
  <c r="BA126"/>
  <c r="AZ126" s="1"/>
  <c r="BL127"/>
  <c r="AZ127" s="1"/>
  <c r="BA129"/>
  <c r="AZ129" s="1"/>
  <c r="BA130"/>
  <c r="AZ130" s="1"/>
  <c r="BL131"/>
  <c r="AZ131" s="1"/>
  <c r="G135"/>
  <c r="G138"/>
  <c r="G139"/>
  <c r="G142"/>
  <c r="G143"/>
  <c r="G146"/>
  <c r="G147"/>
  <c r="G148"/>
  <c r="BL150"/>
  <c r="AZ150" s="1"/>
  <c r="BA152"/>
  <c r="AZ152" s="1"/>
  <c r="BL153"/>
  <c r="G156"/>
  <c r="BL158"/>
  <c r="AZ158" s="1"/>
  <c r="BA160"/>
  <c r="AZ160" s="1"/>
  <c r="BL161"/>
  <c r="G164"/>
  <c r="BL166"/>
  <c r="AZ166" s="1"/>
  <c r="BA168"/>
  <c r="AZ168" s="1"/>
  <c r="BL169"/>
  <c r="G172"/>
  <c r="BL174"/>
  <c r="AZ174" s="1"/>
  <c r="BA176"/>
  <c r="AZ176" s="1"/>
  <c r="BL177"/>
  <c r="G180"/>
  <c r="BL182"/>
  <c r="AZ182" s="1"/>
  <c r="BA184"/>
  <c r="AZ184" s="1"/>
  <c r="BL185"/>
  <c r="G188"/>
  <c r="BL190"/>
  <c r="AZ190" s="1"/>
  <c r="BA192"/>
  <c r="AZ192" s="1"/>
  <c r="BL193"/>
  <c r="G196"/>
  <c r="BL198"/>
  <c r="AZ198" s="1"/>
  <c r="AZ270"/>
  <c r="AZ274"/>
  <c r="AZ277"/>
  <c r="AZ284"/>
  <c r="AZ290"/>
  <c r="AZ293"/>
  <c r="AZ300"/>
  <c r="AZ122"/>
  <c r="AZ125"/>
  <c r="AZ153"/>
  <c r="AZ161"/>
  <c r="AZ169"/>
  <c r="AZ177"/>
  <c r="AZ185"/>
  <c r="AZ193"/>
  <c r="BA200"/>
  <c r="AZ200" s="1"/>
  <c r="BL201"/>
  <c r="AZ201" s="1"/>
  <c r="G204"/>
  <c r="G206"/>
  <c r="G207"/>
  <c r="BL207"/>
  <c r="AZ207" s="1"/>
  <c r="BL18"/>
  <c r="G19"/>
  <c r="BA21"/>
  <c r="AZ21" s="1"/>
  <c r="BL21"/>
  <c r="G22"/>
  <c r="G23"/>
  <c r="G26"/>
  <c r="BL26"/>
  <c r="BA27"/>
  <c r="AZ27" s="1"/>
  <c r="BA28"/>
  <c r="AZ28" s="1"/>
  <c r="BA29"/>
  <c r="AZ29" s="1"/>
  <c r="BL31"/>
  <c r="AZ31" s="1"/>
  <c r="BL33"/>
  <c r="AZ33" s="1"/>
  <c r="G35"/>
  <c r="BL35"/>
  <c r="G37"/>
  <c r="G38"/>
  <c r="BL38"/>
  <c r="AZ38" s="1"/>
  <c r="G41"/>
  <c r="BL41"/>
  <c r="BL43"/>
  <c r="AZ43" s="1"/>
  <c r="BA44"/>
  <c r="AZ44" s="1"/>
  <c r="BA45"/>
  <c r="AZ45" s="1"/>
  <c r="BL47"/>
  <c r="AZ47" s="1"/>
  <c r="BA48"/>
  <c r="AZ48" s="1"/>
  <c r="BL50"/>
  <c r="AZ50" s="1"/>
  <c r="G53"/>
  <c r="G54"/>
  <c r="BL54"/>
  <c r="AZ54" s="1"/>
  <c r="G57"/>
  <c r="BL57"/>
  <c r="AZ57" s="1"/>
  <c r="BL59"/>
  <c r="AZ59" s="1"/>
  <c r="BA60"/>
  <c r="AZ60" s="1"/>
  <c r="BA61"/>
  <c r="AZ61" s="1"/>
  <c r="BL63"/>
  <c r="AZ63" s="1"/>
  <c r="BA64"/>
  <c r="AZ64" s="1"/>
  <c r="BL66"/>
  <c r="AZ66" s="1"/>
  <c r="G69"/>
  <c r="G70"/>
  <c r="BL70"/>
  <c r="AZ70" s="1"/>
  <c r="BL72"/>
  <c r="AZ72" s="1"/>
  <c r="BA73"/>
  <c r="AZ73" s="1"/>
  <c r="BA74"/>
  <c r="AZ74" s="1"/>
  <c r="BA75"/>
  <c r="AZ75" s="1"/>
  <c r="BL77"/>
  <c r="AZ77" s="1"/>
  <c r="G79"/>
  <c r="G80"/>
  <c r="BL80"/>
  <c r="G82"/>
  <c r="G83"/>
  <c r="G84"/>
  <c r="BL84"/>
  <c r="BL86"/>
  <c r="AZ86" s="1"/>
  <c r="G88"/>
  <c r="BL88"/>
  <c r="G91"/>
  <c r="BL91"/>
  <c r="AZ91" s="1"/>
  <c r="BA92"/>
  <c r="AZ92" s="1"/>
  <c r="BA93"/>
  <c r="AZ93" s="1"/>
  <c r="BA94"/>
  <c r="AZ94" s="1"/>
  <c r="G97"/>
  <c r="G98"/>
  <c r="BL98"/>
  <c r="AZ98" s="1"/>
  <c r="BA99"/>
  <c r="AZ99" s="1"/>
  <c r="BL101"/>
  <c r="AZ101" s="1"/>
  <c r="G104"/>
  <c r="BL104"/>
  <c r="AZ104" s="1"/>
  <c r="BA106"/>
  <c r="AZ106" s="1"/>
  <c r="BA108"/>
  <c r="AZ108" s="1"/>
  <c r="BA109"/>
  <c r="AZ109" s="1"/>
  <c r="BA110"/>
  <c r="AZ110" s="1"/>
  <c r="BA112"/>
  <c r="AZ112" s="1"/>
  <c r="F3" i="35"/>
  <c r="M100" i="43"/>
  <c r="I100"/>
  <c r="E100"/>
  <c r="I20" i="66"/>
  <c r="M9" i="1"/>
  <c r="O9" s="1"/>
  <c r="P9" s="1"/>
  <c r="AP9"/>
  <c r="M8"/>
  <c r="O8" s="1"/>
  <c r="P8" s="1"/>
  <c r="AP8"/>
  <c r="AC27" i="35"/>
  <c r="U35" i="21"/>
  <c r="U34"/>
  <c r="U33" i="35"/>
  <c r="S34" i="21"/>
  <c r="AC46"/>
  <c r="W44"/>
  <c r="AB34" i="39"/>
  <c r="S34"/>
  <c r="S42"/>
  <c r="AA41"/>
  <c r="W14"/>
  <c r="K10" i="1"/>
  <c r="BL23" i="3"/>
  <c r="AZ23" s="1"/>
  <c r="BL20"/>
  <c r="AZ20" s="1"/>
  <c r="BA18"/>
  <c r="AZ18" s="1"/>
  <c r="BL15"/>
  <c r="AZ15" s="1"/>
  <c r="A15" i="62"/>
  <c r="B61" i="72" s="1"/>
  <c r="D93" i="9"/>
  <c r="E12" i="6"/>
  <c r="E15"/>
  <c r="E60" i="40" s="1"/>
  <c r="K6" i="1"/>
  <c r="E13" i="6"/>
  <c r="E58" i="40" s="1"/>
  <c r="G29" i="6"/>
  <c r="E29" s="1"/>
  <c r="AC26" i="33"/>
  <c r="W26"/>
  <c r="W27" i="34"/>
  <c r="AC27"/>
  <c r="AB34" i="36"/>
  <c r="U34"/>
  <c r="AB33"/>
  <c r="U33"/>
  <c r="AC12" i="39"/>
  <c r="W12"/>
  <c r="AC39" i="40"/>
  <c r="W39"/>
  <c r="AZ401" i="3"/>
  <c r="AZ412"/>
  <c r="AZ417"/>
  <c r="AZ428"/>
  <c r="AZ433"/>
  <c r="AZ465"/>
  <c r="AZ586"/>
  <c r="F22" i="43"/>
  <c r="B113"/>
  <c r="B115" s="1"/>
  <c r="C115" s="1"/>
  <c r="K101"/>
  <c r="K103" s="1"/>
  <c r="F101"/>
  <c r="F104" s="1"/>
  <c r="N101"/>
  <c r="N102" s="1"/>
  <c r="E22"/>
  <c r="G101"/>
  <c r="G105" s="1"/>
  <c r="C101"/>
  <c r="C104" s="1"/>
  <c r="J101"/>
  <c r="J104" s="1"/>
  <c r="N104" i="46"/>
  <c r="W12" i="33"/>
  <c r="AC12"/>
  <c r="AA32" i="36"/>
  <c r="S32"/>
  <c r="AZ551" i="3"/>
  <c r="AZ550"/>
  <c r="AZ408"/>
  <c r="AZ437"/>
  <c r="AZ441"/>
  <c r="AZ457"/>
  <c r="AZ473"/>
  <c r="AZ490"/>
  <c r="AA39" i="34"/>
  <c r="F28" i="6"/>
  <c r="E28" s="1"/>
  <c r="BL14" i="3"/>
  <c r="AZ266"/>
  <c r="U30" i="33"/>
  <c r="AC13" i="34"/>
  <c r="AA47"/>
  <c r="W28" i="37"/>
  <c r="S19" i="39"/>
  <c r="F12" i="33"/>
  <c r="H12" i="39"/>
  <c r="AB12" s="1"/>
  <c r="F39" i="40"/>
  <c r="BA14" i="3"/>
  <c r="AZ14" s="1"/>
  <c r="AZ367"/>
  <c r="AZ213"/>
  <c r="AZ224"/>
  <c r="AZ234"/>
  <c r="AZ238"/>
  <c r="AZ250"/>
  <c r="AZ254"/>
  <c r="AZ281"/>
  <c r="AZ286"/>
  <c r="AZ297"/>
  <c r="AZ149"/>
  <c r="AZ157"/>
  <c r="AZ165"/>
  <c r="AZ173"/>
  <c r="AZ181"/>
  <c r="AZ189"/>
  <c r="AZ197"/>
  <c r="AZ19"/>
  <c r="AZ26"/>
  <c r="AZ35"/>
  <c r="AZ41"/>
  <c r="B12" i="1"/>
  <c r="E12" s="1"/>
  <c r="B10"/>
  <c r="E10" s="1"/>
  <c r="D1" i="66"/>
  <c r="E10" s="1"/>
  <c r="AZ80" i="3"/>
  <c r="AZ84"/>
  <c r="AZ88"/>
  <c r="AZ107"/>
  <c r="AZ111"/>
  <c r="K12" i="1"/>
  <c r="J51" i="67"/>
  <c r="C42" i="1"/>
  <c r="H100" i="43"/>
  <c r="C30" i="66"/>
  <c r="E26" s="1"/>
  <c r="AC34" i="33"/>
  <c r="AA34"/>
  <c r="D117" i="43"/>
  <c r="E117" s="1"/>
  <c r="F117" s="1"/>
  <c r="G117" s="1"/>
  <c r="H117" s="1"/>
  <c r="B41" i="1"/>
  <c r="F53" i="9" s="1"/>
  <c r="S22" i="31"/>
  <c r="J100" i="43"/>
  <c r="AB37" i="40"/>
  <c r="S35"/>
  <c r="U35"/>
  <c r="AC36"/>
  <c r="W38"/>
  <c r="AA32"/>
  <c r="S17"/>
  <c r="S23"/>
  <c r="AC17"/>
  <c r="AC15"/>
  <c r="AB27"/>
  <c r="S30"/>
  <c r="AA19"/>
  <c r="S28"/>
  <c r="AA27"/>
  <c r="U21"/>
  <c r="AB19"/>
  <c r="W42" i="39"/>
  <c r="U37"/>
  <c r="W39"/>
  <c r="S43"/>
  <c r="S37"/>
  <c r="U35"/>
  <c r="F32"/>
  <c r="F107"/>
  <c r="G107" s="1"/>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s="1"/>
  <c r="J26"/>
  <c r="H26"/>
  <c r="AB40" i="37"/>
  <c r="S25"/>
  <c r="W27"/>
  <c r="S26"/>
  <c r="AC9"/>
  <c r="AC29"/>
  <c r="U29"/>
  <c r="S32"/>
  <c r="AB31"/>
  <c r="W30"/>
  <c r="S36"/>
  <c r="AA38"/>
  <c r="U32"/>
  <c r="W38"/>
  <c r="AC35"/>
  <c r="W39"/>
  <c r="S30"/>
  <c r="S37"/>
  <c r="AC15"/>
  <c r="J17"/>
  <c r="W17" s="1"/>
  <c r="G73"/>
  <c r="F17"/>
  <c r="AA17" s="1"/>
  <c r="AB17"/>
  <c r="F75"/>
  <c r="F19"/>
  <c r="F79"/>
  <c r="F23"/>
  <c r="S23" s="1"/>
  <c r="U23"/>
  <c r="U15"/>
  <c r="AC13"/>
  <c r="U9"/>
  <c r="AA13"/>
  <c r="AA12"/>
  <c r="AA9"/>
  <c r="H10"/>
  <c r="H60"/>
  <c r="F63"/>
  <c r="F11"/>
  <c r="S11" s="1"/>
  <c r="S27" i="34"/>
  <c r="W25"/>
  <c r="AB8"/>
  <c r="AA33"/>
  <c r="U44"/>
  <c r="U43"/>
  <c r="AC39"/>
  <c r="W41"/>
  <c r="AC42"/>
  <c r="AB35"/>
  <c r="U39"/>
  <c r="S43"/>
  <c r="AB41"/>
  <c r="AA45"/>
  <c r="W34"/>
  <c r="AA25"/>
  <c r="U28"/>
  <c r="S17"/>
  <c r="AA29"/>
  <c r="U27"/>
  <c r="S23"/>
  <c r="U15"/>
  <c r="S10"/>
  <c r="S13"/>
  <c r="H67"/>
  <c r="H10"/>
  <c r="F11"/>
  <c r="S11" s="1"/>
  <c r="F70"/>
  <c r="W42" i="33"/>
  <c r="AA35"/>
  <c r="S27"/>
  <c r="S32"/>
  <c r="AA29"/>
  <c r="AB29"/>
  <c r="W38"/>
  <c r="H41"/>
  <c r="F121"/>
  <c r="G121" s="1"/>
  <c r="H121" s="1"/>
  <c r="I121" s="1"/>
  <c r="J121" s="1"/>
  <c r="K121" s="1"/>
  <c r="L121" s="1"/>
  <c r="M121" s="1"/>
  <c r="U42"/>
  <c r="S42"/>
  <c r="F36"/>
  <c r="G111"/>
  <c r="G108"/>
  <c r="H108" s="1"/>
  <c r="I108" s="1"/>
  <c r="J108" s="1"/>
  <c r="K108" s="1"/>
  <c r="L108" s="1"/>
  <c r="M108" s="1"/>
  <c r="J35"/>
  <c r="S37"/>
  <c r="AA37"/>
  <c r="S39"/>
  <c r="F101"/>
  <c r="G101" s="1"/>
  <c r="H101" s="1"/>
  <c r="I101" s="1"/>
  <c r="J101" s="1"/>
  <c r="K101" s="1"/>
  <c r="L101" s="1"/>
  <c r="M101" s="1"/>
  <c r="J32"/>
  <c r="S46"/>
  <c r="W43"/>
  <c r="S43"/>
  <c r="F91"/>
  <c r="H27"/>
  <c r="F87"/>
  <c r="H25"/>
  <c r="F25"/>
  <c r="J23"/>
  <c r="F85"/>
  <c r="H23"/>
  <c r="F81"/>
  <c r="F19"/>
  <c r="S19" s="1"/>
  <c r="W19"/>
  <c r="J17"/>
  <c r="F79"/>
  <c r="S15"/>
  <c r="W15"/>
  <c r="U9"/>
  <c r="I66"/>
  <c r="J10" s="1"/>
  <c r="H10"/>
  <c r="AA10"/>
  <c r="AC11"/>
  <c r="AB14"/>
  <c r="W43" i="21"/>
  <c r="W36"/>
  <c r="W41"/>
  <c r="AB39"/>
  <c r="AA43"/>
  <c r="S39"/>
  <c r="AA38"/>
  <c r="AA36"/>
  <c r="AC40"/>
  <c r="J15"/>
  <c r="W15" s="1"/>
  <c r="F77"/>
  <c r="G77" s="1"/>
  <c r="F23"/>
  <c r="S23" s="1"/>
  <c r="E85"/>
  <c r="AA14"/>
  <c r="AB8"/>
  <c r="S8"/>
  <c r="M3" i="43"/>
  <c r="N10"/>
  <c r="M1"/>
  <c r="M8"/>
  <c r="N8"/>
  <c r="N9"/>
  <c r="D120" i="9"/>
  <c r="C18"/>
  <c r="D18" s="1"/>
  <c r="F34" i="67"/>
  <c r="F62" s="1"/>
  <c r="M20"/>
  <c r="F34" i="15"/>
  <c r="F62" s="1"/>
  <c r="G13" i="3"/>
  <c r="BA13"/>
  <c r="E10" i="6"/>
  <c r="BA5" i="3"/>
  <c r="E27" i="6" s="1"/>
  <c r="E11"/>
  <c r="E61" i="39" s="1"/>
  <c r="BL17" i="3"/>
  <c r="AZ17" s="1"/>
  <c r="BL13"/>
  <c r="E65" i="39"/>
  <c r="G30" i="6"/>
  <c r="G31" s="1"/>
  <c r="J56" i="9"/>
  <c r="J57" s="1"/>
  <c r="A24" i="51"/>
  <c r="B18" i="72" s="1"/>
  <c r="U29" i="34"/>
  <c r="E14" i="6"/>
  <c r="E64" i="39" s="1"/>
  <c r="E5" i="6"/>
  <c r="D9" i="11" s="1"/>
  <c r="C9" s="1"/>
  <c r="J105" i="43"/>
  <c r="G102"/>
  <c r="H22"/>
  <c r="L101"/>
  <c r="L109" s="1"/>
  <c r="H101"/>
  <c r="D101"/>
  <c r="D109" s="1"/>
  <c r="M101"/>
  <c r="M109" s="1"/>
  <c r="I101"/>
  <c r="I109" s="1"/>
  <c r="E101"/>
  <c r="G22"/>
  <c r="E32" i="6"/>
  <c r="L19" s="1"/>
  <c r="G1" i="68"/>
  <c r="K1" i="12"/>
  <c r="F30" i="6"/>
  <c r="F31" s="1"/>
  <c r="D3" i="39" s="1"/>
  <c r="N103" i="43"/>
  <c r="N105"/>
  <c r="N106"/>
  <c r="J107"/>
  <c r="J103"/>
  <c r="J102"/>
  <c r="F107"/>
  <c r="F102"/>
  <c r="F106"/>
  <c r="C107"/>
  <c r="C105"/>
  <c r="C103"/>
  <c r="K107"/>
  <c r="K102"/>
  <c r="K104"/>
  <c r="G107"/>
  <c r="G103"/>
  <c r="G104"/>
  <c r="I118"/>
  <c r="J118" s="1"/>
  <c r="K118" s="1"/>
  <c r="L118" s="1"/>
  <c r="M118" s="1"/>
  <c r="D116"/>
  <c r="E116" s="1"/>
  <c r="F116" s="1"/>
  <c r="G116" s="1"/>
  <c r="H116" s="1"/>
  <c r="D118"/>
  <c r="E118" s="1"/>
  <c r="F118" s="1"/>
  <c r="G118"/>
  <c r="H118" s="1"/>
  <c r="B116"/>
  <c r="C116" s="1"/>
  <c r="B118"/>
  <c r="C118" s="1"/>
  <c r="I117"/>
  <c r="J117" s="1"/>
  <c r="K117" s="1"/>
  <c r="L117" s="1"/>
  <c r="M117" s="1"/>
  <c r="E57" i="40"/>
  <c r="B117" i="43"/>
  <c r="C117" s="1"/>
  <c r="I116"/>
  <c r="J116" s="1"/>
  <c r="K116" s="1"/>
  <c r="L116" s="1"/>
  <c r="M116" s="1"/>
  <c r="D115"/>
  <c r="E115" s="1"/>
  <c r="F115" s="1"/>
  <c r="G115" s="1"/>
  <c r="H115" s="1"/>
  <c r="G106"/>
  <c r="K106"/>
  <c r="K105"/>
  <c r="C102"/>
  <c r="F103"/>
  <c r="F105"/>
  <c r="J106"/>
  <c r="N104"/>
  <c r="N107"/>
  <c r="E19" i="69"/>
  <c r="E19" i="68"/>
  <c r="E19" i="11"/>
  <c r="E1" i="73"/>
  <c r="K1" s="1"/>
  <c r="G41" i="69"/>
  <c r="G22"/>
  <c r="G41" i="68"/>
  <c r="G22"/>
  <c r="G27" i="12"/>
  <c r="G26"/>
  <c r="G41" i="11"/>
  <c r="G22"/>
  <c r="G25" i="12"/>
  <c r="C109" i="43"/>
  <c r="J109"/>
  <c r="C100"/>
  <c r="K109"/>
  <c r="E11"/>
  <c r="E10"/>
  <c r="E9"/>
  <c r="E8"/>
  <c r="E81"/>
  <c r="B79" s="1"/>
  <c r="F109"/>
  <c r="AJ11"/>
  <c r="AJ13" s="1"/>
  <c r="AH11"/>
  <c r="AH13" s="1"/>
  <c r="AF11"/>
  <c r="AF13" s="1"/>
  <c r="AD11"/>
  <c r="AD13" s="1"/>
  <c r="AB11"/>
  <c r="AB13" s="1"/>
  <c r="Z11"/>
  <c r="Z13" s="1"/>
  <c r="Z7"/>
  <c r="AI11"/>
  <c r="AI13" s="1"/>
  <c r="AG11"/>
  <c r="AG13" s="1"/>
  <c r="AE11"/>
  <c r="AE13" s="1"/>
  <c r="AC11"/>
  <c r="AC13" s="1"/>
  <c r="AA11"/>
  <c r="AA13" s="1"/>
  <c r="Y11"/>
  <c r="Y13" s="1"/>
  <c r="E48"/>
  <c r="B46" s="1"/>
  <c r="E70"/>
  <c r="B68" s="1"/>
  <c r="G109"/>
  <c r="N109"/>
  <c r="C20"/>
  <c r="F100"/>
  <c r="H17"/>
  <c r="D9" i="53"/>
  <c r="B25" i="72" s="1"/>
  <c r="B24"/>
  <c r="G6" i="1"/>
  <c r="H85" i="43"/>
  <c r="H81"/>
  <c r="H84"/>
  <c r="H88"/>
  <c r="H53"/>
  <c r="H54"/>
  <c r="H78"/>
  <c r="H70"/>
  <c r="H71"/>
  <c r="C17"/>
  <c r="F33"/>
  <c r="G17"/>
  <c r="F34"/>
  <c r="M7"/>
  <c r="N6"/>
  <c r="M2"/>
  <c r="C6" s="1"/>
  <c r="M10"/>
  <c r="N3"/>
  <c r="N11"/>
  <c r="F38"/>
  <c r="F37"/>
  <c r="M9"/>
  <c r="N12"/>
  <c r="N5"/>
  <c r="M5"/>
  <c r="M12"/>
  <c r="M4"/>
  <c r="B19" i="53"/>
  <c r="B37" i="72" s="1"/>
  <c r="C7" i="39"/>
  <c r="C68" s="1"/>
  <c r="C70" s="1"/>
  <c r="C7" i="35"/>
  <c r="C48" s="1"/>
  <c r="D48" s="1"/>
  <c r="C7" i="33"/>
  <c r="C58" s="1"/>
  <c r="D58" s="1"/>
  <c r="E58" s="1"/>
  <c r="F58" s="1"/>
  <c r="G58" s="1"/>
  <c r="H58" s="1"/>
  <c r="I58" s="1"/>
  <c r="J58" s="1"/>
  <c r="K58" s="1"/>
  <c r="L58" s="1"/>
  <c r="M58" s="1"/>
  <c r="N58" s="1"/>
  <c r="O58" s="1"/>
  <c r="C7" i="21"/>
  <c r="C7" i="40"/>
  <c r="C63" s="1"/>
  <c r="M47" i="9"/>
  <c r="G19" i="43"/>
  <c r="P23" s="1"/>
  <c r="B71" i="39" s="1"/>
  <c r="T35" i="4"/>
  <c r="A19" i="51" s="1"/>
  <c r="B14" i="72" s="1"/>
  <c r="C46" i="36"/>
  <c r="D46" s="1"/>
  <c r="E46" s="1"/>
  <c r="C59" i="34"/>
  <c r="D59" s="1"/>
  <c r="C52" i="37"/>
  <c r="D52" s="1"/>
  <c r="A4" i="51"/>
  <c r="B6" i="72" s="1"/>
  <c r="C58" i="21"/>
  <c r="D58" s="1"/>
  <c r="C94" i="9"/>
  <c r="C92"/>
  <c r="H62" i="43"/>
  <c r="H66"/>
  <c r="H61"/>
  <c r="H65"/>
  <c r="H60"/>
  <c r="H64"/>
  <c r="H59"/>
  <c r="H63"/>
  <c r="H67"/>
  <c r="H55"/>
  <c r="H51"/>
  <c r="H56"/>
  <c r="H76"/>
  <c r="H72"/>
  <c r="H77"/>
  <c r="L20" i="6"/>
  <c r="E62" i="39"/>
  <c r="E56"/>
  <c r="E51" i="40"/>
  <c r="B6" i="1"/>
  <c r="E6" s="1"/>
  <c r="K11"/>
  <c r="AP6"/>
  <c r="B9"/>
  <c r="E9" s="1"/>
  <c r="K7"/>
  <c r="G1" i="15"/>
  <c r="G1" i="6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A27"/>
  <c r="S2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AB28" i="33"/>
  <c r="AC37"/>
  <c r="W46"/>
  <c r="U39"/>
  <c r="U38"/>
  <c r="S33"/>
  <c r="AB34"/>
  <c r="U44"/>
  <c r="AB44"/>
  <c r="S30"/>
  <c r="AA30"/>
  <c r="AC14"/>
  <c r="W14"/>
  <c r="AC30"/>
  <c r="W30"/>
  <c r="S31"/>
  <c r="AA31"/>
  <c r="W13"/>
  <c r="AC13"/>
  <c r="U15"/>
  <c r="S11"/>
  <c r="U37"/>
  <c r="AC28"/>
  <c r="S28"/>
  <c r="W9"/>
  <c r="W8"/>
  <c r="S44" i="21"/>
  <c r="AB42"/>
  <c r="U28"/>
  <c r="S45"/>
  <c r="I101"/>
  <c r="J101" s="1"/>
  <c r="K101" s="1"/>
  <c r="L101" s="1"/>
  <c r="M101" s="1"/>
  <c r="F37"/>
  <c r="AA37" s="1"/>
  <c r="AA26"/>
  <c r="AB14"/>
  <c r="AB46"/>
  <c r="U40"/>
  <c r="AB31"/>
  <c r="U31"/>
  <c r="U13"/>
  <c r="AB13"/>
  <c r="W8"/>
  <c r="S35"/>
  <c r="AB37"/>
  <c r="J37"/>
  <c r="W37" s="1"/>
  <c r="H15"/>
  <c r="U15" s="1"/>
  <c r="J17"/>
  <c r="AC17" s="1"/>
  <c r="AC19"/>
  <c r="W39"/>
  <c r="AC14"/>
  <c r="W30"/>
  <c r="S46"/>
  <c r="H45"/>
  <c r="U45" s="1"/>
  <c r="F29"/>
  <c r="S29" s="1"/>
  <c r="F13"/>
  <c r="AA13" s="1"/>
  <c r="AC38"/>
  <c r="H32"/>
  <c r="H9"/>
  <c r="J9"/>
  <c r="J32"/>
  <c r="F32"/>
  <c r="AA31"/>
  <c r="U17"/>
  <c r="W29"/>
  <c r="S19"/>
  <c r="S9"/>
  <c r="AA9"/>
  <c r="K141"/>
  <c r="K144"/>
  <c r="K143"/>
  <c r="U27"/>
  <c r="AB25"/>
  <c r="AB44"/>
  <c r="AA30"/>
  <c r="W13"/>
  <c r="W42"/>
  <c r="AC45"/>
  <c r="F10"/>
  <c r="K145"/>
  <c r="W25"/>
  <c r="W31"/>
  <c r="S27"/>
  <c r="S17"/>
  <c r="AA15"/>
  <c r="AC27"/>
  <c r="AC26"/>
  <c r="AB29"/>
  <c r="S28"/>
  <c r="AC34"/>
  <c r="W10"/>
  <c r="W12"/>
  <c r="AB36"/>
  <c r="F11" i="67"/>
  <c r="M11"/>
  <c r="F11" i="15"/>
  <c r="W30" i="40"/>
  <c r="C19" i="39"/>
  <c r="C15" i="40"/>
  <c r="C17"/>
  <c r="C23"/>
  <c r="C21"/>
  <c r="U30"/>
  <c r="B54" i="43"/>
  <c r="B65"/>
  <c r="B49"/>
  <c r="B52"/>
  <c r="B56"/>
  <c r="B60"/>
  <c r="B63"/>
  <c r="B67"/>
  <c r="B22" i="49"/>
  <c r="B10"/>
  <c r="B7"/>
  <c r="B16"/>
  <c r="B14"/>
  <c r="E7"/>
  <c r="E22"/>
  <c r="D23" i="15"/>
  <c r="D22"/>
  <c r="E6" i="49"/>
  <c r="B5"/>
  <c r="E4" i="4" s="1"/>
  <c r="B9" i="49"/>
  <c r="B13"/>
  <c r="E16"/>
  <c r="B11"/>
  <c r="E8"/>
  <c r="E21"/>
  <c r="E10"/>
  <c r="E9"/>
  <c r="E5"/>
  <c r="B6"/>
  <c r="B4"/>
  <c r="B8"/>
  <c r="E4"/>
  <c r="E11"/>
  <c r="L47" i="67"/>
  <c r="L47" i="15"/>
  <c r="M22"/>
  <c r="F43"/>
  <c r="F37" i="67"/>
  <c r="M22"/>
  <c r="F6" i="15"/>
  <c r="M23" i="67"/>
  <c r="F36" i="15"/>
  <c r="M9"/>
  <c r="F42" i="67"/>
  <c r="M28"/>
  <c r="F26"/>
  <c r="F26" i="15"/>
  <c r="J15"/>
  <c r="M8" i="67"/>
  <c r="M26"/>
  <c r="M23" i="15"/>
  <c r="F9" i="67"/>
  <c r="F40" i="15"/>
  <c r="F8" i="67"/>
  <c r="M24" i="15"/>
  <c r="M28"/>
  <c r="J15" i="67"/>
  <c r="C76"/>
  <c r="L48"/>
  <c r="F16"/>
  <c r="F9" i="15"/>
  <c r="M29"/>
  <c r="F16"/>
  <c r="M29" i="67"/>
  <c r="M8" i="15"/>
  <c r="F7" i="67"/>
  <c r="F13"/>
  <c r="M6" i="15"/>
  <c r="F36" i="67"/>
  <c r="L48" i="15"/>
  <c r="F37"/>
  <c r="F7"/>
  <c r="F38" i="67"/>
  <c r="F13" i="15"/>
  <c r="F40" i="67"/>
  <c r="F8" i="15"/>
  <c r="M26"/>
  <c r="F38"/>
  <c r="F6" i="67"/>
  <c r="G1" i="73"/>
  <c r="F42" i="15"/>
  <c r="F43" i="67"/>
  <c r="M24"/>
  <c r="M6"/>
  <c r="C76" i="15"/>
  <c r="M9" i="67"/>
  <c r="C7" i="43" l="1"/>
  <c r="G5" i="3"/>
  <c r="B3" s="1"/>
  <c r="AT6" s="1"/>
  <c r="J29"/>
  <c r="J5" s="1"/>
  <c r="W40" i="40"/>
  <c r="AC40"/>
  <c r="AA38"/>
  <c r="S38"/>
  <c r="AB45" i="39"/>
  <c r="U45"/>
  <c r="F91"/>
  <c r="G91" s="1"/>
  <c r="H17"/>
  <c r="J17"/>
  <c r="AC12" i="36"/>
  <c r="W12"/>
  <c r="U46" i="34"/>
  <c r="AB46"/>
  <c r="U45" i="33"/>
  <c r="AB45"/>
  <c r="AC29"/>
  <c r="W29"/>
  <c r="AC28" i="35"/>
  <c r="W28"/>
  <c r="S36" i="39"/>
  <c r="AA36"/>
  <c r="I87" i="35"/>
  <c r="J87" s="1"/>
  <c r="K87" s="1"/>
  <c r="L87" s="1"/>
  <c r="M87" s="1"/>
  <c r="F29"/>
  <c r="J29"/>
  <c r="AC24" i="36"/>
  <c r="W24"/>
  <c r="U23" i="35"/>
  <c r="AB23"/>
  <c r="S12"/>
  <c r="AA12"/>
  <c r="AA28" i="34"/>
  <c r="S28"/>
  <c r="G7" i="21"/>
  <c r="I7"/>
  <c r="E7"/>
  <c r="I7" i="35"/>
  <c r="E7"/>
  <c r="G7"/>
  <c r="AA40" i="40"/>
  <c r="S40"/>
  <c r="AB38"/>
  <c r="U38"/>
  <c r="W45" i="39"/>
  <c r="AC45"/>
  <c r="U12" i="36"/>
  <c r="AB12"/>
  <c r="AC36" i="35"/>
  <c r="W36"/>
  <c r="W30" i="34"/>
  <c r="AC30"/>
  <c r="AA45" i="33"/>
  <c r="S45"/>
  <c r="AA42" i="21"/>
  <c r="S42"/>
  <c r="AC36" i="39"/>
  <c r="W36"/>
  <c r="AC23" i="35"/>
  <c r="W23"/>
  <c r="AA34"/>
  <c r="S34"/>
  <c r="W28" i="34"/>
  <c r="AC28"/>
  <c r="I115" i="43"/>
  <c r="J115" s="1"/>
  <c r="K115" s="1"/>
  <c r="L115" s="1"/>
  <c r="M115" s="1"/>
  <c r="C106"/>
  <c r="M12" i="1"/>
  <c r="O12" s="1"/>
  <c r="P12" s="1"/>
  <c r="AP12"/>
  <c r="E56" i="40"/>
  <c r="M11" i="1"/>
  <c r="O11" s="1"/>
  <c r="P11" s="1"/>
  <c r="AP11"/>
  <c r="M10"/>
  <c r="AP10"/>
  <c r="AC15" i="21"/>
  <c r="AA29"/>
  <c r="W17"/>
  <c r="D22" i="43"/>
  <c r="C4" i="4"/>
  <c r="K4" s="1"/>
  <c r="B46" i="48" s="1"/>
  <c r="B4" i="72" s="1"/>
  <c r="L58" i="67"/>
  <c r="L58" i="15"/>
  <c r="Q73" s="1"/>
  <c r="N59" i="67"/>
  <c r="L59" s="1"/>
  <c r="M59"/>
  <c r="M59" i="15"/>
  <c r="J53" i="67"/>
  <c r="I54"/>
  <c r="N59" i="15"/>
  <c r="I54"/>
  <c r="J53"/>
  <c r="L56" s="1"/>
  <c r="AZ13" i="3"/>
  <c r="M6" i="1"/>
  <c r="O6" s="1"/>
  <c r="P6" s="1"/>
  <c r="F30" i="68"/>
  <c r="C30" s="1"/>
  <c r="F30" i="11"/>
  <c r="C48" s="1"/>
  <c r="F28" i="67"/>
  <c r="C28" s="1"/>
  <c r="F31" i="12"/>
  <c r="F52" i="9"/>
  <c r="M18" i="67"/>
  <c r="F32"/>
  <c r="F60" s="1"/>
  <c r="F30" i="69"/>
  <c r="C48" s="1"/>
  <c r="F32" i="15"/>
  <c r="F60" s="1"/>
  <c r="M18"/>
  <c r="F28"/>
  <c r="C28" s="1"/>
  <c r="E63" i="39"/>
  <c r="D9" i="69"/>
  <c r="C9" s="1"/>
  <c r="D19" i="12"/>
  <c r="C19" s="1"/>
  <c r="E59" i="40"/>
  <c r="D68" i="39"/>
  <c r="D70" s="1"/>
  <c r="P24" i="43"/>
  <c r="B66" i="40" s="1"/>
  <c r="E30" i="6"/>
  <c r="K15" i="1"/>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C48" i="68"/>
  <c r="C77" i="9"/>
  <c r="C74" s="1"/>
  <c r="E66" i="39"/>
  <c r="C30" i="69"/>
  <c r="D9" i="68"/>
  <c r="C9" s="1"/>
  <c r="K20" i="6"/>
  <c r="S7" i="1" s="1"/>
  <c r="E7" i="70" s="1"/>
  <c r="C24" i="12"/>
  <c r="AA39" i="40"/>
  <c r="S39"/>
  <c r="S12" i="33"/>
  <c r="AA12"/>
  <c r="C16" i="43"/>
  <c r="D68" i="9"/>
  <c r="F54"/>
  <c r="J32" i="39"/>
  <c r="H107"/>
  <c r="I107" s="1"/>
  <c r="J107" s="1"/>
  <c r="K107" s="1"/>
  <c r="L107" s="1"/>
  <c r="M107" s="1"/>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AB41" i="33"/>
  <c r="U41"/>
  <c r="W35"/>
  <c r="AC35"/>
  <c r="H111"/>
  <c r="I111" s="1"/>
  <c r="J111" s="1"/>
  <c r="K111" s="1"/>
  <c r="L111" s="1"/>
  <c r="M111" s="1"/>
  <c r="J36"/>
  <c r="H36"/>
  <c r="S36"/>
  <c r="AA36"/>
  <c r="AC32"/>
  <c r="W32"/>
  <c r="U27"/>
  <c r="AB27"/>
  <c r="G91"/>
  <c r="H91" s="1"/>
  <c r="I91" s="1"/>
  <c r="J91" s="1"/>
  <c r="K91" s="1"/>
  <c r="L91" s="1"/>
  <c r="M91" s="1"/>
  <c r="J27"/>
  <c r="U25"/>
  <c r="AB25"/>
  <c r="S25"/>
  <c r="AA25"/>
  <c r="G87"/>
  <c r="H87" s="1"/>
  <c r="I87" s="1"/>
  <c r="J87" s="1"/>
  <c r="K87" s="1"/>
  <c r="L87" s="1"/>
  <c r="M87" s="1"/>
  <c r="J25"/>
  <c r="AB23"/>
  <c r="U23"/>
  <c r="F23"/>
  <c r="G85"/>
  <c r="AC23"/>
  <c r="W23"/>
  <c r="AA19"/>
  <c r="H19"/>
  <c r="G81"/>
  <c r="G79"/>
  <c r="H17" s="1"/>
  <c r="F17"/>
  <c r="W17"/>
  <c r="AC17"/>
  <c r="U10"/>
  <c r="AB10"/>
  <c r="AC10"/>
  <c r="W10"/>
  <c r="AC37" i="21"/>
  <c r="S37"/>
  <c r="AA23"/>
  <c r="AB15"/>
  <c r="J23"/>
  <c r="F85"/>
  <c r="G85" s="1"/>
  <c r="H23"/>
  <c r="S13"/>
  <c r="D6" i="52"/>
  <c r="D121" i="9"/>
  <c r="D7" i="52" s="1"/>
  <c r="K120" i="9"/>
  <c r="D113" i="43"/>
  <c r="J22" s="1"/>
  <c r="AZ5" i="3"/>
  <c r="AY6" s="1"/>
  <c r="E239"/>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E31" i="6"/>
  <c r="K24"/>
  <c r="K14" i="1"/>
  <c r="M14" s="1"/>
  <c r="O14" s="1"/>
  <c r="P14" s="1"/>
  <c r="BL5" i="3"/>
  <c r="P21" i="43"/>
  <c r="M20"/>
  <c r="C19" s="1"/>
  <c r="J59" i="9"/>
  <c r="J61" s="1"/>
  <c r="K21" i="6"/>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K26" i="6"/>
  <c r="K22"/>
  <c r="E102" i="43"/>
  <c r="E104"/>
  <c r="E106"/>
  <c r="E107"/>
  <c r="E103"/>
  <c r="E105"/>
  <c r="M102"/>
  <c r="M104"/>
  <c r="M106"/>
  <c r="M107"/>
  <c r="M103"/>
  <c r="M105"/>
  <c r="H102"/>
  <c r="H107"/>
  <c r="H103"/>
  <c r="H106"/>
  <c r="H104"/>
  <c r="H105"/>
  <c r="K19" i="6"/>
  <c r="S6" i="1" s="1"/>
  <c r="AQ6" s="1"/>
  <c r="K25" i="6"/>
  <c r="K23"/>
  <c r="E109" i="43"/>
  <c r="H109"/>
  <c r="I102"/>
  <c r="I104"/>
  <c r="I106"/>
  <c r="I107"/>
  <c r="I103"/>
  <c r="I105"/>
  <c r="D103"/>
  <c r="D105"/>
  <c r="D104"/>
  <c r="D106"/>
  <c r="D107"/>
  <c r="D102"/>
  <c r="L102"/>
  <c r="L106"/>
  <c r="L105"/>
  <c r="L107"/>
  <c r="L104"/>
  <c r="L103"/>
  <c r="E140" i="3"/>
  <c r="E149"/>
  <c r="E120"/>
  <c r="E207"/>
  <c r="E85"/>
  <c r="E77"/>
  <c r="E45"/>
  <c r="E252"/>
  <c r="E223"/>
  <c r="E212"/>
  <c r="E277"/>
  <c r="E271"/>
  <c r="E238"/>
  <c r="E253"/>
  <c r="E224"/>
  <c r="E204"/>
  <c r="E197"/>
  <c r="E167"/>
  <c r="E177"/>
  <c r="E145"/>
  <c r="E116"/>
  <c r="E199"/>
  <c r="E193"/>
  <c r="E164"/>
  <c r="E173"/>
  <c r="E141"/>
  <c r="E133"/>
  <c r="E107"/>
  <c r="E105"/>
  <c r="E286"/>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AQ7" i="1"/>
  <c r="R22" i="31"/>
  <c r="B21" s="1"/>
  <c r="B40" i="1"/>
  <c r="O19" i="43"/>
  <c r="P22"/>
  <c r="P25"/>
  <c r="C5"/>
  <c r="E52" i="37"/>
  <c r="F52" s="1"/>
  <c r="G52" s="1"/>
  <c r="H52" s="1"/>
  <c r="I52" s="1"/>
  <c r="J52" s="1"/>
  <c r="K52" s="1"/>
  <c r="L52" s="1"/>
  <c r="M52" s="1"/>
  <c r="N52" s="1"/>
  <c r="O52" s="1"/>
  <c r="F46" i="36"/>
  <c r="G46" s="1"/>
  <c r="H46" s="1"/>
  <c r="I46" s="1"/>
  <c r="J46" s="1"/>
  <c r="K46" s="1"/>
  <c r="L46" s="1"/>
  <c r="M46" s="1"/>
  <c r="N46" s="1"/>
  <c r="O46" s="1"/>
  <c r="E58" i="21"/>
  <c r="F58" s="1"/>
  <c r="E48" i="35"/>
  <c r="F48" s="1"/>
  <c r="G48" s="1"/>
  <c r="H48" s="1"/>
  <c r="I48" s="1"/>
  <c r="J48" s="1"/>
  <c r="K48" s="1"/>
  <c r="L48" s="1"/>
  <c r="M48" s="1"/>
  <c r="N48" s="1"/>
  <c r="O48" s="1"/>
  <c r="E59" i="34"/>
  <c r="F59" s="1"/>
  <c r="C65" i="40"/>
  <c r="D63"/>
  <c r="B5" i="62"/>
  <c r="B73" i="72" s="1"/>
  <c r="C10" i="15"/>
  <c r="L27" i="6"/>
  <c r="M20"/>
  <c r="I20" s="1"/>
  <c r="G16" i="1"/>
  <c r="H10" i="40" s="1"/>
  <c r="U10" s="1"/>
  <c r="C27" i="67"/>
  <c r="L56"/>
  <c r="J57"/>
  <c r="J55" s="1"/>
  <c r="J58" s="1"/>
  <c r="Q50" s="1"/>
  <c r="F70"/>
  <c r="F51"/>
  <c r="F68"/>
  <c r="F71"/>
  <c r="F66"/>
  <c r="F50"/>
  <c r="M7"/>
  <c r="Q71"/>
  <c r="F64"/>
  <c r="C6"/>
  <c r="F65"/>
  <c r="F71" i="15"/>
  <c r="C27"/>
  <c r="Q71"/>
  <c r="F64"/>
  <c r="F51"/>
  <c r="F65"/>
  <c r="J57"/>
  <c r="J55" s="1"/>
  <c r="J58" s="1"/>
  <c r="Q50" s="1"/>
  <c r="F68"/>
  <c r="M7"/>
  <c r="F50"/>
  <c r="F66"/>
  <c r="C6"/>
  <c r="C10" i="67"/>
  <c r="AP7" i="1"/>
  <c r="C36" i="69" s="1"/>
  <c r="M7" i="1"/>
  <c r="O7" s="1"/>
  <c r="Q16"/>
  <c r="F27" i="69" s="1"/>
  <c r="H16" i="1"/>
  <c r="AB45" i="21"/>
  <c r="W32"/>
  <c r="AC32"/>
  <c r="AB9"/>
  <c r="U9"/>
  <c r="AA32"/>
  <c r="S32"/>
  <c r="W9"/>
  <c r="AC9"/>
  <c r="AB32"/>
  <c r="U32"/>
  <c r="AA10"/>
  <c r="S10"/>
  <c r="F31" i="15"/>
  <c r="F31" i="67"/>
  <c r="F59" i="15"/>
  <c r="M17"/>
  <c r="M17" i="67"/>
  <c r="F59"/>
  <c r="C17" i="15"/>
  <c r="C16" i="67"/>
  <c r="C16" i="15"/>
  <c r="S29" i="35" l="1"/>
  <c r="AA29"/>
  <c r="W17" i="39"/>
  <c r="AC17"/>
  <c r="E3" i="6"/>
  <c r="C33" i="21" s="1"/>
  <c r="J33" s="1"/>
  <c r="AC29" i="35"/>
  <c r="W29"/>
  <c r="AB17" i="39"/>
  <c r="U17"/>
  <c r="O10" i="1"/>
  <c r="P10" s="1"/>
  <c r="M19" i="6"/>
  <c r="M25"/>
  <c r="I25" s="1"/>
  <c r="S25" s="1"/>
  <c r="S12" i="1"/>
  <c r="M22" i="6"/>
  <c r="I22" s="1"/>
  <c r="S22" s="1"/>
  <c r="S9" i="1"/>
  <c r="M21" i="6"/>
  <c r="I21" s="1"/>
  <c r="S21" s="1"/>
  <c r="S8" i="1"/>
  <c r="M24" i="6"/>
  <c r="I24" s="1"/>
  <c r="S24" s="1"/>
  <c r="S11" i="1"/>
  <c r="M23" i="6"/>
  <c r="I23" s="1"/>
  <c r="S23" s="1"/>
  <c r="S10" i="1"/>
  <c r="M26" i="6"/>
  <c r="I26" s="1"/>
  <c r="S26" s="1"/>
  <c r="S13" i="1"/>
  <c r="K16"/>
  <c r="AR6"/>
  <c r="S5" i="43"/>
  <c r="S3"/>
  <c r="C23"/>
  <c r="C21" s="1"/>
  <c r="S2"/>
  <c r="S7"/>
  <c r="S4"/>
  <c r="S6"/>
  <c r="B4" i="62"/>
  <c r="B71" i="72" s="1"/>
  <c r="T7" i="1"/>
  <c r="AR7"/>
  <c r="L59" i="15"/>
  <c r="Q74" s="1"/>
  <c r="C30" i="11"/>
  <c r="E6" i="70"/>
  <c r="K27" i="6"/>
  <c r="A18" i="62"/>
  <c r="B64" i="72" s="1"/>
  <c r="B14" i="74"/>
  <c r="B1" s="1"/>
  <c r="D3" i="34"/>
  <c r="D3" i="21"/>
  <c r="D3" i="33"/>
  <c r="C33" i="43"/>
  <c r="G33" s="1"/>
  <c r="I33" s="1"/>
  <c r="C36"/>
  <c r="E36" s="1"/>
  <c r="C34"/>
  <c r="C35"/>
  <c r="U32" i="39"/>
  <c r="AB32"/>
  <c r="AC32"/>
  <c r="W32"/>
  <c r="W19" i="37"/>
  <c r="AC19"/>
  <c r="W23"/>
  <c r="AC23"/>
  <c r="AB11"/>
  <c r="U11"/>
  <c r="H63"/>
  <c r="I63" s="1"/>
  <c r="J63" s="1"/>
  <c r="K63" s="1"/>
  <c r="L63" s="1"/>
  <c r="M63" s="1"/>
  <c r="J11"/>
  <c r="W10"/>
  <c r="AC10"/>
  <c r="U11" i="34"/>
  <c r="AB11"/>
  <c r="AC10"/>
  <c r="W10"/>
  <c r="H70"/>
  <c r="I70" s="1"/>
  <c r="J70" s="1"/>
  <c r="K70" s="1"/>
  <c r="L70" s="1"/>
  <c r="M70" s="1"/>
  <c r="J11"/>
  <c r="AC36" i="33"/>
  <c r="W36"/>
  <c r="U36"/>
  <c r="AB36"/>
  <c r="W27"/>
  <c r="AC27"/>
  <c r="W25"/>
  <c r="AC25"/>
  <c r="AA23"/>
  <c r="S23"/>
  <c r="AB19"/>
  <c r="U19"/>
  <c r="AA17"/>
  <c r="S17"/>
  <c r="U17"/>
  <c r="AB17"/>
  <c r="U23" i="21"/>
  <c r="AB23"/>
  <c r="AC23"/>
  <c r="W23"/>
  <c r="J6" i="67"/>
  <c r="J6" i="15"/>
  <c r="T6" i="1"/>
  <c r="F7" i="36"/>
  <c r="S7" s="1"/>
  <c r="H7" i="37"/>
  <c r="U7" s="1"/>
  <c r="J10" i="15"/>
  <c r="H6" i="3"/>
  <c r="AC6"/>
  <c r="C5" i="15"/>
  <c r="C32" s="1"/>
  <c r="E6" i="6"/>
  <c r="D19" i="11"/>
  <c r="C19" s="1"/>
  <c r="C20" s="1"/>
  <c r="C17" i="4"/>
  <c r="B4" i="52" s="1"/>
  <c r="B43" i="72" s="1"/>
  <c r="D37" i="11"/>
  <c r="L18" i="9"/>
  <c r="D14" i="12"/>
  <c r="D17" s="1"/>
  <c r="D3" i="37"/>
  <c r="M18" i="9"/>
  <c r="B118" s="1"/>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D3" i="6"/>
  <c r="AY522" i="3"/>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C47" i="69"/>
  <c r="D45" s="1"/>
  <c r="C29"/>
  <c r="D27" s="1"/>
  <c r="F27" i="68"/>
  <c r="C29" s="1"/>
  <c r="D27" s="1"/>
  <c r="F28" i="12"/>
  <c r="C29" s="1"/>
  <c r="D28" s="1"/>
  <c r="P7" i="1"/>
  <c r="O16"/>
  <c r="C38" i="43"/>
  <c r="G38" s="1"/>
  <c r="I38" s="1"/>
  <c r="F24" i="15"/>
  <c r="C24" s="1"/>
  <c r="F22" i="11"/>
  <c r="F25" i="12"/>
  <c r="F22" i="69"/>
  <c r="F24" i="67"/>
  <c r="C24" s="1"/>
  <c r="F22" i="68"/>
  <c r="C29" i="43"/>
  <c r="T11"/>
  <c r="V11" s="1"/>
  <c r="T16"/>
  <c r="V16" s="1"/>
  <c r="T14"/>
  <c r="V14" s="1"/>
  <c r="T12"/>
  <c r="V12" s="1"/>
  <c r="T9"/>
  <c r="V9" s="1"/>
  <c r="T3"/>
  <c r="V3" s="1"/>
  <c r="T7"/>
  <c r="V7" s="1"/>
  <c r="T2"/>
  <c r="V2" s="1"/>
  <c r="T8"/>
  <c r="V8" s="1"/>
  <c r="T15"/>
  <c r="V15" s="1"/>
  <c r="T13"/>
  <c r="V13" s="1"/>
  <c r="T10"/>
  <c r="V10" s="1"/>
  <c r="T5"/>
  <c r="V5" s="1"/>
  <c r="T6"/>
  <c r="V6" s="1"/>
  <c r="T4"/>
  <c r="V4" s="1"/>
  <c r="F1" i="15"/>
  <c r="Q52"/>
  <c r="C39" i="43"/>
  <c r="E39" s="1"/>
  <c r="C37"/>
  <c r="G37" s="1"/>
  <c r="I37" s="1"/>
  <c r="H7" i="35"/>
  <c r="F7" i="37"/>
  <c r="AB10" i="40"/>
  <c r="F10" i="39"/>
  <c r="S10" s="1"/>
  <c r="J7" i="35"/>
  <c r="F7"/>
  <c r="J7" i="36"/>
  <c r="H7"/>
  <c r="U7" s="1"/>
  <c r="J7" i="37"/>
  <c r="G59" i="34"/>
  <c r="H59" s="1"/>
  <c r="I59" s="1"/>
  <c r="J59" s="1"/>
  <c r="K59" s="1"/>
  <c r="L59" s="1"/>
  <c r="M59" s="1"/>
  <c r="N59" s="1"/>
  <c r="O59" s="1"/>
  <c r="G58" i="21"/>
  <c r="H58" s="1"/>
  <c r="I58" s="1"/>
  <c r="J58" s="1"/>
  <c r="K58" s="1"/>
  <c r="L58" s="1"/>
  <c r="M58" s="1"/>
  <c r="N58" s="1"/>
  <c r="O58" s="1"/>
  <c r="E63" i="40"/>
  <c r="D65"/>
  <c r="J7" i="34"/>
  <c r="G39" i="43"/>
  <c r="I39" s="1"/>
  <c r="E68" i="39"/>
  <c r="F68" s="1"/>
  <c r="G68" s="1"/>
  <c r="H68" s="1"/>
  <c r="I68" s="1"/>
  <c r="J68" s="1"/>
  <c r="K68" s="1"/>
  <c r="L68" s="1"/>
  <c r="M68" s="1"/>
  <c r="N68" s="1"/>
  <c r="O68" s="1"/>
  <c r="J10" i="40"/>
  <c r="W10" s="1"/>
  <c r="C53" i="15"/>
  <c r="J10" i="67"/>
  <c r="C53"/>
  <c r="C5"/>
  <c r="C32" s="1"/>
  <c r="F10" i="40"/>
  <c r="AA10" s="1"/>
  <c r="S20" i="6"/>
  <c r="I19"/>
  <c r="M27"/>
  <c r="H10" i="39"/>
  <c r="J10"/>
  <c r="C49" i="15"/>
  <c r="Q60"/>
  <c r="M16" i="1"/>
  <c r="N16" s="1"/>
  <c r="Q60" i="67"/>
  <c r="Q73"/>
  <c r="F27" i="11"/>
  <c r="Q61" i="67"/>
  <c r="Q74"/>
  <c r="C49"/>
  <c r="F1"/>
  <c r="Q52"/>
  <c r="F33" i="21" l="1"/>
  <c r="H33"/>
  <c r="U33" s="1"/>
  <c r="C17" i="12"/>
  <c r="AB33" i="21"/>
  <c r="AC33"/>
  <c r="W33"/>
  <c r="S33"/>
  <c r="AA33"/>
  <c r="AR13" i="1"/>
  <c r="AQ13"/>
  <c r="T13"/>
  <c r="AQ10"/>
  <c r="AR10"/>
  <c r="T10"/>
  <c r="AQ11"/>
  <c r="T11"/>
  <c r="AR11"/>
  <c r="AQ8"/>
  <c r="AR8"/>
  <c r="T8"/>
  <c r="AR9"/>
  <c r="AQ9"/>
  <c r="T9"/>
  <c r="AQ12"/>
  <c r="AR12"/>
  <c r="T12"/>
  <c r="Q61" i="15"/>
  <c r="E37" i="43"/>
  <c r="AA7" i="36"/>
  <c r="R36" s="1"/>
  <c r="E36" s="1"/>
  <c r="E40" s="1"/>
  <c r="F40" s="1"/>
  <c r="AC11" i="37"/>
  <c r="W11"/>
  <c r="AB7"/>
  <c r="T42" s="1"/>
  <c r="G42" s="1"/>
  <c r="G46" s="1"/>
  <c r="H46" s="1"/>
  <c r="W11" i="34"/>
  <c r="AC11"/>
  <c r="J5" i="67"/>
  <c r="J5" i="15"/>
  <c r="H20" i="6"/>
  <c r="C14" i="74"/>
  <c r="B2" s="1"/>
  <c r="AB7" i="36"/>
  <c r="T36" s="1"/>
  <c r="C38" i="15"/>
  <c r="E38" i="43"/>
  <c r="E6" i="3"/>
  <c r="C47" i="68"/>
  <c r="D45" s="1"/>
  <c r="AA10" i="39"/>
  <c r="D10" i="68"/>
  <c r="D10" i="11"/>
  <c r="D20" i="12"/>
  <c r="B28" i="1" s="1"/>
  <c r="M19" i="9"/>
  <c r="C118" s="1"/>
  <c r="D19" i="6"/>
  <c r="D25"/>
  <c r="D26"/>
  <c r="D15"/>
  <c r="C18" i="4"/>
  <c r="D22" i="6"/>
  <c r="D8"/>
  <c r="D21"/>
  <c r="D23"/>
  <c r="D24"/>
  <c r="D14"/>
  <c r="D20"/>
  <c r="R20" s="1"/>
  <c r="D5"/>
  <c r="D6"/>
  <c r="D12"/>
  <c r="D9"/>
  <c r="D11"/>
  <c r="D10"/>
  <c r="D13"/>
  <c r="L19" i="9"/>
  <c r="D28" i="6"/>
  <c r="D29"/>
  <c r="E61" i="40"/>
  <c r="H25" i="6"/>
  <c r="R25" s="1"/>
  <c r="H22"/>
  <c r="H23"/>
  <c r="H21"/>
  <c r="H26"/>
  <c r="H24"/>
  <c r="C13" i="12"/>
  <c r="P16" i="1"/>
  <c r="C11" i="12" s="1"/>
  <c r="C26"/>
  <c r="D25" s="1"/>
  <c r="F34" i="11"/>
  <c r="C37" s="1"/>
  <c r="F11" i="12"/>
  <c r="F34" i="68"/>
  <c r="C36" s="1"/>
  <c r="AC10" i="40"/>
  <c r="C26" i="68"/>
  <c r="D22" s="1"/>
  <c r="C44"/>
  <c r="D41" s="1"/>
  <c r="C26" i="69"/>
  <c r="D22" s="1"/>
  <c r="C44"/>
  <c r="D41" s="1"/>
  <c r="C25" i="11"/>
  <c r="C26"/>
  <c r="D22" s="1"/>
  <c r="C24"/>
  <c r="C44"/>
  <c r="D41" s="1"/>
  <c r="C23"/>
  <c r="E33" i="43"/>
  <c r="G35"/>
  <c r="I35" s="1"/>
  <c r="E35"/>
  <c r="C30"/>
  <c r="E30" s="1"/>
  <c r="E29"/>
  <c r="G36"/>
  <c r="I36" s="1"/>
  <c r="G34"/>
  <c r="I34" s="1"/>
  <c r="E34"/>
  <c r="J7" i="21"/>
  <c r="AC7" s="1"/>
  <c r="F7" i="34"/>
  <c r="S7" s="1"/>
  <c r="AB7" i="35"/>
  <c r="T38" s="1"/>
  <c r="G38" s="1"/>
  <c r="G42" s="1"/>
  <c r="H42" s="1"/>
  <c r="U7"/>
  <c r="S7" i="37"/>
  <c r="AA7"/>
  <c r="R42" s="1"/>
  <c r="F7" i="21"/>
  <c r="S7" s="1"/>
  <c r="AA7" i="35"/>
  <c r="R38" s="1"/>
  <c r="S7"/>
  <c r="W7" i="36"/>
  <c r="AC7"/>
  <c r="V36" s="1"/>
  <c r="I36" s="1"/>
  <c r="I41" s="1"/>
  <c r="J41" s="1"/>
  <c r="AC7" i="35"/>
  <c r="V38" s="1"/>
  <c r="I38" s="1"/>
  <c r="W7"/>
  <c r="H7" i="21"/>
  <c r="AB7" s="1"/>
  <c r="H7" i="34"/>
  <c r="U7" s="1"/>
  <c r="W7" i="37"/>
  <c r="AC7"/>
  <c r="V42" s="1"/>
  <c r="I42" s="1"/>
  <c r="W7" i="34"/>
  <c r="AC7"/>
  <c r="V49" s="1"/>
  <c r="I49" s="1"/>
  <c r="I53" s="1"/>
  <c r="J53" s="1"/>
  <c r="AA7"/>
  <c r="R49" s="1"/>
  <c r="F63" i="40"/>
  <c r="E65"/>
  <c r="E70" i="39"/>
  <c r="F70"/>
  <c r="S10" i="40"/>
  <c r="C38" i="67"/>
  <c r="H19" i="6"/>
  <c r="S19"/>
  <c r="S27" s="1"/>
  <c r="I27"/>
  <c r="W10" i="39"/>
  <c r="AC10"/>
  <c r="U10"/>
  <c r="AB10"/>
  <c r="F50" i="11"/>
  <c r="F50" i="69"/>
  <c r="F50" i="68"/>
  <c r="C47" i="11"/>
  <c r="D45" s="1"/>
  <c r="C29"/>
  <c r="D27" s="1"/>
  <c r="C28"/>
  <c r="C27" s="1"/>
  <c r="L16" i="1"/>
  <c r="E10" i="69" l="1"/>
  <c r="E10" i="68"/>
  <c r="E20" i="12"/>
  <c r="C20" s="1"/>
  <c r="C18" s="1"/>
  <c r="E10" i="11"/>
  <c r="C10" s="1"/>
  <c r="C34"/>
  <c r="C36"/>
  <c r="J24" i="67"/>
  <c r="J18"/>
  <c r="J24" i="15"/>
  <c r="J18"/>
  <c r="G36" i="36"/>
  <c r="R37"/>
  <c r="AB7" i="34"/>
  <c r="T49" s="1"/>
  <c r="G49" s="1"/>
  <c r="G53" s="1"/>
  <c r="H53" s="1"/>
  <c r="W7" i="21"/>
  <c r="AA7"/>
  <c r="R26" i="6"/>
  <c r="R13" i="1" s="1"/>
  <c r="R23" i="6"/>
  <c r="R24"/>
  <c r="R11" i="1" s="1"/>
  <c r="R21" i="6"/>
  <c r="R22"/>
  <c r="R9" i="1" s="1"/>
  <c r="D30" i="6"/>
  <c r="D16"/>
  <c r="A7" i="51"/>
  <c r="B7" i="72" s="1"/>
  <c r="C4" i="52"/>
  <c r="B45" i="72" s="1"/>
  <c r="A10" i="51"/>
  <c r="B9" i="72" s="1"/>
  <c r="D27" i="6"/>
  <c r="D19" i="68"/>
  <c r="C10"/>
  <c r="C12" i="12"/>
  <c r="C15"/>
  <c r="C34" i="68"/>
  <c r="U7" i="21"/>
  <c r="C22" i="11"/>
  <c r="C31" s="1"/>
  <c r="C26" i="43"/>
  <c r="C27"/>
  <c r="I40" i="36"/>
  <c r="J40" s="1"/>
  <c r="R43" i="37"/>
  <c r="E42"/>
  <c r="I47" s="1"/>
  <c r="J47" s="1"/>
  <c r="G43" i="35"/>
  <c r="H43" s="1"/>
  <c r="I42"/>
  <c r="J42" s="1"/>
  <c r="R39"/>
  <c r="E38"/>
  <c r="I43" s="1"/>
  <c r="J43" s="1"/>
  <c r="G47" i="37"/>
  <c r="H47" s="1"/>
  <c r="I46"/>
  <c r="J46" s="1"/>
  <c r="G63" i="40"/>
  <c r="F65"/>
  <c r="R50" i="34"/>
  <c r="E49"/>
  <c r="G70" i="39"/>
  <c r="H27" i="6"/>
  <c r="R19"/>
  <c r="R7" i="1" s="1"/>
  <c r="C35" i="11"/>
  <c r="C38"/>
  <c r="C14" i="12"/>
  <c r="E6" i="76"/>
  <c r="R10" i="1" l="1"/>
  <c r="R8"/>
  <c r="R12"/>
  <c r="D31" i="6"/>
  <c r="I6" s="1"/>
  <c r="E2" i="76"/>
  <c r="B2" i="43"/>
  <c r="G54" i="34"/>
  <c r="H54" s="1"/>
  <c r="C37" i="36"/>
  <c r="C36"/>
  <c r="G40"/>
  <c r="H40" s="1"/>
  <c r="E41"/>
  <c r="F41" s="1"/>
  <c r="G41"/>
  <c r="H41" s="1"/>
  <c r="C19" i="68"/>
  <c r="D37"/>
  <c r="C37" s="1"/>
  <c r="R27" i="6"/>
  <c r="R6" i="1"/>
  <c r="C16" i="12"/>
  <c r="C21" s="1"/>
  <c r="C38" i="68"/>
  <c r="C35"/>
  <c r="E47" i="37"/>
  <c r="F47" s="1"/>
  <c r="E46"/>
  <c r="F46" s="1"/>
  <c r="C43"/>
  <c r="C42"/>
  <c r="C39" i="35"/>
  <c r="C38"/>
  <c r="J8" i="12" s="1"/>
  <c r="E43" i="35"/>
  <c r="F43" s="1"/>
  <c r="E42"/>
  <c r="F42" s="1"/>
  <c r="E54" i="34"/>
  <c r="F54" s="1"/>
  <c r="I54"/>
  <c r="J54" s="1"/>
  <c r="E53"/>
  <c r="F53" s="1"/>
  <c r="C49"/>
  <c r="C50"/>
  <c r="H63" i="40"/>
  <c r="G65"/>
  <c r="H70" i="39"/>
  <c r="C33" i="11"/>
  <c r="C42" s="1"/>
  <c r="F35" i="15"/>
  <c r="B6" i="76"/>
  <c r="M21" i="67"/>
  <c r="M21" i="15"/>
  <c r="F35" i="67"/>
  <c r="I5" i="6" l="1"/>
  <c r="C11" i="39" s="1"/>
  <c r="B2" i="76"/>
  <c r="B3" s="1"/>
  <c r="B3" i="43"/>
  <c r="F63" i="67"/>
  <c r="C62" s="1"/>
  <c r="C34"/>
  <c r="J20"/>
  <c r="C24" i="68"/>
  <c r="J20" i="15"/>
  <c r="F63"/>
  <c r="C62" s="1"/>
  <c r="C34"/>
  <c r="R16" i="1"/>
  <c r="C22" i="12"/>
  <c r="C33" i="68"/>
  <c r="I63" i="40"/>
  <c r="H65"/>
  <c r="C39" i="11"/>
  <c r="C43" s="1"/>
  <c r="C41" s="1"/>
  <c r="I70" i="39"/>
  <c r="C11" i="21" l="1"/>
  <c r="F11" i="39"/>
  <c r="H11"/>
  <c r="J11"/>
  <c r="C39" i="68"/>
  <c r="C43" s="1"/>
  <c r="C42"/>
  <c r="J63" i="40"/>
  <c r="I65"/>
  <c r="C46" i="11"/>
  <c r="C45" s="1"/>
  <c r="C49" s="1"/>
  <c r="C51" s="1"/>
  <c r="C52" s="1"/>
  <c r="B2" s="1"/>
  <c r="B3" s="1"/>
  <c r="J70" i="39"/>
  <c r="AB11" l="1"/>
  <c r="U11"/>
  <c r="F11" i="21"/>
  <c r="J11"/>
  <c r="H11"/>
  <c r="W11" i="39"/>
  <c r="AC11"/>
  <c r="AA11"/>
  <c r="S11"/>
  <c r="C41" i="68"/>
  <c r="C46"/>
  <c r="C45" s="1"/>
  <c r="K63" i="40"/>
  <c r="J65"/>
  <c r="K70" i="39"/>
  <c r="C56" i="11"/>
  <c r="C57" s="1"/>
  <c r="U11" i="21" l="1"/>
  <c r="AB11"/>
  <c r="T48" s="1"/>
  <c r="G48" s="1"/>
  <c r="S11"/>
  <c r="AA11"/>
  <c r="R48" s="1"/>
  <c r="W11"/>
  <c r="AC11"/>
  <c r="V48" s="1"/>
  <c r="I48" s="1"/>
  <c r="C49" i="68"/>
  <c r="C51" s="1"/>
  <c r="L63" i="40"/>
  <c r="K65"/>
  <c r="L70" i="39"/>
  <c r="E2" i="70"/>
  <c r="C34" i="69"/>
  <c r="C17" i="67"/>
  <c r="E48" i="21" l="1"/>
  <c r="I53" s="1"/>
  <c r="J53" s="1"/>
  <c r="R49"/>
  <c r="I52"/>
  <c r="J52" s="1"/>
  <c r="G53"/>
  <c r="H53" s="1"/>
  <c r="G52"/>
  <c r="H52" s="1"/>
  <c r="M63" i="40"/>
  <c r="L65"/>
  <c r="M70" i="39"/>
  <c r="C35" i="69"/>
  <c r="C38"/>
  <c r="D10"/>
  <c r="E52" i="21" l="1"/>
  <c r="F52" s="1"/>
  <c r="E53"/>
  <c r="F53" s="1"/>
  <c r="C48"/>
  <c r="C6" i="12" s="1"/>
  <c r="C8" s="1"/>
  <c r="C49" i="21"/>
  <c r="N63" i="40"/>
  <c r="M65"/>
  <c r="O70" i="39"/>
  <c r="N70"/>
  <c r="D19" i="69"/>
  <c r="C10"/>
  <c r="C8" s="1"/>
  <c r="C5" s="1"/>
  <c r="H6" i="12" l="1"/>
  <c r="H8" s="1"/>
  <c r="D6"/>
  <c r="D8" s="1"/>
  <c r="G6"/>
  <c r="G8" s="1"/>
  <c r="F6"/>
  <c r="F8" s="1"/>
  <c r="I6"/>
  <c r="I8" s="1"/>
  <c r="E6"/>
  <c r="E8" s="1"/>
  <c r="O63" i="40"/>
  <c r="O65" s="1"/>
  <c r="N65"/>
  <c r="C23" i="69"/>
  <c r="C19"/>
  <c r="C24" s="1"/>
  <c r="D37"/>
  <c r="C37" s="1"/>
  <c r="C33" s="1"/>
  <c r="C14" i="67"/>
  <c r="C4" i="12" l="1"/>
  <c r="F7" i="40"/>
  <c r="H7"/>
  <c r="J7"/>
  <c r="C15" i="67"/>
  <c r="C18"/>
  <c r="C42" i="69"/>
  <c r="C39"/>
  <c r="C43" s="1"/>
  <c r="C20"/>
  <c r="C25" s="1"/>
  <c r="C22" s="1"/>
  <c r="C31" i="12" l="1"/>
  <c r="C23"/>
  <c r="W7" i="40"/>
  <c r="AC7"/>
  <c r="V42" s="1"/>
  <c r="I42" s="1"/>
  <c r="AB7"/>
  <c r="T42" s="1"/>
  <c r="G42" s="1"/>
  <c r="U7"/>
  <c r="AA7"/>
  <c r="R42" s="1"/>
  <c r="S7"/>
  <c r="C19" i="67"/>
  <c r="C46" i="69"/>
  <c r="C45" s="1"/>
  <c r="C41"/>
  <c r="C28"/>
  <c r="C27" s="1"/>
  <c r="C31" s="1"/>
  <c r="C30" i="12" l="1"/>
  <c r="C28" s="1"/>
  <c r="C27"/>
  <c r="C25" s="1"/>
  <c r="C20" i="67"/>
  <c r="C23" s="1"/>
  <c r="C49" i="69"/>
  <c r="C51" s="1"/>
  <c r="I46" i="40"/>
  <c r="J46" s="1"/>
  <c r="E42"/>
  <c r="I47" s="1"/>
  <c r="J47" s="1"/>
  <c r="R43"/>
  <c r="G47"/>
  <c r="H47" s="1"/>
  <c r="G46"/>
  <c r="H46" s="1"/>
  <c r="C32" i="12" l="1"/>
  <c r="B2" s="1"/>
  <c r="B3" s="1"/>
  <c r="C26" i="67"/>
  <c r="C29" s="1"/>
  <c r="J59" s="1"/>
  <c r="J60" s="1"/>
  <c r="C42" i="40"/>
  <c r="C43"/>
  <c r="E46"/>
  <c r="F46" s="1"/>
  <c r="E47"/>
  <c r="F47" s="1"/>
  <c r="C52" i="69"/>
  <c r="Q48" i="67" l="1"/>
  <c r="Q49"/>
  <c r="C13"/>
  <c r="Q70" s="1"/>
  <c r="J19"/>
  <c r="J17" s="1"/>
  <c r="C36"/>
  <c r="J14"/>
  <c r="J13" s="1"/>
  <c r="J23" s="1"/>
  <c r="C33"/>
  <c r="C31" s="1"/>
  <c r="C57"/>
  <c r="C61" s="1"/>
  <c r="B55" i="40"/>
  <c r="F55" s="1"/>
  <c r="B53"/>
  <c r="F53" s="1"/>
  <c r="B60"/>
  <c r="F60" s="1"/>
  <c r="F61"/>
  <c r="B2" s="1"/>
  <c r="B3" s="1"/>
  <c r="B57"/>
  <c r="F57" s="1"/>
  <c r="B58"/>
  <c r="F58" s="1"/>
  <c r="B59"/>
  <c r="F59" s="1"/>
  <c r="B52"/>
  <c r="F52" s="1"/>
  <c r="B56"/>
  <c r="F56" s="1"/>
  <c r="B51"/>
  <c r="F51" s="1"/>
  <c r="B54"/>
  <c r="F54" s="1"/>
  <c r="C57" i="69"/>
  <c r="C56" s="1"/>
  <c r="S16" i="1"/>
  <c r="C64" i="67" l="1"/>
  <c r="C56"/>
  <c r="C65" s="1"/>
  <c r="J22"/>
  <c r="J16" s="1"/>
  <c r="J25" s="1"/>
  <c r="C75"/>
  <c r="C37"/>
  <c r="C30" s="1"/>
  <c r="C39" s="1"/>
  <c r="C48"/>
  <c r="C60" s="1"/>
  <c r="AE7" i="1"/>
  <c r="C14" i="15"/>
  <c r="L51" i="67"/>
  <c r="L57" l="1"/>
  <c r="L60" s="1"/>
  <c r="L46" s="1"/>
  <c r="C80"/>
  <c r="C79" s="1"/>
  <c r="Q69"/>
  <c r="Q68" s="1"/>
  <c r="Q67"/>
  <c r="C59"/>
  <c r="C66"/>
  <c r="T16" i="1"/>
  <c r="C18" i="15"/>
  <c r="C15"/>
  <c r="Q66" i="67" l="1"/>
  <c r="Q57"/>
  <c r="C58"/>
  <c r="C67" s="1"/>
  <c r="C19" i="15"/>
  <c r="C20" l="1"/>
  <c r="C26" s="1"/>
  <c r="C23" l="1"/>
  <c r="C29" s="1"/>
  <c r="J59" s="1"/>
  <c r="J60" s="1"/>
  <c r="Q48" s="1"/>
  <c r="J19" l="1"/>
  <c r="J17" s="1"/>
  <c r="Q49"/>
  <c r="C57"/>
  <c r="C61" s="1"/>
  <c r="C33"/>
  <c r="C31" s="1"/>
  <c r="C13"/>
  <c r="C37" s="1"/>
  <c r="C36"/>
  <c r="J14"/>
  <c r="J22" s="1"/>
  <c r="C30" l="1"/>
  <c r="C39" s="1"/>
  <c r="Q69" s="1"/>
  <c r="C56"/>
  <c r="C48" s="1"/>
  <c r="C64"/>
  <c r="Q70"/>
  <c r="C75"/>
  <c r="J13"/>
  <c r="J23" s="1"/>
  <c r="J16" s="1"/>
  <c r="J25" s="1"/>
  <c r="AE8" i="1"/>
  <c r="AE6"/>
  <c r="L51" i="15"/>
  <c r="C66" l="1"/>
  <c r="C60"/>
  <c r="C59" s="1"/>
  <c r="AG6" i="1"/>
  <c r="C80" i="15"/>
  <c r="C79" s="1"/>
  <c r="C65"/>
  <c r="Q68"/>
  <c r="L57"/>
  <c r="L60" s="1"/>
  <c r="Q67"/>
  <c r="F41"/>
  <c r="F41" i="67"/>
  <c r="M27" i="15"/>
  <c r="M27" i="67"/>
  <c r="J26" i="15" l="1"/>
  <c r="J29" s="1"/>
  <c r="J26" i="67"/>
  <c r="J29" s="1"/>
  <c r="C58" i="15"/>
  <c r="C67" s="1"/>
  <c r="F69"/>
  <c r="C40"/>
  <c r="C43" s="1"/>
  <c r="L46"/>
  <c r="Q57"/>
  <c r="Q66"/>
  <c r="F69" i="67"/>
  <c r="C68" s="1"/>
  <c r="C71" s="1"/>
  <c r="C40"/>
  <c r="C83" s="1"/>
  <c r="C82" s="1"/>
  <c r="C68" i="15" l="1"/>
  <c r="C71" s="1"/>
  <c r="C83"/>
  <c r="C82" s="1"/>
  <c r="Q65"/>
  <c r="Q75" s="1"/>
  <c r="Q47"/>
  <c r="Q53" s="1"/>
  <c r="Q56"/>
  <c r="Q62" s="1"/>
  <c r="B2"/>
  <c r="B3" s="1"/>
  <c r="C43" i="67"/>
  <c r="C45"/>
  <c r="C46" s="1"/>
  <c r="Q65"/>
  <c r="Q75" s="1"/>
  <c r="Q56"/>
  <c r="Q62" s="1"/>
  <c r="Q47"/>
  <c r="Q53" s="1"/>
  <c r="D2"/>
  <c r="B2" s="1"/>
  <c r="AO6" i="1"/>
  <c r="AO7"/>
  <c r="E2" i="69"/>
  <c r="AO8" i="1"/>
  <c r="B8" i="70" l="1"/>
  <c r="B7"/>
  <c r="B6"/>
  <c r="C46" i="15"/>
  <c r="B2" i="69"/>
  <c r="B3" s="1"/>
  <c r="B3" i="67"/>
  <c r="D2" i="33"/>
  <c r="D2" i="37"/>
  <c r="D2" i="34"/>
  <c r="D2" i="21"/>
  <c r="D2" i="35"/>
  <c r="F20" i="31"/>
  <c r="D2" i="36"/>
  <c r="E2" i="68"/>
  <c r="B20" i="31" l="1"/>
  <c r="B2" i="36"/>
  <c r="B3" s="1"/>
  <c r="B2" i="35"/>
  <c r="B3" s="1"/>
  <c r="B2" i="37"/>
  <c r="B3" s="1"/>
  <c r="B2" i="34"/>
  <c r="B3" s="1"/>
  <c r="B2" i="21"/>
  <c r="B3" s="1"/>
  <c r="B2" i="70"/>
  <c r="B3" s="1"/>
  <c r="D20" i="9"/>
  <c r="D19"/>
  <c r="D102" l="1"/>
  <c r="D21"/>
  <c r="D103"/>
  <c r="J7" i="33" l="1"/>
  <c r="W7" s="1"/>
  <c r="F7"/>
  <c r="S7" s="1"/>
  <c r="H7"/>
  <c r="AB7" s="1"/>
  <c r="T48" s="1"/>
  <c r="G48" s="1"/>
  <c r="G52" l="1"/>
  <c r="H52" s="1"/>
  <c r="AA7"/>
  <c r="R48" s="1"/>
  <c r="U7"/>
  <c r="AC7"/>
  <c r="V48" s="1"/>
  <c r="I48" s="1"/>
  <c r="I52" l="1"/>
  <c r="J52" s="1"/>
  <c r="R49"/>
  <c r="E48"/>
  <c r="G53"/>
  <c r="H53" s="1"/>
  <c r="E53" l="1"/>
  <c r="F53" s="1"/>
  <c r="E52"/>
  <c r="F52" s="1"/>
  <c r="I53"/>
  <c r="J53" s="1"/>
  <c r="C48"/>
  <c r="C49"/>
  <c r="B2" s="1"/>
  <c r="B3" s="1"/>
  <c r="J7" i="39"/>
  <c r="AC7" s="1"/>
  <c r="V47" s="1"/>
  <c r="I47" s="1"/>
  <c r="F7"/>
  <c r="S7" s="1"/>
  <c r="H7"/>
  <c r="AB7" s="1"/>
  <c r="T47" s="1"/>
  <c r="G47" s="1"/>
  <c r="G52" l="1"/>
  <c r="H52" s="1"/>
  <c r="G51"/>
  <c r="H51" s="1"/>
  <c r="I51"/>
  <c r="J51" s="1"/>
  <c r="W7"/>
  <c r="U7"/>
  <c r="AA7"/>
  <c r="R47" s="1"/>
  <c r="R48" l="1"/>
  <c r="E47"/>
  <c r="C48" l="1"/>
  <c r="C47"/>
  <c r="E51"/>
  <c r="F51" s="1"/>
  <c r="E52"/>
  <c r="F52" s="1"/>
  <c r="I52"/>
  <c r="J52" s="1"/>
  <c r="B61" l="1"/>
  <c r="F61" s="1"/>
  <c r="B60"/>
  <c r="F60" s="1"/>
  <c r="B56"/>
  <c r="F56" s="1"/>
  <c r="B58"/>
  <c r="F58" s="1"/>
  <c r="B59"/>
  <c r="F59" s="1"/>
  <c r="B64"/>
  <c r="F64" s="1"/>
  <c r="B65"/>
  <c r="F65" s="1"/>
  <c r="B57"/>
  <c r="F57" s="1"/>
  <c r="B63"/>
  <c r="F63" s="1"/>
  <c r="B62"/>
  <c r="F62" s="1"/>
  <c r="F66" l="1"/>
  <c r="B2" s="1"/>
  <c r="B3" l="1"/>
  <c r="C6" i="68"/>
  <c r="C7" l="1"/>
  <c r="C5" s="1"/>
  <c r="C23" l="1"/>
  <c r="C20"/>
  <c r="H112" i="9"/>
  <c r="D21" i="53" s="1"/>
  <c r="B39" i="72" s="1"/>
  <c r="H111" i="9"/>
  <c r="D126" s="1"/>
  <c r="D19" i="53"/>
  <c r="D59" i="9"/>
  <c r="M55"/>
  <c r="C28" i="68" l="1"/>
  <c r="C27" s="1"/>
  <c r="C25"/>
  <c r="C22" s="1"/>
  <c r="B38" i="72"/>
  <c r="D20" i="53"/>
  <c r="B40" i="72" s="1"/>
  <c r="I14" i="74"/>
  <c r="B8" s="1"/>
  <c r="D127" i="9"/>
  <c r="D13" i="52" s="1"/>
  <c r="D12"/>
  <c r="C31" i="68" l="1"/>
  <c r="C52" s="1"/>
  <c r="C57" s="1"/>
  <c r="C56" s="1"/>
  <c r="D8" i="74"/>
  <c r="C8"/>
  <c r="B2" i="68" l="1"/>
  <c r="C19" i="9"/>
  <c r="C102" l="1"/>
  <c r="G19"/>
  <c r="C32" s="1"/>
  <c r="C21"/>
  <c r="D22"/>
  <c r="B3" i="68"/>
  <c r="G21" i="9"/>
  <c r="C20"/>
  <c r="D35"/>
  <c r="D34"/>
  <c r="C103" l="1"/>
  <c r="G20"/>
  <c r="C35"/>
  <c r="F118" s="1"/>
  <c r="H118"/>
  <c r="C104" l="1"/>
  <c r="I118"/>
  <c r="D14" i="74"/>
  <c r="H101" i="9"/>
  <c r="H119"/>
  <c r="H5" i="52" s="1"/>
  <c r="H4"/>
  <c r="G118" i="9"/>
  <c r="G4" i="52" s="1"/>
  <c r="B52" i="72" s="1"/>
  <c r="F4" i="52"/>
  <c r="B51" i="72" s="1"/>
  <c r="F119" i="9"/>
  <c r="F5" i="52" s="1"/>
  <c r="B53" i="72" s="1"/>
  <c r="C34" i="9"/>
  <c r="D118" s="1"/>
  <c r="E14" i="74" l="1"/>
  <c r="F14"/>
  <c r="B5"/>
  <c r="D119" i="9"/>
  <c r="D5" i="52" s="1"/>
  <c r="B49" i="72" s="1"/>
  <c r="D4" i="52"/>
  <c r="B47" i="72" s="1"/>
  <c r="H107" i="9"/>
  <c r="M48"/>
  <c r="D45"/>
  <c r="D5" i="53"/>
  <c r="H109" i="9"/>
  <c r="C105"/>
  <c r="E118"/>
  <c r="E4" i="52" s="1"/>
  <c r="B48" i="72" s="1"/>
  <c r="H102" i="9"/>
  <c r="D7" i="53" s="1"/>
  <c r="B21" i="72" s="1"/>
  <c r="I4" i="52"/>
  <c r="M49" i="9" l="1"/>
  <c r="H110"/>
  <c r="D18" i="53" s="1"/>
  <c r="B35" i="72" s="1"/>
  <c r="D124" i="9"/>
  <c r="D16" i="53"/>
  <c r="D53" i="9"/>
  <c r="C93"/>
  <c r="C86" s="1"/>
  <c r="C78"/>
  <c r="C73" s="1"/>
  <c r="C72"/>
  <c r="C64"/>
  <c r="C63" s="1"/>
  <c r="C67" s="1"/>
  <c r="C68" s="1"/>
  <c r="D54" s="1"/>
  <c r="D52"/>
  <c r="C85"/>
  <c r="D55"/>
  <c r="M53" s="1"/>
  <c r="H108"/>
  <c r="D15" i="53" s="1"/>
  <c r="B31" i="72" s="1"/>
  <c r="D13" i="53"/>
  <c r="D122" i="9"/>
  <c r="B20" i="72"/>
  <c r="D6" i="53"/>
  <c r="B22" i="72" s="1"/>
  <c r="D5" i="74"/>
  <c r="C5"/>
  <c r="C79" i="9" l="1"/>
  <c r="C80" s="1"/>
  <c r="E80" s="1"/>
  <c r="E81" s="1"/>
  <c r="C95"/>
  <c r="G14" i="74"/>
  <c r="B6" s="1"/>
  <c r="D8" i="52"/>
  <c r="D123" i="9"/>
  <c r="D9" i="52" s="1"/>
  <c r="C96" i="9"/>
  <c r="E96" s="1"/>
  <c r="E97" s="1"/>
  <c r="H14" i="74"/>
  <c r="B7" s="1"/>
  <c r="D10" i="52"/>
  <c r="D125" i="9"/>
  <c r="D11" i="52" s="1"/>
  <c r="L64" i="9"/>
  <c r="M64" s="1"/>
  <c r="L65"/>
  <c r="M65" s="1"/>
  <c r="L63"/>
  <c r="M63" s="1"/>
  <c r="L68"/>
  <c r="M68" s="1"/>
  <c r="L66"/>
  <c r="M66" s="1"/>
  <c r="L67"/>
  <c r="M67" s="1"/>
  <c r="D14" i="53"/>
  <c r="B32" i="72" s="1"/>
  <c r="B30"/>
  <c r="B34"/>
  <c r="D17" i="53"/>
  <c r="B36" i="72" s="1"/>
  <c r="C97" i="9" l="1"/>
  <c r="D58" s="1"/>
  <c r="D56" s="1"/>
  <c r="M54" s="1"/>
  <c r="N57" s="1"/>
  <c r="P57" s="1"/>
  <c r="D6" i="74"/>
  <c r="C6"/>
  <c r="M69" i="9"/>
  <c r="N69" s="1"/>
  <c r="C7" i="74"/>
  <c r="D7"/>
  <c r="C81" i="9"/>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<sst xmlns="http://schemas.openxmlformats.org/spreadsheetml/2006/main" count="7642" uniqueCount="3245">
  <si>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</si>
  <si>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</si>
  <si>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</si>
  <si>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</si>
  <si>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</si>
  <si>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</si>
  <si>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</si>
  <si>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</si>
  <si>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</si>
  <si>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</si>
  <si>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</si>
  <si>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</si>
  <si>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</si>
  <si>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</si>
  <si>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</si>
  <si>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</si>
  <si>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</si>
  <si>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</si>
  <si>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</si>
  <si>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</si>
  <si>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</si>
  <si>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</si>
  <si>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</si>
  <si>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</si>
  <si>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</si>
  <si>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</si>
  <si>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</si>
  <si>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</si>
  <si>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</si>
  <si>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</si>
  <si>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</si>
  <si>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</si>
  <si>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</si>
  <si>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</si>
  <si>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</si>
  <si>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</si>
  <si>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</si>
  <si>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</si>
  <si>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</si>
  <si>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</si>
  <si>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</si>
  <si>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</si>
  <si>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</si>
  <si>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</si>
  <si>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</si>
  <si>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</si>
  <si>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</si>
  <si>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</si>
  <si>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</si>
  <si>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</si>
  <si>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</si>
  <si>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</si>
  <si>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</si>
  <si>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</si>
  <si>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</si>
  <si>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</si>
  <si>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</si>
  <si>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</si>
  <si>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</si>
  <si>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</si>
  <si>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</si>
  <si>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</si>
  <si>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</si>
  <si>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</si>
  <si>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</si>
  <si>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</si>
  <si>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</si>
  <si>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</si>
  <si>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</si>
  <si>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</si>
  <si>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</si>
  <si>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</si>
  <si>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</si>
  <si>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</si>
  <si>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</si>
  <si>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</si>
  <si>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</si>
  <si>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</si>
  <si>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</si>
  <si>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</si>
  <si>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</si>
  <si>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</si>
  <si>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</si>
  <si>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</si>
  <si>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</si>
  <si>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</si>
  <si>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</si>
  <si>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</si>
  <si>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</si>
  <si>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</si>
  <si>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</si>
  <si>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</si>
  <si>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</si>
  <si>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</si>
  <si>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</si>
  <si>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</si>
  <si>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</si>
  <si>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</si>
  <si>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</si>
  <si>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</si>
  <si>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</si>
  <si>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</si>
  <si>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</si>
  <si>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</si>
  <si>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</si>
  <si>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</si>
  <si>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</si>
  <si>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</si>
  <si>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</si>
  <si>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</si>
  <si>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</si>
  <si>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</si>
  <si>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</si>
  <si>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</si>
  <si>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</si>
  <si>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</si>
  <si>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</si>
  <si>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</si>
  <si>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</si>
  <si>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</si>
  <si>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</si>
  <si>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</si>
  <si>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</si>
  <si>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</si>
  <si>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</si>
  <si>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</si>
  <si>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</si>
  <si>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</si>
  <si>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</si>
  <si>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</si>
  <si>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</si>
  <si>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</si>
  <si>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</si>
  <si>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</si>
  <si>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</si>
  <si>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</si>
  <si>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</si>
  <si>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</si>
  <si>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</si>
  <si>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</si>
  <si>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</si>
  <si>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</si>
  <si>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</si>
  <si>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</si>
  <si>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</si>
  <si>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</si>
  <si>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</si>
  <si>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</si>
  <si>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</si>
  <si>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</si>
  <si>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</si>
  <si>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</si>
  <si>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</si>
  <si>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</si>
  <si>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</si>
  <si>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</si>
  <si>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</si>
  <si>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</si>
  <si>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</si>
  <si>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</si>
  <si>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</si>
  <si>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</si>
  <si>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</si>
  <si>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</si>
  <si>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</si>
  <si>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</si>
  <si>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</si>
  <si>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</si>
  <si>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</si>
  <si>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</si>
  <si>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</si>
  <si>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</si>
  <si>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</si>
  <si>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</si>
  <si>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</si>
  <si>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</si>
  <si>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</si>
  <si>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</si>
  <si>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</si>
  <si>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</si>
  <si>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</si>
  <si>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</si>
  <si>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</si>
  <si>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</si>
  <si>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</si>
  <si>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</si>
  <si>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</si>
  <si>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</si>
  <si>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</si>
  <si>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</si>
  <si>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</si>
  <si>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</si>
  <si>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</si>
  <si>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</si>
  <si>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</si>
  <si>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</si>
  <si>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</si>
  <si>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</si>
  <si>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</si>
  <si>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</si>
  <si>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</si>
  <si>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</si>
  <si>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</si>
  <si>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</si>
  <si>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</si>
  <si>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</si>
  <si>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</si>
  <si>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</si>
  <si>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</si>
  <si>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</si>
  <si>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</si>
  <si>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</si>
  <si>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</si>
  <si>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</si>
  <si>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</si>
  <si>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</si>
  <si>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</si>
  <si>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</si>
  <si>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</si>
  <si>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</si>
  <si>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</si>
  <si>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</si>
  <si>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</si>
  <si>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</si>
  <si>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</si>
  <si>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</si>
  <si>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</si>
  <si>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</si>
  <si>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</si>
  <si>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</si>
  <si>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</si>
  <si>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</si>
  <si>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</si>
  <si>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</si>
  <si>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</si>
  <si>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</si>
  <si>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</si>
  <si>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</si>
  <si>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</si>
  <si>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</si>
  <si>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</si>
  <si>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</si>
  <si>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</si>
  <si>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</si>
  <si>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</si>
  <si>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</si>
  <si>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</si>
  <si>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</si>
  <si>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</si>
  <si>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</si>
  <si>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</si>
  <si>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</si>
  <si>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</si>
  <si>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</si>
  <si>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</si>
  <si>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</si>
  <si>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</si>
  <si>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</si>
  <si>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</si>
  <si>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</si>
  <si>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</si>
  <si>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</si>
  <si>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</si>
  <si>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</si>
  <si>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</si>
  <si>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</si>
  <si>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</si>
  <si>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</si>
  <si>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</si>
  <si>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</si>
  <si>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</si>
  <si>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</si>
  <si>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</si>
  <si>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</si>
  <si>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</si>
  <si>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</si>
  <si>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</si>
  <si>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</si>
  <si>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</si>
  <si>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</si>
  <si>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</si>
  <si>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</si>
  <si>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</si>
  <si>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</si>
  <si>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</si>
  <si>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</si>
  <si>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</si>
  <si>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</si>
  <si>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</si>
  <si>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</si>
  <si>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</si>
  <si>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</si>
  <si>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</si>
  <si>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</si>
  <si>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</si>
  <si>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</si>
  <si>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</si>
  <si>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</si>
  <si>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</si>
  <si>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</si>
  <si>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</si>
  <si>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</si>
  <si>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</si>
  <si>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</si>
  <si>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</si>
  <si>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</si>
  <si>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</si>
  <si>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</si>
  <si>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</si>
  <si>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</si>
  <si>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</si>
  <si>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</si>
  <si>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</si>
  <si>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</si>
  <si>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</si>
  <si>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</si>
  <si>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</si>
  <si>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</si>
  <si>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</si>
  <si>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</si>
  <si>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</si>
  <si>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</si>
  <si>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</si>
  <si>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</si>
  <si>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</si>
  <si>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</si>
  <si>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</si>
  <si>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</si>
  <si>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</si>
  <si>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</si>
  <si>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</si>
  <si>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</si>
  <si>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</si>
  <si>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</si>
  <si>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</si>
  <si>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</si>
  <si>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</si>
  <si>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</si>
  <si>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</si>
  <si>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</si>
  <si>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</si>
  <si>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</si>
  <si>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</si>
  <si>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</si>
  <si>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</si>
  <si>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</si>
  <si>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</si>
  <si>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</si>
  <si>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</si>
  <si>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</si>
  <si>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</si>
  <si>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</si>
  <si>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</si>
  <si>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</si>
  <si>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</si>
  <si>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</si>
  <si>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</si>
  <si>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</si>
  <si>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</si>
  <si>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</si>
  <si>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</si>
  <si>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</si>
  <si>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</si>
  <si>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</si>
  <si>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</si>
  <si>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</si>
  <si>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</si>
  <si>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</si>
  <si>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</si>
  <si>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</si>
  <si>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</si>
  <si>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</si>
  <si>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</si>
  <si>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</si>
  <si>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</si>
  <si>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</si>
  <si>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</si>
  <si>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</si>
  <si>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</si>
  <si>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</si>
  <si>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</si>
  <si>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</si>
  <si>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</si>
  <si>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</si>
  <si>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</si>
  <si>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</si>
  <si>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</si>
  <si>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</si>
  <si>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</si>
  <si>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</si>
  <si>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</si>
  <si>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</si>
  <si>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</si>
  <si>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</si>
  <si>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</si>
  <si>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</si>
  <si>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</si>
  <si>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</si>
  <si>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</si>
  <si>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</si>
  <si>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</si>
  <si>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</si>
  <si>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</si>
  <si>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</si>
  <si>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</si>
  <si>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</si>
  <si>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</si>
  <si>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</si>
  <si>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</si>
  <si>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</si>
  <si>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</si>
  <si>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</si>
  <si>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</si>
  <si>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</si>
  <si>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</si>
  <si>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</si>
  <si>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</si>
  <si>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</si>
  <si>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</si>
  <si>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</si>
  <si>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</si>
  <si>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</si>
  <si>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</si>
  <si>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</si>
  <si>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</si>
  <si>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</si>
  <si>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</si>
  <si>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</si>
  <si>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</si>
  <si>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</si>
  <si>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</si>
  <si>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</si>
  <si>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</si>
  <si>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</si>
  <si>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</si>
  <si>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</si>
  <si>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</si>
  <si>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</si>
  <si>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</si>
  <si>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</si>
  <si>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</si>
  <si>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</si>
  <si>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</si>
  <si>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</si>
  <si>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</si>
  <si>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</si>
  <si>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</si>
  <si>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</si>
  <si>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</si>
  <si>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</si>
  <si>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</si>
  <si>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</si>
  <si>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</si>
  <si>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</si>
  <si>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</si>
  <si>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</si>
  <si>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</si>
  <si>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</si>
  <si>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</si>
  <si>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</si>
  <si>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</si>
  <si>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</si>
  <si>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</si>
  <si>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</si>
  <si>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</si>
  <si>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</si>
  <si>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</si>
  <si>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</si>
  <si>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</si>
  <si>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</si>
  <si>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</si>
  <si>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</si>
  <si>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</si>
  <si>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</si>
  <si>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</si>
  <si>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</si>
  <si>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</si>
  <si>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</si>
  <si>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</si>
  <si>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</si>
  <si>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</si>
  <si>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</si>
  <si>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</si>
  <si>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</si>
  <si>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</si>
  <si>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</si>
  <si>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</si>
  <si>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</si>
  <si>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</si>
  <si>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</si>
  <si>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</si>
  <si>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</si>
  <si>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</si>
  <si>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</si>
  <si>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</si>
  <si>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</si>
  <si>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</si>
  <si>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</si>
  <si>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</si>
  <si>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</si>
  <si>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</si>
  <si>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</si>
  <si>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</si>
  <si>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</si>
  <si>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</si>
  <si>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</si>
  <si>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</si>
  <si>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</si>
  <si>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</si>
  <si>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</si>
  <si>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</si>
  <si>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</si>
  <si>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</si>
  <si>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</si>
  <si>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</si>
  <si>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</si>
  <si>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</si>
  <si>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</si>
  <si>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</si>
  <si>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</si>
  <si>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</si>
  <si>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</si>
  <si>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</si>
  <si>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</si>
  <si>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</si>
  <si>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</si>
  <si>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</si>
  <si>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</si>
  <si>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</si>
  <si>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</si>
  <si>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</si>
  <si>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</si>
  <si>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</si>
  <si>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</si>
  <si>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</si>
  <si>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</si>
  <si>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</si>
  <si>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</si>
  <si>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</si>
  <si>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</si>
  <si>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</si>
  <si>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</si>
  <si>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</si>
  <si>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</si>
  <si>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</si>
  <si>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</si>
  <si>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</si>
  <si>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</si>
  <si>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</si>
  <si>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</si>
  <si>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</si>
  <si>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</si>
  <si>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</si>
  <si>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</si>
  <si>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</si>
  <si>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</si>
  <si>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</si>
  <si>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</si>
  <si>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</si>
  <si>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</si>
  <si>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</si>
  <si>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</si>
  <si>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</si>
  <si>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</si>
  <si>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</si>
  <si>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</si>
  <si>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</si>
  <si>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</si>
  <si>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</si>
  <si>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</si>
  <si>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</si>
  <si>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</si>
  <si>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</si>
  <si>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</si>
  <si>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</si>
  <si>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</si>
  <si>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</si>
  <si>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</si>
  <si>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</si>
  <si>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</si>
  <si>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</si>
  <si>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</si>
  <si>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</si>
  <si>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</si>
  <si>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</si>
  <si>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</si>
  <si>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</si>
  <si>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</si>
  <si>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</si>
  <si>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</si>
  <si>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</si>
  <si>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</si>
  <si>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</si>
  <si>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</si>
  <si>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</si>
  <si>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</si>
  <si>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</si>
  <si>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</si>
  <si>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</si>
  <si>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</si>
  <si>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</si>
  <si>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</si>
  <si>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</si>
  <si>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</si>
  <si>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</si>
  <si>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</si>
  <si>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</si>
  <si>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</si>
  <si>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</si>
  <si>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</si>
  <si>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</si>
  <si>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</si>
  <si>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</si>
  <si>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</si>
  <si>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</si>
  <si>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</si>
  <si>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</si>
  <si>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</si>
  <si>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</si>
  <si>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</si>
  <si>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</si>
  <si>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</si>
  <si>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</si>
  <si>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</si>
  <si>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</si>
  <si>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</si>
  <si>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</si>
  <si>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</si>
  <si>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</si>
  <si>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</si>
  <si>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</si>
  <si>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</si>
  <si>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</si>
  <si>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</si>
  <si>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</si>
  <si>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</si>
  <si>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</si>
  <si>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</si>
  <si>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</si>
  <si>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</si>
  <si>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</si>
  <si>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</si>
  <si>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</si>
  <si>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</si>
  <si>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</si>
  <si>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</si>
  <si>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</si>
  <si>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</si>
  <si>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</si>
  <si>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</si>
  <si>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</si>
  <si>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</si>
  <si>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</si>
  <si>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</si>
  <si>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</si>
  <si>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</si>
  <si>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</si>
  <si>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</si>
  <si>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</si>
  <si>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</si>
  <si>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</si>
  <si>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</si>
  <si>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</si>
  <si>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</si>
  <si>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</si>
  <si>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</si>
  <si>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</si>
  <si>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</si>
  <si>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</si>
  <si>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</si>
  <si>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</si>
  <si>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</si>
  <si>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</si>
  <si>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</si>
  <si>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</si>
  <si>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</si>
  <si>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</si>
  <si>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</si>
  <si>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</si>
  <si>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</si>
  <si>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</si>
  <si>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</si>
  <si>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</si>
  <si>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</si>
  <si>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</si>
  <si>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</si>
  <si>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</si>
  <si>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</si>
  <si>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</si>
  <si>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</si>
  <si>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</si>
  <si>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</si>
  <si>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</si>
  <si>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</si>
  <si>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</si>
  <si>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</si>
  <si>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</si>
  <si>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</si>
  <si>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</si>
  <si>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</si>
  <si>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</si>
  <si>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</si>
  <si>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</si>
  <si>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</si>
  <si>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</si>
  <si>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</si>
  <si>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</si>
  <si>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</si>
  <si>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</si>
  <si>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</si>
  <si>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</si>
  <si>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</si>
  <si>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</si>
  <si>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</si>
  <si>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</si>
  <si>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</si>
  <si>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</si>
  <si>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</si>
  <si>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</si>
  <si>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</si>
  <si>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</si>
  <si>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</si>
  <si>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</si>
  <si>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</si>
  <si>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</si>
  <si>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</si>
  <si>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</si>
  <si>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</si>
  <si>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</si>
  <si>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</si>
  <si>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</si>
  <si>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</si>
  <si>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</si>
  <si>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</si>
  <si>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</si>
  <si>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</si>
  <si>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</si>
  <si>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</si>
  <si>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</si>
  <si>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</si>
  <si>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</si>
  <si>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</si>
  <si>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</si>
  <si>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</si>
  <si>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</si>
  <si>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</si>
  <si>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</si>
  <si>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</si>
  <si>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</si>
  <si>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</si>
  <si>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</si>
  <si>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</si>
  <si>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</si>
  <si>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</si>
  <si>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</si>
  <si>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</si>
  <si>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</si>
  <si>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</si>
  <si>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</si>
  <si>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</si>
  <si>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</si>
  <si>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</si>
  <si>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</si>
  <si>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</si>
  <si>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</si>
  <si>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</si>
  <si>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</si>
  <si>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</si>
  <si>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</si>
  <si>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</si>
  <si>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</si>
  <si>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</si>
  <si>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</si>
  <si>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</si>
  <si>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</si>
  <si>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</si>
  <si>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</si>
  <si>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</si>
  <si>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</si>
  <si>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</si>
  <si>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</si>
  <si>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</si>
  <si>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</si>
  <si>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</si>
  <si>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</si>
  <si>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</si>
  <si>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</si>
  <si>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</si>
  <si>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</si>
  <si>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</si>
  <si>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</si>
  <si>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</si>
  <si>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</si>
  <si>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</si>
  <si>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</si>
  <si>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</si>
  <si>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</si>
  <si>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</si>
  <si>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</si>
  <si>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</si>
  <si>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</si>
  <si>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</si>
  <si>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</si>
  <si>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</si>
  <si>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</si>
  <si>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</si>
  <si>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</si>
  <si>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</si>
  <si>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</si>
  <si>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</si>
  <si>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</si>
  <si>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</si>
  <si>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</si>
  <si>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</si>
  <si>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</si>
  <si>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</si>
  <si>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</si>
  <si>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</si>
  <si>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</si>
  <si>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</si>
  <si>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</si>
  <si>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</si>
  <si>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</si>
  <si>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</si>
  <si>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</si>
  <si>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</si>
  <si>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</si>
  <si>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</si>
  <si>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</si>
  <si>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</si>
  <si>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</si>
  <si>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</si>
  <si>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</si>
  <si>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</si>
  <si>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</si>
  <si>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</si>
  <si>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</si>
  <si>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</si>
  <si>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</si>
  <si>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</si>
  <si>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</si>
  <si>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</si>
  <si>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</si>
  <si>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</si>
  <si>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</si>
  <si>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</si>
  <si>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</si>
  <si>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</si>
  <si>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</si>
  <si>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</si>
  <si>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</si>
  <si>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</si>
  <si>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</si>
  <si>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</si>
  <si>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</si>
  <si>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</si>
  <si>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</si>
  <si>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</si>
  <si>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</si>
  <si>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</si>
  <si>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</si>
  <si>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</si>
  <si>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</si>
  <si>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</si>
  <si>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</si>
  <si>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</si>
  <si>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</si>
  <si>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</si>
  <si>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</si>
  <si>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</si>
  <si>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</si>
  <si>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</si>
  <si>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</si>
  <si>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</si>
  <si>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</si>
  <si>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</si>
  <si>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</si>
  <si>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</si>
  <si>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</si>
  <si>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</si>
  <si>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</si>
  <si>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</si>
  <si>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</si>
  <si>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</si>
  <si>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</si>
  <si>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</si>
  <si>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</si>
  <si>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</si>
  <si>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</si>
  <si>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</si>
  <si>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</si>
  <si>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</si>
  <si>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</si>
  <si>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</si>
  <si>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</si>
  <si>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</si>
  <si>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</si>
  <si>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</si>
  <si>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</si>
  <si>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</si>
  <si>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</si>
  <si>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</si>
  <si>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</si>
  <si>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</si>
  <si>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</si>
  <si>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</si>
  <si>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</si>
  <si>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</si>
  <si>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</si>
  <si>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</si>
  <si>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</si>
  <si>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</si>
  <si>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</si>
  <si>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</si>
  <si>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</si>
  <si>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</si>
  <si>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</si>
  <si>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</si>
  <si>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</si>
  <si>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</si>
  <si>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</si>
  <si>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</si>
  <si>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</si>
  <si>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</si>
  <si>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</si>
  <si>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</si>
  <si>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</si>
  <si>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</si>
  <si>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</si>
  <si>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</si>
  <si>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</si>
  <si>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</si>
  <si>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</si>
  <si>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</si>
  <si>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</si>
  <si>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</si>
  <si>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</si>
  <si>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</si>
  <si>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</si>
  <si>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</si>
  <si>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</si>
  <si>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</si>
  <si>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</si>
  <si>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</si>
  <si>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</si>
  <si>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</si>
  <si>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</si>
  <si>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</si>
  <si>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</si>
  <si>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</si>
  <si>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</si>
  <si>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</si>
  <si>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</si>
  <si>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</si>
  <si>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</si>
  <si>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</si>
  <si>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</si>
  <si>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</si>
  <si>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</si>
  <si>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</si>
  <si>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</si>
  <si>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</si>
  <si>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</si>
  <si>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</si>
  <si>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</si>
  <si>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</si>
  <si>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</si>
  <si>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</si>
  <si>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</si>
  <si>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</si>
  <si>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</si>
  <si>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</si>
  <si>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</si>
  <si>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</si>
  <si>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</si>
  <si>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</si>
  <si>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</si>
  <si>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</si>
  <si>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</si>
  <si>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</si>
  <si>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</si>
  <si>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</si>
  <si>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</si>
  <si>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</si>
  <si>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</si>
  <si>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</si>
  <si>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</si>
  <si>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</si>
  <si>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</si>
  <si>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</si>
  <si>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</si>
  <si>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</si>
  <si>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</si>
  <si>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</si>
  <si>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</si>
  <si>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</si>
  <si>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</si>
  <si>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</si>
  <si>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</si>
  <si>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</si>
  <si>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</si>
  <si>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</si>
  <si>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</si>
  <si>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</si>
  <si>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</si>
  <si>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</si>
  <si>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</si>
  <si>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</si>
  <si>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</si>
  <si>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</si>
  <si>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</si>
  <si>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</si>
  <si>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</si>
  <si>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</si>
  <si>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</si>
  <si>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</si>
  <si>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</si>
  <si>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</si>
  <si>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</si>
  <si>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</si>
  <si>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</si>
  <si>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</si>
  <si>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</si>
  <si>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</si>
  <si>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</si>
  <si>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</si>
  <si>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</si>
  <si>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</si>
  <si>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</si>
  <si>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</si>
  <si>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</si>
  <si>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</si>
  <si>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</si>
  <si>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</si>
  <si>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</si>
  <si>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</si>
  <si>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</si>
  <si>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</si>
  <si>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</si>
  <si>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</si>
  <si>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</si>
  <si>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</si>
  <si>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</si>
  <si>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</si>
  <si>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</si>
  <si>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</si>
  <si>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</si>
  <si>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</si>
  <si>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</si>
  <si>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</si>
  <si>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</si>
  <si>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</si>
  <si>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</si>
  <si>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</si>
  <si>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</si>
  <si>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</si>
  <si>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</si>
  <si>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</si>
  <si>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</si>
  <si>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</si>
  <si>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</si>
  <si>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</si>
  <si>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</si>
  <si>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</si>
  <si>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</si>
  <si>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</si>
  <si>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</si>
  <si>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</si>
  <si>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</si>
  <si>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</si>
  <si>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</si>
  <si>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</si>
  <si>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</si>
  <si>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</si>
  <si>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</si>
  <si>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</si>
  <si>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</si>
  <si>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</si>
  <si>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</si>
  <si>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</si>
  <si>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</si>
  <si>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</si>
  <si>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</si>
  <si>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</si>
  <si>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</si>
  <si>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</si>
  <si>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</si>
  <si>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</si>
  <si>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</si>
  <si>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</si>
  <si>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</si>
  <si>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</si>
  <si>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</si>
  <si>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</si>
  <si>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</si>
  <si>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</si>
  <si>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</si>
  <si>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</si>
  <si>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</si>
  <si>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</si>
  <si>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</si>
  <si>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</si>
  <si>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</si>
  <si>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</si>
  <si>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</si>
  <si>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</si>
  <si>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</si>
  <si>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</si>
  <si>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</si>
  <si>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</si>
  <si>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</si>
  <si>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</si>
  <si>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</si>
  <si>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</si>
  <si>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</si>
  <si>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</si>
  <si>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</si>
  <si>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</si>
  <si>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</si>
  <si>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</si>
  <si>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</si>
  <si>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</si>
  <si>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</si>
  <si>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</si>
  <si>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</si>
  <si>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</si>
  <si>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</si>
  <si>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</si>
  <si>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</si>
  <si>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</si>
  <si>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</si>
  <si>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</si>
  <si>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</si>
  <si>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</si>
  <si>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</si>
  <si>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</si>
  <si>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</si>
  <si>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</si>
  <si>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</si>
  <si>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</si>
  <si>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</si>
  <si>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</si>
  <si>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</si>
  <si>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</si>
  <si>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</si>
  <si>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</si>
  <si>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</si>
  <si>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</si>
  <si>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</si>
  <si>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</si>
  <si>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</si>
  <si>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</si>
  <si>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</si>
  <si>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</si>
  <si>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</si>
  <si>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</si>
  <si>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</si>
  <si>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</si>
  <si>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</si>
  <si>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</si>
  <si>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</si>
  <si>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</si>
  <si>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</si>
  <si>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</si>
  <si>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</si>
  <si>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</si>
  <si>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</si>
  <si>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</si>
  <si>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</si>
  <si>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</si>
  <si>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</si>
  <si>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</si>
  <si>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</si>
  <si>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</si>
  <si>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</si>
  <si>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</si>
  <si>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</si>
  <si>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</si>
  <si>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</si>
  <si>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</si>
  <si>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</si>
  <si>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</si>
  <si>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</si>
  <si>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</si>
  <si>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</si>
  <si>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</si>
  <si>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</si>
  <si>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</si>
  <si>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</si>
  <si>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</si>
  <si>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</si>
  <si>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</si>
  <si>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</si>
  <si>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</si>
  <si>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</si>
  <si>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</si>
  <si>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</si>
  <si>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</si>
  <si>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</si>
  <si>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</si>
  <si>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</si>
  <si>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</si>
  <si>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</si>
  <si>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</si>
  <si>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</si>
  <si>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</si>
  <si>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</si>
  <si>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</si>
  <si>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</si>
  <si>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</si>
  <si>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</si>
  <si>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</si>
  <si>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</si>
  <si>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</si>
  <si>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</si>
  <si>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</si>
  <si>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</si>
  <si>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</si>
  <si>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</si>
  <si>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</si>
  <si>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</si>
  <si>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</si>
  <si>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</si>
  <si>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</si>
  <si>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</si>
  <si>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</si>
  <si>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</si>
  <si>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</si>
  <si>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</si>
  <si>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</si>
  <si>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</si>
  <si>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</si>
  <si>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</si>
  <si>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</si>
  <si>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</si>
  <si>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</si>
  <si>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</si>
  <si>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</si>
  <si>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</si>
  <si>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</si>
  <si>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</si>
  <si>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</si>
  <si>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</si>
  <si>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</si>
  <si>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</si>
  <si>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</si>
  <si>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</si>
  <si>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</si>
  <si>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</si>
  <si>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</si>
  <si>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</si>
  <si>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</si>
  <si>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</si>
  <si>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</si>
  <si>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</si>
  <si>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</si>
  <si>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</si>
  <si>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</si>
  <si>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</si>
  <si>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</si>
  <si>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</si>
  <si>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</si>
  <si>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</si>
  <si>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</si>
  <si>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</si>
  <si>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</si>
  <si>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</si>
  <si>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</si>
  <si>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</si>
  <si>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</si>
  <si>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</si>
  <si>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</si>
  <si>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</si>
  <si>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</si>
  <si>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</si>
  <si>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</si>
  <si>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</si>
  <si>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</si>
  <si>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</si>
  <si>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</si>
  <si>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</si>
  <si>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</si>
  <si>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</si>
  <si>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</si>
  <si>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</si>
  <si>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</si>
  <si>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</si>
  <si>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</si>
  <si>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</si>
  <si>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</si>
  <si>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</si>
  <si>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</si>
  <si>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</si>
  <si>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</si>
  <si>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</si>
  <si>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</si>
  <si>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</si>
  <si>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</si>
  <si>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</si>
  <si>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</si>
  <si>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</si>
  <si>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</si>
  <si>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</si>
  <si>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</si>
  <si>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</si>
  <si>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</si>
  <si>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</si>
  <si>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</si>
  <si>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</si>
  <si>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</si>
  <si>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</si>
  <si>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</si>
  <si>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</si>
  <si>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</si>
  <si>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</si>
  <si>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</si>
  <si>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</si>
  <si>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</si>
  <si>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</si>
  <si>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</si>
  <si>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</si>
  <si>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</si>
  <si>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</si>
  <si>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</si>
  <si>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</si>
  <si>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</si>
  <si>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</si>
  <si>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</si>
  <si>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</si>
  <si>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</si>
  <si>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</si>
  <si>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</si>
  <si>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</si>
  <si>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</si>
  <si>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</si>
  <si>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</si>
  <si>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</si>
  <si>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</si>
  <si>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</si>
  <si>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</si>
  <si>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</si>
  <si>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</si>
  <si>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</si>
  <si>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</si>
  <si>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</si>
  <si>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</si>
  <si>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</si>
  <si>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</si>
  <si>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</si>
  <si>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</si>
  <si>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</si>
  <si>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</si>
  <si>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</si>
  <si>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</si>
  <si>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</si>
  <si>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</si>
  <si>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</si>
  <si>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</si>
  <si>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</si>
  <si>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</si>
  <si>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</si>
  <si>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</si>
  <si>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</si>
  <si>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</si>
  <si>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</si>
  <si>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</si>
  <si>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</si>
  <si>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</si>
  <si>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</si>
  <si>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</si>
  <si>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</si>
  <si>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</si>
  <si>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</si>
  <si>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</si>
  <si>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</si>
  <si>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</si>
  <si>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</si>
  <si>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</si>
  <si>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</si>
  <si>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</si>
  <si>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</si>
  <si>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</si>
  <si>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</si>
  <si>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</si>
  <si>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</si>
  <si>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</si>
  <si>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</si>
  <si>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</si>
  <si>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</si>
  <si>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</si>
  <si>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</si>
  <si>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</si>
  <si>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</si>
  <si>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</si>
  <si>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</si>
  <si>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</si>
  <si>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</si>
  <si>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</si>
  <si>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</si>
  <si>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</si>
  <si>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</si>
  <si>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</si>
  <si>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</si>
  <si>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</si>
  <si>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</si>
  <si>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</si>
  <si>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</si>
  <si>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</si>
  <si>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</si>
  <si>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</si>
  <si>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</si>
  <si>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</si>
  <si>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</si>
  <si>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</si>
  <si>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</si>
  <si>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</si>
  <si>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</si>
  <si>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</si>
  <si>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</si>
  <si>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</si>
  <si>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</si>
  <si>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</si>
  <si>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</si>
  <si>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</si>
  <si>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</si>
  <si>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</si>
  <si>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</si>
  <si>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</si>
  <si>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</si>
  <si>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</si>
  <si>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</si>
  <si>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</si>
  <si>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</si>
  <si>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</si>
  <si>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</si>
  <si>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</si>
  <si>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</si>
  <si>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</si>
  <si>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</si>
  <si>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</si>
  <si>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</si>
  <si>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</si>
  <si>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</si>
  <si>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</si>
  <si>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</si>
  <si>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</si>
  <si>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</si>
  <si>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</si>
  <si>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</si>
  <si>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</si>
  <si>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</si>
  <si>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</si>
  <si>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</si>
  <si>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</si>
  <si>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</si>
  <si>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</si>
  <si>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</si>
  <si>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</si>
  <si>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</si>
  <si>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</si>
  <si>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</si>
  <si>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</si>
  <si>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</si>
  <si>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</si>
  <si>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</si>
  <si>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</si>
  <si>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</si>
  <si>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</si>
  <si>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</si>
  <si>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</si>
  <si>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</si>
  <si>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</si>
  <si>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</si>
  <si>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</si>
  <si>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</si>
  <si>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</si>
  <si>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</si>
  <si>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</si>
  <si>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</si>
  <si>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</si>
  <si>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</si>
  <si>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</si>
  <si>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</si>
  <si>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</si>
  <si>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</si>
  <si>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</si>
  <si>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</si>
  <si>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</si>
  <si>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</si>
  <si>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</si>
  <si>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</si>
  <si>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</si>
  <si>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</si>
  <si>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</si>
  <si>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</si>
  <si>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</si>
  <si>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</si>
  <si>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</si>
  <si>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</si>
  <si>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</si>
  <si>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</si>
  <si>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</si>
  <si>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</si>
  <si>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</si>
  <si>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</si>
  <si>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</si>
  <si>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</si>
  <si>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</si>
  <si>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</si>
  <si>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</si>
  <si>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</si>
  <si>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</si>
  <si>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</si>
  <si>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</si>
  <si>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</si>
  <si>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</si>
  <si>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</si>
  <si>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</si>
  <si>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</si>
  <si>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</si>
  <si>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</si>
  <si>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</si>
  <si>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</si>
  <si>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</si>
  <si>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</si>
  <si>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</si>
  <si>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</si>
  <si>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</si>
  <si>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</si>
  <si>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</si>
  <si>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</si>
  <si>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</si>
  <si>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</si>
  <si>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</si>
  <si>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</si>
  <si>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</si>
  <si>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</si>
  <si>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</si>
  <si>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</si>
  <si>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</si>
  <si>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</si>
  <si>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</si>
  <si>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</si>
  <si>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</si>
  <si>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</si>
  <si>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</si>
  <si>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</si>
  <si>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</si>
  <si>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</si>
  <si>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</si>
  <si>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</si>
  <si>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</si>
  <si>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</si>
  <si>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</si>
  <si>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</si>
  <si>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</si>
  <si>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</si>
  <si>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</si>
  <si>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</si>
  <si>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</si>
  <si>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</si>
  <si>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</si>
  <si>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</si>
  <si>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</si>
  <si>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</si>
  <si>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</si>
  <si>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</si>
  <si>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</si>
  <si>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</si>
  <si>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</si>
  <si>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</si>
  <si>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</si>
  <si>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</si>
  <si>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</si>
  <si>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</si>
  <si>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</si>
  <si>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</si>
  <si>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</si>
  <si>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</si>
  <si>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</si>
  <si>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</si>
  <si>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</si>
  <si>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</si>
  <si>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</si>
  <si>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</si>
  <si>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</si>
  <si>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</si>
  <si>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</si>
  <si>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</si>
  <si>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</si>
  <si>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</si>
  <si>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</si>
  <si>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</si>
  <si>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</si>
  <si>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</si>
  <si>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</si>
  <si>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</si>
  <si>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</si>
  <si>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</si>
  <si>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</si>
  <si>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</si>
  <si>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</si>
  <si>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</si>
  <si>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</si>
  <si>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</si>
  <si>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</si>
  <si>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</si>
  <si>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</si>
  <si>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</si>
  <si>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</si>
  <si>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</si>
  <si>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</si>
  <si>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</si>
  <si>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</si>
  <si>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</si>
  <si>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</si>
  <si>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</si>
  <si>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</si>
  <si>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</si>
  <si>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</si>
  <si>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</si>
  <si>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</si>
  <si>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</si>
  <si>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</si>
  <si>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</si>
  <si>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</si>
  <si>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</si>
  <si>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</si>
  <si>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</si>
  <si>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</si>
  <si>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</si>
  <si>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</si>
  <si>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</si>
  <si>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</si>
  <si>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</si>
  <si>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</si>
  <si>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</si>
  <si>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</si>
  <si>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</si>
  <si>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</si>
  <si>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</si>
  <si>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</si>
  <si>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</si>
  <si>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</si>
  <si>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</si>
  <si>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</si>
  <si>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</si>
  <si>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</si>
  <si>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</si>
  <si>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</si>
  <si>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</si>
  <si>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</si>
  <si>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</si>
  <si>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</si>
  <si>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</si>
  <si>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</si>
  <si>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</si>
  <si>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</si>
  <si>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</si>
  <si>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</si>
  <si>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</si>
  <si>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</si>
  <si>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</si>
  <si>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</si>
  <si>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</si>
  <si>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</si>
  <si>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</si>
  <si>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</si>
  <si>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</si>
  <si>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</si>
  <si>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</si>
  <si>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</si>
  <si>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</si>
  <si>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</si>
  <si>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</si>
  <si>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</si>
  <si>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</si>
  <si>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</si>
  <si>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</si>
  <si>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</si>
  <si>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</si>
  <si>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</si>
  <si>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</si>
  <si>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</si>
  <si>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</si>
  <si>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</si>
  <si>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</si>
  <si>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</si>
  <si>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</si>
  <si>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</si>
  <si>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</si>
  <si>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</si>
  <si>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</si>
  <si>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</si>
  <si>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</si>
  <si>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</si>
  <si>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</si>
  <si>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</si>
  <si>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</si>
  <si>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</si>
  <si>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</si>
  <si>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</si>
  <si>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</si>
  <si>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</si>
  <si>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</si>
  <si>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</si>
  <si>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</si>
  <si>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</si>
  <si>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</si>
  <si>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</si>
  <si>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</si>
  <si>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</si>
  <si>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</si>
  <si>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</si>
  <si>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</si>
  <si>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</si>
  <si>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</si>
  <si>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</si>
  <si>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</si>
  <si>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</si>
  <si>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</si>
  <si>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</si>
  <si>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</si>
  <si>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</si>
  <si>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</si>
  <si>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</si>
  <si>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</si>
  <si>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</si>
  <si>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</si>
  <si>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</si>
  <si>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</si>
  <si>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</si>
  <si>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</si>
  <si>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</si>
  <si>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</si>
  <si>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</si>
  <si>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</si>
  <si>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</si>
  <si>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</si>
  <si>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</si>
  <si>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</si>
  <si>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</si>
  <si>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</si>
  <si>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</si>
  <si>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</si>
  <si>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</si>
  <si>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</si>
  <si>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</si>
  <si>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</si>
  <si>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</si>
  <si>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</si>
  <si>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</si>
  <si>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</si>
  <si>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</si>
  <si>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</si>
  <si>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</si>
  <si>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</si>
  <si>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</si>
  <si>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</si>
  <si>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</si>
  <si>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</si>
  <si>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</si>
  <si>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</si>
  <si>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</si>
  <si>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</si>
  <si>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</si>
  <si>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</si>
  <si>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</si>
  <si>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</si>
  <si>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</si>
  <si>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</si>
  <si>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</si>
  <si>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</si>
  <si>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</si>
  <si>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</si>
  <si>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</si>
  <si>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</si>
  <si>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</si>
  <si>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</si>
  <si>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</si>
  <si>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</si>
  <si>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</si>
  <si>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</si>
  <si>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</si>
  <si>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</si>
  <si>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</si>
  <si>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</si>
  <si>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</si>
  <si>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</si>
  <si>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</si>
  <si>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</si>
  <si>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</si>
  <si>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</si>
  <si>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</si>
  <si>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</si>
  <si>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</si>
  <si>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</si>
  <si>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</si>
  <si>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</si>
  <si>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</si>
  <si>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</si>
  <si>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</si>
  <si>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</si>
  <si>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</si>
  <si>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</si>
  <si>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</si>
  <si>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</si>
  <si>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</si>
  <si>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</si>
  <si>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</si>
  <si>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</si>
  <si>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</si>
  <si>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</si>
  <si>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</si>
  <si>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</si>
  <si>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</si>
  <si>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</si>
  <si>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</si>
  <si>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</si>
  <si>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</si>
  <si>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</si>
  <si>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</si>
  <si>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</si>
  <si>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</si>
  <si>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</si>
  <si>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</si>
  <si>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</si>
  <si>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</si>
  <si>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</si>
  <si>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</si>
  <si>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</si>
  <si>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</si>
  <si>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</si>
  <si>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</si>
  <si>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</si>
  <si>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</si>
  <si>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</si>
  <si>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</si>
  <si>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</si>
  <si>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</si>
  <si>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</si>
  <si>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</si>
  <si>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</si>
  <si>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</si>
  <si>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</si>
  <si>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</si>
  <si>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</si>
  <si>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</si>
  <si>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</si>
  <si>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</si>
  <si>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</si>
  <si>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</si>
  <si>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</si>
  <si>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</si>
  <si>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</si>
  <si>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</si>
  <si>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</si>
  <si>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</si>
  <si>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</si>
  <si>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</si>
  <si>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</si>
  <si>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</si>
  <si>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</si>
  <si>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</si>
  <si>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</si>
  <si>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</si>
  <si>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</si>
  <si>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</si>
  <si>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</si>
  <si>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</si>
  <si>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</si>
  <si>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</si>
  <si>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</si>
  <si>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</si>
  <si>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</si>
  <si>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</si>
  <si>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</si>
  <si>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</si>
  <si>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</si>
  <si>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</si>
  <si>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</si>
  <si>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</si>
  <si>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</si>
  <si>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</si>
  <si>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</si>
  <si>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</si>
  <si>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</si>
  <si>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</si>
  <si>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</si>
  <si>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</si>
  <si>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</si>
  <si>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</si>
  <si>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</si>
  <si>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</si>
  <si>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</si>
  <si>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</si>
  <si>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</si>
  <si>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</si>
  <si>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</si>
  <si>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</si>
  <si>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</si>
  <si>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</si>
  <si>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</si>
  <si>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</si>
  <si>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</si>
  <si>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</si>
  <si>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</si>
  <si>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</si>
  <si>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</si>
  <si>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</si>
  <si>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</si>
  <si>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</si>
  <si>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</si>
  <si>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</si>
  <si>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</si>
  <si>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</si>
  <si>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</si>
  <si>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</si>
  <si>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</si>
  <si>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</si>
  <si>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</si>
  <si>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</si>
  <si>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</si>
  <si>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</si>
  <si>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</si>
  <si>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</si>
  <si>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</si>
  <si>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</si>
  <si>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</si>
  <si>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</si>
  <si>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</si>
  <si>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</si>
  <si>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</si>
  <si>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</si>
  <si>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</si>
  <si>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</si>
  <si>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</si>
  <si>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</si>
  <si>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</si>
  <si>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</si>
  <si>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</si>
  <si>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</si>
  <si>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</si>
  <si>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</si>
  <si>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</si>
  <si>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</si>
  <si>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</si>
  <si>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</si>
  <si>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</si>
  <si>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</si>
  <si>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</si>
  <si>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</si>
  <si>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</si>
  <si>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</si>
  <si>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</si>
  <si>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</si>
  <si>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</si>
  <si>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</si>
  <si>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</si>
  <si>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</si>
  <si>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</si>
  <si>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</si>
  <si>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</si>
  <si>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</si>
  <si>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</si>
  <si>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</si>
  <si>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</si>
  <si>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</si>
  <si>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</si>
  <si>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</si>
  <si>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</si>
  <si>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</si>
  <si>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</si>
  <si>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</si>
  <si>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</si>
  <si>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</si>
  <si>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</si>
  <si>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</si>
  <si>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</si>
  <si>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</si>
  <si>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</si>
  <si>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</si>
  <si>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</si>
  <si>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</si>
  <si>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</si>
  <si>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</si>
  <si>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</si>
  <si>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</si>
  <si>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</si>
  <si>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</si>
  <si>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</si>
  <si>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</si>
  <si>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</si>
  <si>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</si>
  <si>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</si>
  <si>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</si>
  <si>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</si>
  <si>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</si>
  <si>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</si>
  <si>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</si>
  <si>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</si>
  <si>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</si>
  <si>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</si>
  <si>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</si>
  <si>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</si>
  <si>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</si>
  <si>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</si>
  <si>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</si>
  <si>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</si>
  <si>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</si>
  <si>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</si>
  <si>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</si>
  <si>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</si>
  <si>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</si>
  <si>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</si>
  <si>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</si>
  <si>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</si>
  <si>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</si>
  <si>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</si>
  <si>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</si>
  <si>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</si>
  <si>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</si>
  <si>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</si>
  <si>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</si>
  <si>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</si>
  <si>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</si>
  <si>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</si>
  <si>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</si>
  <si>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</si>
  <si>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</si>
  <si>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</si>
  <si>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</si>
  <si>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</si>
  <si>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</si>
  <si>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</si>
  <si>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</si>
  <si>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</si>
  <si>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</si>
  <si>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</si>
  <si>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</si>
  <si>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</si>
  <si>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</si>
  <si>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</si>
  <si>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</si>
  <si>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</si>
  <si>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</si>
  <si>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</si>
  <si>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</si>
  <si>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</si>
  <si>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</si>
  <si>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</si>
  <si>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</si>
  <si>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</si>
  <si>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</si>
  <si>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</si>
  <si>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</si>
  <si>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</si>
  <si>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</si>
  <si>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</si>
  <si>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</si>
  <si>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</si>
  <si>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</si>
  <si>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</si>
  <si>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</si>
  <si>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</si>
  <si>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</si>
  <si>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</si>
  <si>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</si>
  <si>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</si>
  <si>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</si>
  <si>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</si>
  <si>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</si>
  <si>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</si>
  <si>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</si>
  <si>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</si>
  <si>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</si>
  <si>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</si>
  <si>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</si>
  <si>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</si>
  <si>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</si>
  <si>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</si>
  <si>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</si>
  <si>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</si>
  <si>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</si>
  <si>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</si>
  <si>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</si>
  <si>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</si>
  <si>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</si>
  <si>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</si>
  <si>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</si>
  <si>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</si>
  <si>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</si>
  <si>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</si>
  <si>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</si>
  <si>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</si>
  <si>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</si>
  <si>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</si>
  <si>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</si>
  <si>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</si>
  <si>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</si>
  <si>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</si>
  <si>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</si>
  <si>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</si>
  <si>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</si>
  <si>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</si>
  <si>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</si>
  <si>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</si>
  <si>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</si>
  <si>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</si>
  <si>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</si>
  <si>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</si>
  <si>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</si>
  <si>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</si>
  <si>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</si>
  <si>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</si>
  <si>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</si>
  <si>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</si>
  <si>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</si>
  <si>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</si>
  <si>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</si>
  <si>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</si>
  <si>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</si>
  <si>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</si>
  <si>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</si>
  <si>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</si>
  <si>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</si>
  <si>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</si>
  <si>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</si>
  <si>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</si>
  <si>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</si>
  <si>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</si>
  <si>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</si>
  <si>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</si>
  <si>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</si>
  <si>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</si>
  <si>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</si>
  <si>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</si>
  <si>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</si>
  <si>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</si>
  <si>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</si>
  <si>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</si>
  <si>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</si>
  <si>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</si>
  <si>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</si>
  <si>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</si>
  <si>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</si>
  <si>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</si>
  <si>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</si>
  <si>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</si>
  <si>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</si>
  <si>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</si>
  <si>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</si>
  <si>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</si>
  <si>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</si>
  <si>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</si>
  <si>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</si>
  <si>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</si>
  <si>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</si>
  <si>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</si>
  <si>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</si>
  <si>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</si>
  <si>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</si>
  <si>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</si>
  <si>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</si>
  <si>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</si>
  <si>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</si>
  <si>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</si>
  <si>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</si>
  <si>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</si>
  <si>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</si>
  <si>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</si>
  <si>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</si>
  <si>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</si>
  <si>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</si>
  <si>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</si>
  <si>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</si>
  <si>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</si>
  <si>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</si>
  <si>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</si>
  <si>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</si>
  <si>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</si>
  <si>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</si>
  <si>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</si>
  <si>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</si>
  <si>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</si>
  <si>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</si>
  <si>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</si>
  <si>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</si>
  <si>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</si>
  <si>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</si>
  <si>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</si>
  <si>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</si>
  <si>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</si>
  <si>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</si>
  <si>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</si>
  <si>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</si>
  <si>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</si>
  <si>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</si>
  <si>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</si>
  <si>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</si>
  <si>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</si>
  <si>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</si>
  <si>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</si>
  <si>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</si>
  <si>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</si>
  <si>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</si>
  <si>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</si>
  <si>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</si>
  <si>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</si>
  <si>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</si>
  <si>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</si>
  <si>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</si>
  <si>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</si>
  <si>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</si>
  <si>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</si>
  <si>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</si>
  <si>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</si>
  <si>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</si>
  <si>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</si>
  <si>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</si>
  <si>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</si>
  <si>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</si>
  <si>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</si>
  <si>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</si>
  <si>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</si>
  <si>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</si>
  <si>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</si>
  <si>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</si>
  <si>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</si>
  <si>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</si>
  <si>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</si>
  <si>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</si>
  <si>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</si>
  <si>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</si>
  <si>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</si>
  <si>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</si>
  <si>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</si>
  <si>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</si>
  <si>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</si>
  <si>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</si>
  <si>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</si>
  <si>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</si>
  <si>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</si>
  <si>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</si>
  <si>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</si>
  <si>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</si>
  <si>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</si>
  <si>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</si>
  <si>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</si>
  <si>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</si>
  <si>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</si>
  <si>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</si>
  <si>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</si>
  <si>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</si>
  <si>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</si>
  <si>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</si>
  <si>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</si>
  <si>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</si>
  <si>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</si>
  <si>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</si>
  <si>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</si>
  <si>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</si>
  <si>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</si>
  <si>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</si>
  <si>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</si>
  <si>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</si>
  <si>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</si>
  <si>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</si>
  <si>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</si>
  <si>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</si>
  <si>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</si>
  <si>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</si>
  <si>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</si>
  <si>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</si>
  <si>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</si>
  <si>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</si>
  <si>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</si>
  <si>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</si>
  <si>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</si>
  <si>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</si>
  <si>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</si>
  <si>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</si>
  <si>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</si>
  <si>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</si>
  <si>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</si>
  <si>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</si>
  <si>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</si>
  <si>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</si>
  <si>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</si>
  <si>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</si>
  <si>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</si>
  <si>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</si>
  <si>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</si>
  <si>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</si>
  <si>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</si>
  <si>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</si>
  <si>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</si>
  <si>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</si>
  <si>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</si>
  <si>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</si>
  <si>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</si>
  <si>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</si>
  <si>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</si>
  <si>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</si>
  <si>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</si>
  <si>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</si>
  <si>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</si>
  <si>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</si>
  <si>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</si>
  <si>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</si>
  <si>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</si>
  <si>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</si>
  <si>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</si>
  <si>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</si>
  <si>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</si>
  <si>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</si>
  <si>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</si>
  <si>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</si>
  <si>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</si>
  <si>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</si>
  <si>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</si>
  <si>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</si>
  <si>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</si>
  <si>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</si>
  <si>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</si>
  <si>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</si>
  <si>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</si>
  <si>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</si>
  <si>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</si>
  <si>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</si>
  <si>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</si>
  <si>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</si>
  <si>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</si>
  <si>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</si>
  <si>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</si>
  <si>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</si>
  <si>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</si>
  <si>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</si>
  <si>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</si>
  <si>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</si>
  <si>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</si>
  <si>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</si>
  <si>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</si>
  <si>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</si>
  <si>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</si>
  <si>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</si>
  <si>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</si>
  <si>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</si>
  <si>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</si>
  <si>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</si>
  <si>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</si>
  <si>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</si>
  <si>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</si>
  <si>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</si>
  <si>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</si>
  <si>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</si>
  <si>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</si>
  <si>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</si>
  <si>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</si>
  <si>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</si>
  <si>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</si>
  <si>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</si>
  <si>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</si>
  <si>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</si>
  <si>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</si>
  <si>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</si>
  <si>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</si>
  <si>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</si>
  <si>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</si>
  <si>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</si>
  <si>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</si>
  <si>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</si>
  <si>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</si>
  <si>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</si>
  <si>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</si>
  <si>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</si>
  <si>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</si>
  <si>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</si>
  <si>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</si>
  <si>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</si>
  <si>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</si>
  <si>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</si>
  <si>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</si>
  <si>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</si>
  <si>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</si>
  <si>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</si>
  <si>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</si>
  <si>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</si>
  <si>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</si>
  <si>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</si>
  <si>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</si>
  <si>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</si>
  <si>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</si>
  <si>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</si>
  <si>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</si>
  <si>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</si>
  <si>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</si>
  <si>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</si>
  <si>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</si>
  <si>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</si>
  <si>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</si>
  <si>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</si>
  <si>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</si>
  <si>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</si>
  <si>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</si>
  <si>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</si>
  <si>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</si>
  <si>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</si>
  <si>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</si>
  <si>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</si>
  <si>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</si>
  <si>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</si>
  <si>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</si>
  <si>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</si>
  <si>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</si>
  <si>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</si>
  <si>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</si>
  <si>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</si>
  <si>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</si>
  <si>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</si>
  <si>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</si>
  <si>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</si>
  <si>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</si>
  <si>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</si>
  <si>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</si>
  <si>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</si>
  <si>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</si>
  <si>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</si>
  <si>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</si>
  <si>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</si>
  <si>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</si>
  <si>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</si>
  <si>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</si>
  <si>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</si>
  <si>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</si>
  <si>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</si>
  <si>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</si>
  <si>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</si>
  <si>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</si>
  <si>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</si>
  <si>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</si>
  <si>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</si>
  <si>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</si>
  <si>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</si>
  <si>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</si>
  <si>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</si>
  <si>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</si>
  <si>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</si>
  <si>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</si>
  <si>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</si>
  <si>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</si>
  <si>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</si>
  <si>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</si>
  <si>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</si>
  <si>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</si>
  <si>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</si>
  <si>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</si>
  <si>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</si>
  <si>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</si>
  <si>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</si>
  <si>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</si>
  <si>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</si>
  <si>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</si>
  <si>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</si>
  <si>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</si>
  <si>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</si>
  <si>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</si>
  <si>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</si>
  <si>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</si>
  <si>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</si>
  <si>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</si>
  <si>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</si>
  <si>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</si>
  <si>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</si>
  <si>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</si>
  <si>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</si>
  <si>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</si>
  <si>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</si>
  <si>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</si>
  <si>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</si>
  <si>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</si>
  <si>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</si>
  <si>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</si>
  <si>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</si>
  <si>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</si>
  <si>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</si>
  <si>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</si>
  <si>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</si>
  <si>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</si>
  <si>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</si>
  <si>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</si>
  <si>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</si>
  <si>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</si>
  <si>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</si>
  <si>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</si>
  <si>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</si>
  <si>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</si>
  <si>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</si>
  <si>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</si>
  <si>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</si>
  <si>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</si>
  <si>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</si>
  <si>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</si>
  <si>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</si>
  <si>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</si>
  <si>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</si>
  <si>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</si>
  <si>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</si>
  <si>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</si>
  <si>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</si>
  <si>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</si>
  <si>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</si>
  <si>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</si>
  <si>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</si>
  <si>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</si>
  <si>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</si>
  <si>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</si>
  <si>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</si>
  <si>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</si>
  <si>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</si>
  <si>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</si>
  <si>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</si>
  <si>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</si>
  <si>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</si>
  <si>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</si>
  <si>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</si>
  <si>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</si>
  <si>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</si>
  <si>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</si>
  <si>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</si>
  <si>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</si>
  <si>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</si>
  <si>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</si>
  <si>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</si>
  <si>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</si>
  <si>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</si>
  <si>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</si>
  <si>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</si>
  <si>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</si>
  <si>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</si>
  <si>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</si>
  <si>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</si>
  <si>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</si>
  <si>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</si>
  <si>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</si>
  <si>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</si>
  <si>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</si>
  <si>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</si>
  <si>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</si>
  <si>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</si>
  <si>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</si>
  <si>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</si>
  <si>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</si>
  <si>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</si>
  <si>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</si>
  <si>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</si>
  <si>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</si>
  <si>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</si>
  <si>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</si>
  <si>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</si>
  <si>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</si>
  <si>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</si>
  <si>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</si>
  <si>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</si>
  <si>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</si>
  <si>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</si>
  <si>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</si>
  <si>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</si>
  <si>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</si>
  <si>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</si>
  <si>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</si>
  <si>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</si>
  <si>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</si>
  <si>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</si>
  <si>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</si>
  <si>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</si>
  <si>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</si>
  <si>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</si>
  <si>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</si>
  <si>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</si>
  <si>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</si>
  <si>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</si>
  <si>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</si>
  <si>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</si>
  <si>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</si>
  <si>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</si>
  <si>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</si>
  <si>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</si>
  <si>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</si>
  <si>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</si>
  <si>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</si>
  <si>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</si>
  <si>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</si>
  <si>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</si>
  <si>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</si>
  <si>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</si>
  <si>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</si>
  <si>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</si>
  <si>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</si>
  <si>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</si>
  <si>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</si>
  <si>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</si>
  <si>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</si>
  <si>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</si>
  <si>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</si>
  <si>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</si>
  <si>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</si>
  <si>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</si>
  <si>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</si>
  <si>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</si>
  <si>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</si>
  <si>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</si>
  <si>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</si>
  <si>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</si>
  <si>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</si>
  <si>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</si>
  <si>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</si>
  <si>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</si>
  <si>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</si>
  <si>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</si>
  <si>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</si>
  <si>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</si>
  <si>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</si>
  <si>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</si>
  <si>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</si>
  <si>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</si>
  <si>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</si>
  <si>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</si>
  <si>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</si>
  <si>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</si>
  <si>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</si>
  <si>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</si>
  <si>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</si>
  <si>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</si>
  <si>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</si>
  <si>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</si>
  <si>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</si>
  <si>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</si>
  <si>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</si>
  <si>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</si>
  <si>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</si>
  <si>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</si>
  <si>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</si>
  <si>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</si>
  <si>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</si>
  <si>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</si>
  <si>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</si>
  <si>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</si>
  <si>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</si>
  <si>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</si>
  <si>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</si>
  <si>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</si>
  <si>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</si>
  <si>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</si>
  <si>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</si>
  <si>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</si>
  <si>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</si>
  <si>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</si>
  <si>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</si>
  <si>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</si>
  <si>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</si>
  <si>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</si>
  <si>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</si>
  <si>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</si>
  <si>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</si>
  <si>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</si>
  <si>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</si>
  <si>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</si>
  <si>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</si>
  <si>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</si>
  <si>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</si>
  <si>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</si>
  <si>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</si>
  <si>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</si>
  <si>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</si>
  <si>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</si>
  <si>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</si>
  <si>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</si>
  <si>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</si>
  <si>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</si>
  <si>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</si>
  <si>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</si>
  <si>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</si>
  <si>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</si>
  <si>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</si>
  <si>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</si>
  <si>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</si>
  <si>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</si>
  <si>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</si>
  <si>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</si>
  <si>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</si>
  <si>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</si>
  <si>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</si>
  <si>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</si>
  <si>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</si>
  <si>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</si>
  <si>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</si>
  <si>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</si>
  <si>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</si>
  <si>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</si>
  <si>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</si>
  <si>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</si>
  <si>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</si>
  <si>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</si>
  <si>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</si>
  <si>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</si>
  <si>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</si>
  <si>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</si>
  <si>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</si>
  <si>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</si>
  <si>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</si>
  <si>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</si>
  <si>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</si>
  <si>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</si>
  <si>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</si>
  <si>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</si>
  <si>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</si>
  <si>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</si>
  <si>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</si>
  <si>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</si>
  <si>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</si>
  <si>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</si>
  <si>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</si>
  <si>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</si>
  <si>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</si>
  <si>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</si>
  <si>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</si>
  <si>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</si>
  <si>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</si>
  <si>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</si>
  <si>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</si>
  <si>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</si>
  <si>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</si>
  <si>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</si>
  <si>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</si>
  <si>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</si>
  <si>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</si>
  <si>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</si>
  <si>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</si>
  <si>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</si>
  <si>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</si>
  <si>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</si>
  <si>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</si>
  <si>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</si>
  <si>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</si>
  <si>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</si>
  <si>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</si>
  <si>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</si>
  <si>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</si>
  <si>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</si>
  <si>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</si>
  <si>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</si>
  <si>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</si>
  <si>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</si>
  <si>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</si>
  <si>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</si>
  <si>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</si>
  <si>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</si>
  <si>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</si>
  <si>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</si>
  <si>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</si>
  <si>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</si>
  <si>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</si>
  <si>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</si>
  <si>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</si>
  <si>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</si>
  <si>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</si>
  <si>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</si>
  <si>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</si>
  <si>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</si>
  <si>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</si>
  <si>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</si>
  <si>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</si>
  <si>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</si>
  <si>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</si>
  <si>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</si>
  <si>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</si>
  <si>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</si>
  <si>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</si>
  <si>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</si>
  <si>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</si>
  <si>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</si>
  <si>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</si>
  <si>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</si>
  <si>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</si>
  <si>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</si>
  <si>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</si>
  <si>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</si>
  <si>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</si>
  <si>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</si>
  <si>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</si>
  <si>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</si>
  <si>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</si>
  <si>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</si>
  <si>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</si>
  <si>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</si>
  <si>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</si>
  <si>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</si>
  <si>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</si>
  <si>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</si>
  <si>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</si>
  <si>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</si>
  <si>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</si>
  <si>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</si>
  <si>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</si>
  <si>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</si>
  <si>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</si>
  <si>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</si>
  <si>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</si>
  <si>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</si>
  <si>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</si>
  <si>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</si>
  <si>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</si>
  <si>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</si>
  <si>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</si>
  <si>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</si>
  <si>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</si>
  <si>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</si>
  <si>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</si>
  <si>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</si>
  <si>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</si>
  <si>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</si>
  <si>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</si>
  <si>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</si>
  <si>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</si>
  <si>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</si>
  <si>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</si>
  <si>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</si>
  <si>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</si>
  <si>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</si>
  <si>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</si>
  <si>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</si>
  <si>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</si>
  <si>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</si>
  <si>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</si>
  <si>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</si>
  <si>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</si>
  <si>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</si>
  <si>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</si>
  <si>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</si>
  <si>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</si>
  <si>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</si>
  <si>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</si>
  <si>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</si>
  <si>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</si>
  <si>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</si>
  <si>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</si>
  <si>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</si>
  <si>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</si>
  <si>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</si>
  <si>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</si>
  <si>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</si>
  <si>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</si>
  <si>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</si>
  <si>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</si>
  <si>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</si>
  <si>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</si>
  <si>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</si>
  <si>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</si>
  <si>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</si>
  <si>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</si>
  <si>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</si>
  <si>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</si>
  <si>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</si>
  <si>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</si>
  <si>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</si>
  <si>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</si>
  <si>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</si>
  <si>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</si>
  <si>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</si>
  <si>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</si>
  <si>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</si>
  <si>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</si>
  <si>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</si>
  <si>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</si>
  <si>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</si>
  <si>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</si>
  <si>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</si>
  <si>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</si>
  <si>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</si>
  <si>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</si>
  <si>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</si>
  <si>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</si>
  <si>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</si>
  <si>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</si>
  <si>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</si>
  <si>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</si>
  <si>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</si>
  <si>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</si>
  <si>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</si>
  <si>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</si>
  <si>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</si>
  <si>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</si>
  <si>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</si>
  <si>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</si>
  <si>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</si>
  <si>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</si>
  <si>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</si>
  <si>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</si>
  <si>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</si>
  <si>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</si>
  <si>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</si>
  <si>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</si>
  <si>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</si>
  <si>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</si>
  <si>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</si>
  <si>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</si>
  <si>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</si>
  <si>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</si>
  <si>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</si>
  <si>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</si>
  <si>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</si>
  <si>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</si>
  <si>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</si>
  <si>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</si>
  <si>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</si>
  <si>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</si>
  <si>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</si>
  <si>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</si>
  <si>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</si>
  <si>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</si>
  <si>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</si>
  <si>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</si>
  <si>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</si>
  <si>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</si>
  <si>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</si>
  <si>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</si>
  <si>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</si>
  <si>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</si>
  <si>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</si>
  <si>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</si>
  <si>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</si>
  <si>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</si>
  <si>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</si>
  <si>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</si>
  <si>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</si>
  <si>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</si>
  <si>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</si>
  <si>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</si>
  <si>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</si>
  <si>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</si>
  <si>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</si>
  <si>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</si>
  <si>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</si>
  <si>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</si>
  <si>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</si>
  <si>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</si>
  <si>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</si>
  <si>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</si>
  <si>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</si>
  <si>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</si>
  <si>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</si>
  <si>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</si>
  <si>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</si>
  <si>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</si>
  <si>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</si>
  <si>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</si>
  <si>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</si>
  <si>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</si>
  <si>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</si>
  <si>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</si>
  <si>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</si>
  <si>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</si>
  <si>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</si>
  <si>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</si>
  <si>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</si>
  <si>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</si>
  <si>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</si>
  <si>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</si>
  <si>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</si>
  <si>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</si>
  <si>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</si>
  <si>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</si>
  <si>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</si>
  <si>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</si>
  <si>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</si>
  <si>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</si>
  <si>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</si>
  <si>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</si>
  <si>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</si>
  <si>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</si>
  <si>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</si>
  <si>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</si>
  <si>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</si>
  <si>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</si>
  <si>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</si>
  <si>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</si>
  <si>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</si>
  <si>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</si>
  <si>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</si>
  <si>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</si>
  <si>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</si>
  <si>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</si>
  <si>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</si>
  <si>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</si>
  <si>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</si>
  <si>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</si>
  <si>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</si>
  <si>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</si>
  <si>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</si>
  <si>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</si>
  <si>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</si>
  <si>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</si>
  <si>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</si>
  <si>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</si>
  <si>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</si>
  <si>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</si>
  <si>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</si>
  <si>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</si>
  <si>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</si>
  <si>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</si>
  <si>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</si>
  <si>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</si>
  <si>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</si>
  <si>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</si>
  <si>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</si>
  <si>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</si>
  <si>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</si>
  <si>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</si>
  <si>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</si>
  <si>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</si>
  <si>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</si>
  <si>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</si>
  <si>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</si>
  <si>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</si>
  <si>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</si>
  <si>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</si>
  <si>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</si>
  <si>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</si>
  <si>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</si>
  <si>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</si>
  <si>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</si>
  <si>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</si>
  <si>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</si>
  <si>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</si>
  <si>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</si>
  <si>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</si>
  <si>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</si>
  <si>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</si>
  <si>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</si>
  <si>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</si>
  <si>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</si>
  <si>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</si>
  <si>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</si>
  <si>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郑燚</t>
  </si>
  <si>
    <t>王萌</t>
  </si>
  <si>
    <t>西安胤博置业有限公司</t>
    <phoneticPr fontId="6" type="noConversion"/>
  </si>
  <si>
    <t>中信信托有限责任公司</t>
    <phoneticPr fontId="6" type="noConversion"/>
  </si>
  <si>
    <t>抵押</t>
  </si>
  <si>
    <t>房地产抵押价值</t>
  </si>
  <si>
    <t>其他：</t>
  </si>
  <si>
    <t>陕西省西安市</t>
    <phoneticPr fontId="6" type="noConversion"/>
  </si>
  <si>
    <t>新城区华清西路以南、金花北路以西</t>
    <phoneticPr fontId="6" type="noConversion"/>
  </si>
  <si>
    <t>企业</t>
  </si>
  <si>
    <t>出让</t>
  </si>
  <si>
    <r>
      <rPr>
        <sz val="12"/>
        <color theme="9" tint="-0.249977111117893"/>
        <rFont val="宋体"/>
        <family val="3"/>
        <charset val="134"/>
      </rPr>
      <t>住宅</t>
    </r>
    <r>
      <rPr>
        <sz val="12"/>
        <color theme="9" tint="-0.249977111117893"/>
        <rFont val="Arial"/>
        <family val="2"/>
      </rPr>
      <t>69.2</t>
    </r>
    <r>
      <rPr>
        <sz val="12"/>
        <color theme="9" tint="-0.249977111117893"/>
        <rFont val="宋体"/>
        <family val="3"/>
        <charset val="134"/>
      </rPr>
      <t>年，商业</t>
    </r>
    <r>
      <rPr>
        <sz val="12"/>
        <color theme="9" tint="-0.249977111117893"/>
        <rFont val="Arial"/>
        <family val="2"/>
      </rPr>
      <t>39.2</t>
    </r>
    <r>
      <rPr>
        <sz val="12"/>
        <color theme="9" tint="-0.249977111117893"/>
        <rFont val="宋体"/>
        <family val="3"/>
        <charset val="134"/>
      </rPr>
      <t>年，地下车库</t>
    </r>
    <r>
      <rPr>
        <sz val="12"/>
        <color theme="9" tint="-0.249977111117893"/>
        <rFont val="Arial"/>
        <family val="2"/>
      </rPr>
      <t>49.2</t>
    </r>
    <r>
      <rPr>
        <sz val="12"/>
        <color theme="9" tint="-0.249977111117893"/>
        <rFont val="宋体"/>
        <family val="3"/>
        <charset val="134"/>
      </rPr>
      <t>年</t>
    </r>
    <phoneticPr fontId="6" type="noConversion"/>
  </si>
  <si>
    <t>住宅、商业、地下车库</t>
    <phoneticPr fontId="6" type="noConversion"/>
  </si>
  <si>
    <r>
      <rPr>
        <sz val="12"/>
        <color theme="9" tint="-0.249977111117893"/>
        <rFont val="宋体"/>
        <family val="3"/>
        <charset val="134"/>
      </rPr>
      <t>《不动产权证书》</t>
    </r>
    <r>
      <rPr>
        <sz val="12"/>
        <color theme="9" tint="-0.249977111117893"/>
        <rFont val="Arial"/>
        <family val="2"/>
      </rPr>
      <t>[</t>
    </r>
    <r>
      <rPr>
        <sz val="12"/>
        <color theme="9" tint="-0.249977111117893"/>
        <rFont val="宋体"/>
        <family val="3"/>
        <charset val="134"/>
      </rPr>
      <t>陕（</t>
    </r>
    <r>
      <rPr>
        <sz val="12"/>
        <color theme="9" tint="-0.249977111117893"/>
        <rFont val="Arial"/>
        <family val="2"/>
      </rPr>
      <t>2017</t>
    </r>
    <r>
      <rPr>
        <sz val="12"/>
        <color theme="9" tint="-0.249977111117893"/>
        <rFont val="宋体"/>
        <family val="3"/>
        <charset val="134"/>
      </rPr>
      <t>）西安市不动产权第</t>
    </r>
    <r>
      <rPr>
        <sz val="12"/>
        <color theme="9" tint="-0.249977111117893"/>
        <rFont val="Arial"/>
        <family val="2"/>
      </rPr>
      <t>0000405</t>
    </r>
    <r>
      <rPr>
        <sz val="12"/>
        <color theme="9" tint="-0.249977111117893"/>
        <rFont val="宋体"/>
        <family val="3"/>
        <charset val="134"/>
      </rPr>
      <t>号</t>
    </r>
    <r>
      <rPr>
        <sz val="12"/>
        <color theme="9" tint="-0.249977111117893"/>
        <rFont val="Arial"/>
        <family val="2"/>
      </rPr>
      <t>]</t>
    </r>
    <phoneticPr fontId="6" type="noConversion"/>
  </si>
  <si>
    <r>
      <rPr>
        <sz val="12"/>
        <color theme="9" tint="-0.249977111117893"/>
        <rFont val="宋体"/>
        <family val="3"/>
        <charset val="134"/>
      </rPr>
      <t>《建设工程规划许可证》</t>
    </r>
    <r>
      <rPr>
        <sz val="12"/>
        <color theme="9" tint="-0.249977111117893"/>
        <rFont val="Arial"/>
        <family val="2"/>
      </rPr>
      <t>[</t>
    </r>
    <r>
      <rPr>
        <sz val="12"/>
        <color theme="9" tint="-0.249977111117893"/>
        <rFont val="宋体"/>
        <family val="3"/>
        <charset val="134"/>
      </rPr>
      <t>西规建字第（</t>
    </r>
    <r>
      <rPr>
        <sz val="12"/>
        <color theme="9" tint="-0.249977111117893"/>
        <rFont val="Arial"/>
        <family val="2"/>
      </rPr>
      <t>2017</t>
    </r>
    <r>
      <rPr>
        <sz val="12"/>
        <color theme="9" tint="-0.249977111117893"/>
        <rFont val="宋体"/>
        <family val="3"/>
        <charset val="134"/>
      </rPr>
      <t>）</t>
    </r>
    <r>
      <rPr>
        <sz val="12"/>
        <color theme="9" tint="-0.249977111117893"/>
        <rFont val="Arial"/>
        <family val="2"/>
      </rPr>
      <t>022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、《房屋预售备案面积测算报告》</t>
    </r>
    <r>
      <rPr>
        <sz val="12"/>
        <color theme="9" tint="-0.249977111117893"/>
        <rFont val="Arial"/>
        <family val="2"/>
      </rPr>
      <t>[</t>
    </r>
    <r>
      <rPr>
        <sz val="12"/>
        <color theme="9" tint="-0.249977111117893"/>
        <rFont val="宋体"/>
        <family val="3"/>
        <charset val="134"/>
      </rPr>
      <t>图文代码：</t>
    </r>
    <r>
      <rPr>
        <sz val="12"/>
        <color theme="9" tint="-0.249977111117893"/>
        <rFont val="Arial"/>
        <family val="2"/>
      </rPr>
      <t>GFS8#3</t>
    </r>
    <r>
      <rPr>
        <sz val="12"/>
        <color theme="9" tint="-0.249977111117893"/>
        <rFont val="宋体"/>
        <family val="3"/>
        <charset val="134"/>
      </rPr>
      <t>、</t>
    </r>
    <r>
      <rPr>
        <sz val="12"/>
        <color theme="9" tint="-0.249977111117893"/>
        <rFont val="Arial"/>
        <family val="2"/>
      </rPr>
      <t>4</t>
    </r>
    <r>
      <rPr>
        <sz val="12"/>
        <color theme="9" tint="-0.249977111117893"/>
        <rFont val="宋体"/>
        <family val="3"/>
        <charset val="134"/>
      </rPr>
      <t>、</t>
    </r>
    <r>
      <rPr>
        <sz val="12"/>
        <color theme="9" tint="-0.249977111117893"/>
        <rFont val="Arial"/>
        <family val="2"/>
      </rPr>
      <t>5]</t>
    </r>
    <phoneticPr fontId="6" type="noConversion"/>
  </si>
  <si>
    <t>已注销及未注销</t>
  </si>
  <si>
    <t>否</t>
  </si>
  <si>
    <t>是</t>
  </si>
  <si>
    <t>《不动产权证书》</t>
  </si>
  <si>
    <t>居住项目</t>
  </si>
  <si>
    <t>无</t>
  </si>
  <si>
    <t>在建</t>
  </si>
  <si>
    <t>-</t>
  </si>
  <si>
    <t>通路</t>
  </si>
  <si>
    <t>通电</t>
  </si>
  <si>
    <t>通讯</t>
  </si>
  <si>
    <t>通上水</t>
  </si>
  <si>
    <t>通下水</t>
  </si>
  <si>
    <t>燃气</t>
  </si>
  <si>
    <t>通热</t>
  </si>
  <si>
    <r>
      <t>1</t>
    </r>
    <r>
      <rPr>
        <sz val="10"/>
        <color indexed="8"/>
        <rFont val="宋体"/>
        <family val="3"/>
        <charset val="134"/>
      </rPr>
      <t>号楼</t>
    </r>
    <phoneticPr fontId="3" type="noConversion"/>
  </si>
  <si>
    <t>地上</t>
  </si>
  <si>
    <t>住宅</t>
  </si>
  <si>
    <t>平层住宅</t>
  </si>
  <si>
    <t>地下</t>
  </si>
  <si>
    <t>车库</t>
  </si>
  <si>
    <r>
      <t>2</t>
    </r>
    <r>
      <rPr>
        <sz val="10"/>
        <color indexed="8"/>
        <rFont val="宋体"/>
        <family val="3"/>
        <charset val="134"/>
      </rPr>
      <t>号楼</t>
    </r>
    <phoneticPr fontId="3" type="noConversion"/>
  </si>
  <si>
    <r>
      <t>3</t>
    </r>
    <r>
      <rPr>
        <sz val="10"/>
        <color indexed="8"/>
        <rFont val="宋体"/>
        <family val="3"/>
        <charset val="134"/>
      </rPr>
      <t>号楼</t>
    </r>
    <phoneticPr fontId="3" type="noConversion"/>
  </si>
  <si>
    <r>
      <t>4</t>
    </r>
    <r>
      <rPr>
        <sz val="10"/>
        <color indexed="8"/>
        <rFont val="宋体"/>
        <family val="3"/>
        <charset val="134"/>
      </rPr>
      <t>号楼</t>
    </r>
    <phoneticPr fontId="3" type="noConversion"/>
  </si>
  <si>
    <r>
      <t>5</t>
    </r>
    <r>
      <rPr>
        <sz val="10"/>
        <color indexed="8"/>
        <rFont val="宋体"/>
        <family val="3"/>
        <charset val="134"/>
      </rPr>
      <t>号楼</t>
    </r>
    <phoneticPr fontId="3" type="noConversion"/>
  </si>
  <si>
    <r>
      <t>6</t>
    </r>
    <r>
      <rPr>
        <sz val="11"/>
        <color indexed="8"/>
        <rFont val="宋体"/>
        <family val="3"/>
        <charset val="134"/>
      </rPr>
      <t>号楼</t>
    </r>
    <phoneticPr fontId="3" type="noConversion"/>
  </si>
  <si>
    <r>
      <t>7</t>
    </r>
    <r>
      <rPr>
        <sz val="11"/>
        <color indexed="8"/>
        <rFont val="宋体"/>
        <family val="3"/>
        <charset val="134"/>
      </rPr>
      <t>号楼</t>
    </r>
    <phoneticPr fontId="3" type="noConversion"/>
  </si>
  <si>
    <r>
      <t>8</t>
    </r>
    <r>
      <rPr>
        <sz val="11"/>
        <color indexed="8"/>
        <rFont val="宋体"/>
        <family val="3"/>
        <charset val="134"/>
      </rPr>
      <t>号楼</t>
    </r>
    <phoneticPr fontId="3" type="noConversion"/>
  </si>
  <si>
    <r>
      <t>9</t>
    </r>
    <r>
      <rPr>
        <sz val="11"/>
        <color indexed="8"/>
        <rFont val="宋体"/>
        <family val="3"/>
        <charset val="134"/>
      </rPr>
      <t>号楼</t>
    </r>
    <phoneticPr fontId="3" type="noConversion"/>
  </si>
  <si>
    <r>
      <t>10</t>
    </r>
    <r>
      <rPr>
        <sz val="11"/>
        <color indexed="8"/>
        <rFont val="宋体"/>
        <family val="3"/>
        <charset val="134"/>
      </rPr>
      <t>号楼</t>
    </r>
    <phoneticPr fontId="3" type="noConversion"/>
  </si>
  <si>
    <r>
      <t>11</t>
    </r>
    <r>
      <rPr>
        <sz val="11"/>
        <color indexed="8"/>
        <rFont val="宋体"/>
        <family val="3"/>
        <charset val="134"/>
      </rPr>
      <t>号楼</t>
    </r>
    <phoneticPr fontId="3" type="noConversion"/>
  </si>
  <si>
    <r>
      <t>12</t>
    </r>
    <r>
      <rPr>
        <sz val="11"/>
        <color indexed="8"/>
        <rFont val="宋体"/>
        <family val="3"/>
        <charset val="134"/>
      </rPr>
      <t>号楼</t>
    </r>
    <phoneticPr fontId="3" type="noConversion"/>
  </si>
  <si>
    <t>地下车库</t>
    <phoneticPr fontId="3" type="noConversion"/>
  </si>
  <si>
    <t>地下车库</t>
    <phoneticPr fontId="7" type="noConversion"/>
  </si>
  <si>
    <t>2号楼</t>
  </si>
  <si>
    <t>2号楼</t>
    <phoneticPr fontId="7" type="noConversion"/>
  </si>
  <si>
    <r>
      <t>5</t>
    </r>
    <r>
      <rPr>
        <sz val="11"/>
        <color indexed="8"/>
        <rFont val="宋体"/>
        <family val="3"/>
        <charset val="134"/>
      </rPr>
      <t>号楼</t>
    </r>
    <phoneticPr fontId="7" type="noConversion"/>
  </si>
  <si>
    <r>
      <t>6</t>
    </r>
    <r>
      <rPr>
        <sz val="11"/>
        <color indexed="8"/>
        <rFont val="宋体"/>
        <family val="3"/>
        <charset val="134"/>
      </rPr>
      <t>号楼</t>
    </r>
    <phoneticPr fontId="7" type="noConversion"/>
  </si>
  <si>
    <t>3号楼</t>
  </si>
  <si>
    <t>3号楼</t>
    <phoneticPr fontId="7" type="noConversion"/>
  </si>
  <si>
    <r>
      <t>4</t>
    </r>
    <r>
      <rPr>
        <sz val="10"/>
        <color indexed="8"/>
        <rFont val="宋体"/>
        <family val="3"/>
        <charset val="134"/>
      </rPr>
      <t>号楼</t>
    </r>
    <phoneticPr fontId="7" type="noConversion"/>
  </si>
  <si>
    <r>
      <t>7</t>
    </r>
    <r>
      <rPr>
        <sz val="11"/>
        <color indexed="8"/>
        <rFont val="宋体"/>
        <family val="3"/>
        <charset val="134"/>
      </rPr>
      <t>号楼</t>
    </r>
    <phoneticPr fontId="7" type="noConversion"/>
  </si>
  <si>
    <r>
      <t>8</t>
    </r>
    <r>
      <rPr>
        <sz val="11"/>
        <color indexed="8"/>
        <rFont val="宋体"/>
        <family val="3"/>
        <charset val="134"/>
      </rPr>
      <t>号楼</t>
    </r>
    <phoneticPr fontId="7" type="noConversion"/>
  </si>
  <si>
    <t>复印件</t>
  </si>
  <si>
    <t>西安市新城区华清西路以南、金花北路以西</t>
    <phoneticPr fontId="6" type="noConversion"/>
  </si>
  <si>
    <t>其他省市系数</t>
  </si>
  <si>
    <t>正常</t>
  </si>
  <si>
    <t>城镇住宅用地</t>
  </si>
  <si>
    <t>城镇住宅用地</t>
    <phoneticPr fontId="31" type="noConversion"/>
  </si>
  <si>
    <t>较好</t>
  </si>
  <si>
    <t>好</t>
  </si>
  <si>
    <t>七通</t>
  </si>
  <si>
    <t>双面临街</t>
  </si>
  <si>
    <t>高速路</t>
    <phoneticPr fontId="31" type="noConversion"/>
  </si>
  <si>
    <t>快速路</t>
  </si>
  <si>
    <t>快速路</t>
    <phoneticPr fontId="31" type="noConversion"/>
  </si>
  <si>
    <t>主干道</t>
  </si>
  <si>
    <t>主干道</t>
    <phoneticPr fontId="31" type="noConversion"/>
  </si>
  <si>
    <t>次干道</t>
    <phoneticPr fontId="31" type="noConversion"/>
  </si>
  <si>
    <t>支路</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</si>
  <si>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</si>
  <si>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</si>
  <si>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</si>
  <si>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</si>
  <si>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</si>
  <si>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</si>
  <si>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</si>
  <si>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</si>
  <si>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</si>
  <si>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</si>
  <si>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YT7-7-144</t>
    <phoneticPr fontId="3" type="noConversion"/>
  </si>
  <si>
    <t>雁塔区科技六路以北、经九路以东</t>
    <phoneticPr fontId="3" type="noConversion"/>
  </si>
  <si>
    <t>陕西省西安市新城区华清西路以南、金花北路以西</t>
    <phoneticPr fontId="3" type="noConversion"/>
  </si>
  <si>
    <r>
      <rPr>
        <sz val="11"/>
        <color indexed="8"/>
        <rFont val="宋体"/>
        <family val="3"/>
        <charset val="134"/>
      </rPr>
      <t>住宅</t>
    </r>
    <r>
      <rPr>
        <sz val="11"/>
        <color indexed="8"/>
        <rFont val="Arial"/>
        <family val="2"/>
      </rPr>
      <t>70</t>
    </r>
    <r>
      <rPr>
        <sz val="11"/>
        <color indexed="8"/>
        <rFont val="宋体"/>
        <family val="3"/>
        <charset val="134"/>
      </rPr>
      <t>年，商业</t>
    </r>
    <r>
      <rPr>
        <sz val="11"/>
        <color indexed="8"/>
        <rFont val="Arial"/>
        <family val="2"/>
      </rPr>
      <t>40</t>
    </r>
    <r>
      <rPr>
        <sz val="11"/>
        <color indexed="8"/>
        <rFont val="宋体"/>
        <family val="3"/>
        <charset val="134"/>
      </rPr>
      <t>年</t>
    </r>
    <phoneticPr fontId="31" type="noConversion"/>
  </si>
  <si>
    <t>一般</t>
  </si>
  <si>
    <t>三级</t>
    <phoneticPr fontId="6" type="noConversion"/>
  </si>
  <si>
    <t>一级</t>
    <phoneticPr fontId="31" type="noConversion"/>
  </si>
  <si>
    <t>二级</t>
    <phoneticPr fontId="31" type="noConversion"/>
  </si>
  <si>
    <t>三级</t>
    <phoneticPr fontId="31" type="noConversion"/>
  </si>
  <si>
    <t>四级</t>
    <phoneticPr fontId="31" type="noConversion"/>
  </si>
  <si>
    <t>五级</t>
    <phoneticPr fontId="31" type="noConversion"/>
  </si>
  <si>
    <t>QJ8-9-25</t>
    <phoneticPr fontId="3" type="noConversion"/>
  </si>
  <si>
    <t>曲江新区裴家崆路以南、航天大道以北、新开门南路以西、29号路以东</t>
    <phoneticPr fontId="3" type="noConversion"/>
  </si>
  <si>
    <t>CB6-2-2222</t>
    <phoneticPr fontId="3" type="noConversion"/>
  </si>
  <si>
    <t>西安浐灞生态区南三环以北、田马路以西</t>
    <phoneticPr fontId="3" type="noConversion"/>
  </si>
  <si>
    <t>其他普通商品住房用地</t>
  </si>
  <si>
    <t>其他普通商品住房用地</t>
    <phoneticPr fontId="31" type="noConversion"/>
  </si>
  <si>
    <t>成本法</t>
  </si>
  <si>
    <t>*</t>
  </si>
  <si>
    <t>中铁.西派国际</t>
    <phoneticPr fontId="3" type="noConversion"/>
  </si>
  <si>
    <t>西安市城北太华路与北二环十字东南角（地铁4号线大明宫北站）</t>
    <phoneticPr fontId="3" type="noConversion"/>
  </si>
  <si>
    <t>住宅</t>
    <phoneticPr fontId="25" type="noConversion"/>
  </si>
  <si>
    <t>60-70（含）</t>
  </si>
  <si>
    <t>独栋别墅</t>
    <phoneticPr fontId="25" type="noConversion"/>
  </si>
  <si>
    <t>联排别墅</t>
    <phoneticPr fontId="25" type="noConversion"/>
  </si>
  <si>
    <t>叠拼别墅</t>
    <phoneticPr fontId="25" type="noConversion"/>
  </si>
  <si>
    <t>高层住宅</t>
  </si>
  <si>
    <t>高层住宅</t>
    <phoneticPr fontId="25" type="noConversion"/>
  </si>
  <si>
    <t>钢混</t>
  </si>
  <si>
    <t>钢混</t>
    <phoneticPr fontId="25" type="noConversion"/>
  </si>
  <si>
    <t>混合</t>
    <phoneticPr fontId="25" type="noConversion"/>
  </si>
  <si>
    <t>砖</t>
    <phoneticPr fontId="25" type="noConversion"/>
  </si>
  <si>
    <t>高档</t>
  </si>
  <si>
    <t>高档</t>
    <phoneticPr fontId="25" type="noConversion"/>
  </si>
  <si>
    <t>中档</t>
  </si>
  <si>
    <t>中档</t>
    <phoneticPr fontId="25" type="noConversion"/>
  </si>
  <si>
    <t>低档</t>
    <phoneticPr fontId="25" type="noConversion"/>
  </si>
  <si>
    <t>豪华装修</t>
  </si>
  <si>
    <t>豪华装修</t>
    <phoneticPr fontId="25" type="noConversion"/>
  </si>
  <si>
    <t>精装修</t>
  </si>
  <si>
    <t>精装修</t>
    <phoneticPr fontId="25" type="noConversion"/>
  </si>
  <si>
    <t>普通装修</t>
  </si>
  <si>
    <t>普通装修</t>
    <phoneticPr fontId="25" type="noConversion"/>
  </si>
  <si>
    <t>毛坯</t>
    <phoneticPr fontId="25" type="noConversion"/>
  </si>
  <si>
    <t>专业</t>
  </si>
  <si>
    <t>专业</t>
    <phoneticPr fontId="25" type="noConversion"/>
  </si>
  <si>
    <t>非专业</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</si>
  <si>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</si>
  <si>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</si>
  <si>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</si>
  <si>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</si>
  <si>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</si>
  <si>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80-120</t>
    <phoneticPr fontId="25" type="noConversion"/>
  </si>
  <si>
    <t>120-150</t>
    <phoneticPr fontId="25" type="noConversion"/>
  </si>
  <si>
    <t>150-250</t>
    <phoneticPr fontId="25" type="noConversion"/>
  </si>
  <si>
    <t>售价</t>
  </si>
  <si>
    <t>地下车库</t>
    <phoneticPr fontId="32" type="noConversion"/>
  </si>
  <si>
    <t>40-50（含）</t>
  </si>
  <si>
    <t>住宅</t>
    <phoneticPr fontId="32" type="noConversion"/>
  </si>
  <si>
    <t>商业</t>
    <phoneticPr fontId="32" type="noConversion"/>
  </si>
  <si>
    <t>办公</t>
    <phoneticPr fontId="32" type="noConversion"/>
  </si>
  <si>
    <t>1:2</t>
    <phoneticPr fontId="32" type="noConversion"/>
  </si>
  <si>
    <t>精装修</t>
    <phoneticPr fontId="32" type="noConversion"/>
  </si>
  <si>
    <t>普通装修</t>
    <phoneticPr fontId="32" type="noConversion"/>
  </si>
  <si>
    <t>毛坯</t>
    <phoneticPr fontId="32" type="noConversion"/>
  </si>
  <si>
    <t>专业</t>
    <phoneticPr fontId="32" type="noConversion"/>
  </si>
  <si>
    <t>非专业</t>
    <phoneticPr fontId="32" type="noConversion"/>
  </si>
  <si>
    <t>平面</t>
  </si>
  <si>
    <t>平面</t>
    <phoneticPr fontId="32" type="noConversion"/>
  </si>
  <si>
    <t>立体</t>
    <phoneticPr fontId="32" type="noConversion"/>
  </si>
  <si>
    <t>是</t>
    <phoneticPr fontId="32" type="noConversion"/>
  </si>
  <si>
    <t>否</t>
    <phoneticPr fontId="32" type="noConversion"/>
  </si>
  <si>
    <t>西安大明宫万达公馆</t>
    <phoneticPr fontId="3" type="noConversion"/>
  </si>
  <si>
    <t>西安市北二环与太华北路交汇处向北200米</t>
    <phoneticPr fontId="3" type="noConversion"/>
  </si>
  <si>
    <t>龙湖·源著</t>
    <phoneticPr fontId="3" type="noConversion"/>
  </si>
  <si>
    <t>西安市城北东北二环交汇处-辛家庙立交向北500米路东</t>
    <phoneticPr fontId="3" type="noConversion"/>
  </si>
  <si>
    <t>1:1.05</t>
    <phoneticPr fontId="32" type="noConversion"/>
  </si>
  <si>
    <t>1:1.3</t>
    <phoneticPr fontId="32" type="noConversion"/>
  </si>
  <si>
    <t>4号楼</t>
  </si>
  <si>
    <t>5号楼</t>
  </si>
  <si>
    <t>6号楼</t>
  </si>
  <si>
    <t>7号楼</t>
  </si>
  <si>
    <t>8号楼</t>
  </si>
  <si>
    <t>假设开发法</t>
  </si>
  <si>
    <t>已全部缴纳</t>
  </si>
  <si>
    <t>未包含在土地购买价格中</t>
  </si>
  <si>
    <t>全部缴纳</t>
  </si>
  <si>
    <t>项目局部</t>
  </si>
  <si>
    <t>成本比率</t>
  </si>
  <si>
    <t>较不规则</t>
  </si>
  <si>
    <t>《测绘报告》</t>
    <phoneticPr fontId="3" type="noConversion"/>
  </si>
  <si>
    <t>序号</t>
  </si>
  <si>
    <t>不动产权证书证号</t>
  </si>
  <si>
    <t>建筑面积依据</t>
  </si>
  <si>
    <t>楼号</t>
  </si>
  <si>
    <t>分摊土地面积</t>
  </si>
  <si>
    <t>建筑面积</t>
  </si>
  <si>
    <t>工程进度情况</t>
  </si>
  <si>
    <t>公共配套用房</t>
  </si>
  <si>
    <r>
      <t>陕（</t>
    </r>
    <r>
      <rPr>
        <sz val="9"/>
        <color rgb="FF000000"/>
        <rFont val="Arial"/>
        <family val="2"/>
      </rPr>
      <t>2017</t>
    </r>
    <r>
      <rPr>
        <sz val="9"/>
        <color rgb="FF000000"/>
        <rFont val="宋体"/>
        <family val="3"/>
        <charset val="134"/>
      </rPr>
      <t>）西安市不动产权第</t>
    </r>
    <r>
      <rPr>
        <sz val="9"/>
        <color rgb="FF000000"/>
        <rFont val="Arial"/>
        <family val="2"/>
      </rPr>
      <t>0000405</t>
    </r>
    <r>
      <rPr>
        <sz val="9"/>
        <color rgb="FF000000"/>
        <rFont val="宋体"/>
        <family val="3"/>
        <charset val="134"/>
      </rPr>
      <t>号</t>
    </r>
  </si>
  <si>
    <r>
      <t>《建设工程规划许可证》</t>
    </r>
    <r>
      <rPr>
        <sz val="9"/>
        <color rgb="FF000000"/>
        <rFont val="Arial"/>
        <family val="2"/>
      </rPr>
      <t>[</t>
    </r>
    <r>
      <rPr>
        <sz val="9"/>
        <color rgb="FF000000"/>
        <rFont val="宋体"/>
        <family val="3"/>
        <charset val="134"/>
      </rPr>
      <t>西规建字第（</t>
    </r>
    <r>
      <rPr>
        <sz val="9"/>
        <color rgb="FF000000"/>
        <rFont val="Arial"/>
        <family val="2"/>
      </rPr>
      <t>2017</t>
    </r>
    <r>
      <rPr>
        <sz val="9"/>
        <color rgb="FF000000"/>
        <rFont val="宋体"/>
        <family val="3"/>
        <charset val="134"/>
      </rPr>
      <t>）</t>
    </r>
    <r>
      <rPr>
        <sz val="9"/>
        <color rgb="FF000000"/>
        <rFont val="Arial"/>
        <family val="2"/>
      </rPr>
      <t>022</t>
    </r>
    <r>
      <rPr>
        <sz val="9"/>
        <color rgb="FF000000"/>
        <rFont val="宋体"/>
        <family val="3"/>
        <charset val="134"/>
      </rPr>
      <t>号</t>
    </r>
    <r>
      <rPr>
        <sz val="9"/>
        <color rgb="FF000000"/>
        <rFont val="Arial"/>
        <family val="2"/>
      </rPr>
      <t>]</t>
    </r>
  </si>
  <si>
    <r>
      <t>2</t>
    </r>
    <r>
      <rPr>
        <sz val="9"/>
        <color rgb="FF000000"/>
        <rFont val="宋体"/>
        <family val="3"/>
        <charset val="134"/>
      </rPr>
      <t>号楼</t>
    </r>
  </si>
  <si>
    <t>桩基础施工</t>
  </si>
  <si>
    <r>
      <t>3</t>
    </r>
    <r>
      <rPr>
        <sz val="9"/>
        <color rgb="FF000000"/>
        <rFont val="宋体"/>
        <family val="3"/>
        <charset val="134"/>
      </rPr>
      <t>号楼</t>
    </r>
  </si>
  <si>
    <r>
      <t>《房屋预售备案面积测算报告》</t>
    </r>
    <r>
      <rPr>
        <sz val="9"/>
        <color rgb="FF000000"/>
        <rFont val="Arial"/>
        <family val="2"/>
      </rPr>
      <t>[</t>
    </r>
    <r>
      <rPr>
        <sz val="9"/>
        <color rgb="FF000000"/>
        <rFont val="宋体"/>
        <family val="3"/>
        <charset val="134"/>
      </rPr>
      <t>图文代码：</t>
    </r>
    <r>
      <rPr>
        <sz val="9"/>
        <color rgb="FF000000"/>
        <rFont val="Arial"/>
        <family val="2"/>
      </rPr>
      <t>GFS8#3]</t>
    </r>
  </si>
  <si>
    <r>
      <t>4</t>
    </r>
    <r>
      <rPr>
        <sz val="9"/>
        <color rgb="FF000000"/>
        <rFont val="宋体"/>
        <family val="3"/>
        <charset val="134"/>
      </rPr>
      <t>号楼</t>
    </r>
  </si>
  <si>
    <r>
      <t>地下</t>
    </r>
    <r>
      <rPr>
        <sz val="9"/>
        <color rgb="FF000000"/>
        <rFont val="Arial"/>
        <family val="2"/>
      </rPr>
      <t>1</t>
    </r>
    <r>
      <rPr>
        <sz val="9"/>
        <color rgb="FF000000"/>
        <rFont val="宋体"/>
        <family val="3"/>
        <charset val="134"/>
      </rPr>
      <t>层底板浇筑</t>
    </r>
  </si>
  <si>
    <r>
      <t>《房屋预售备案面积测算报告》</t>
    </r>
    <r>
      <rPr>
        <sz val="9"/>
        <color rgb="FF000000"/>
        <rFont val="Arial"/>
        <family val="2"/>
      </rPr>
      <t>[</t>
    </r>
    <r>
      <rPr>
        <sz val="9"/>
        <color rgb="FF000000"/>
        <rFont val="宋体"/>
        <family val="3"/>
        <charset val="134"/>
      </rPr>
      <t>图文代码：</t>
    </r>
    <r>
      <rPr>
        <sz val="9"/>
        <color rgb="FF000000"/>
        <rFont val="Arial"/>
        <family val="2"/>
      </rPr>
      <t>GFS8#4]</t>
    </r>
  </si>
  <si>
    <r>
      <t>5</t>
    </r>
    <r>
      <rPr>
        <sz val="9"/>
        <color rgb="FF000000"/>
        <rFont val="宋体"/>
        <family val="3"/>
        <charset val="134"/>
      </rPr>
      <t>号楼</t>
    </r>
  </si>
  <si>
    <r>
      <t>地上</t>
    </r>
    <r>
      <rPr>
        <sz val="9"/>
        <color rgb="FF000000"/>
        <rFont val="Arial"/>
        <family val="2"/>
      </rPr>
      <t>1</t>
    </r>
    <r>
      <rPr>
        <sz val="9"/>
        <color rgb="FF000000"/>
        <rFont val="宋体"/>
        <family val="3"/>
        <charset val="134"/>
      </rPr>
      <t>层墙体浇筑</t>
    </r>
  </si>
  <si>
    <r>
      <t>《房屋预售备案面积测算报告》</t>
    </r>
    <r>
      <rPr>
        <sz val="9"/>
        <color rgb="FF000000"/>
        <rFont val="Arial"/>
        <family val="2"/>
      </rPr>
      <t>[</t>
    </r>
    <r>
      <rPr>
        <sz val="9"/>
        <color rgb="FF000000"/>
        <rFont val="宋体"/>
        <family val="3"/>
        <charset val="134"/>
      </rPr>
      <t>图文代码：</t>
    </r>
    <r>
      <rPr>
        <sz val="9"/>
        <color rgb="FF000000"/>
        <rFont val="Arial"/>
        <family val="2"/>
      </rPr>
      <t>GFS8#5]</t>
    </r>
  </si>
  <si>
    <r>
      <t>6</t>
    </r>
    <r>
      <rPr>
        <sz val="9"/>
        <color rgb="FF000000"/>
        <rFont val="宋体"/>
        <family val="3"/>
        <charset val="134"/>
      </rPr>
      <t>号楼</t>
    </r>
  </si>
  <si>
    <r>
      <t>7</t>
    </r>
    <r>
      <rPr>
        <sz val="9"/>
        <color rgb="FF000000"/>
        <rFont val="宋体"/>
        <family val="3"/>
        <charset val="134"/>
      </rPr>
      <t>号楼</t>
    </r>
  </si>
  <si>
    <r>
      <t>8</t>
    </r>
    <r>
      <rPr>
        <sz val="9"/>
        <color rgb="FF000000"/>
        <rFont val="宋体"/>
        <family val="3"/>
        <charset val="134"/>
      </rPr>
      <t>号楼</t>
    </r>
  </si>
  <si>
    <r>
      <t>9</t>
    </r>
    <r>
      <rPr>
        <sz val="9"/>
        <color rgb="FF000000"/>
        <rFont val="宋体"/>
        <family val="3"/>
        <charset val="134"/>
      </rPr>
      <t>号楼</t>
    </r>
  </si>
  <si>
    <t>/</t>
  </si>
</sst>
</file>

<file path=xl/styles.xml><?xml version="1.0" encoding="utf-8"?>
<styleSheet xmlns="http://schemas.openxmlformats.org/spreadsheetml/2006/main">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0000"/>
      <name val="宋体"/>
      <family val="3"/>
      <charset val="134"/>
    </font>
    <font>
      <sz val="9"/>
      <color rgb="FF000000"/>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8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191" fillId="7" borderId="5" xfId="0" applyFont="1" applyFill="1" applyBorder="1" applyAlignment="1" applyProtection="1">
      <alignment vertical="center" wrapText="1"/>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81" fontId="105" fillId="7" borderId="1" xfId="0" applyNumberFormat="1" applyFont="1" applyFill="1" applyBorder="1" applyAlignment="1" applyProtection="1">
      <alignment horizontal="center" vertical="center"/>
      <protection locked="0"/>
    </xf>
    <xf numFmtId="177" fontId="137" fillId="0" borderId="3" xfId="1" applyNumberFormat="1" applyFont="1" applyFill="1" applyBorder="1" applyAlignment="1" applyProtection="1">
      <alignment vertical="center"/>
      <protection locked="0"/>
    </xf>
    <xf numFmtId="0" fontId="242" fillId="0" borderId="24" xfId="0" applyFont="1" applyFill="1" applyBorder="1" applyAlignment="1" applyProtection="1">
      <alignment horizontal="left"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7" fillId="7" borderId="9" xfId="0" applyNumberFormat="1" applyFont="1" applyFill="1" applyBorder="1" applyAlignment="1" applyProtection="1">
      <alignment horizontal="center" vertical="center" wrapText="1"/>
      <protection locked="0"/>
    </xf>
    <xf numFmtId="0" fontId="191" fillId="0" borderId="1"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56" fillId="8" borderId="24" xfId="1" applyNumberFormat="1" applyFont="1" applyFill="1" applyBorder="1" applyAlignment="1" applyProtection="1">
      <alignment horizontal="center" vertical="center"/>
      <protection locked="0"/>
    </xf>
    <xf numFmtId="0" fontId="148" fillId="5" borderId="49" xfId="1" applyNumberFormat="1" applyFont="1" applyFill="1" applyBorder="1" applyAlignment="1" applyProtection="1">
      <alignment horizontal="center" vertical="center"/>
      <protection locked="0"/>
    </xf>
    <xf numFmtId="0" fontId="115" fillId="5" borderId="23" xfId="0" applyNumberFormat="1" applyFont="1" applyFill="1" applyBorder="1" applyAlignment="1" applyProtection="1">
      <alignment horizontal="center" vertical="center" wrapText="1"/>
      <protection locked="0"/>
    </xf>
    <xf numFmtId="0" fontId="115" fillId="5" borderId="6" xfId="0" applyNumberFormat="1" applyFont="1" applyFill="1" applyBorder="1" applyAlignment="1" applyProtection="1">
      <alignment horizontal="center" vertical="center" wrapText="1"/>
      <protection locked="0"/>
    </xf>
    <xf numFmtId="186" fontId="148" fillId="5" borderId="13" xfId="0" applyNumberFormat="1" applyFont="1" applyFill="1" applyBorder="1" applyAlignment="1" applyProtection="1">
      <alignment horizontal="center" vertical="center"/>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226"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9" fillId="0" borderId="23"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80" fillId="0" borderId="1" xfId="0" applyFont="1" applyBorder="1" applyAlignment="1" applyProtection="1">
      <alignment horizontal="center" vertical="center" wrapText="1"/>
      <protection locked="0"/>
    </xf>
    <xf numFmtId="0" fontId="255" fillId="0" borderId="1" xfId="0" applyFont="1" applyBorder="1" applyAlignment="1">
      <alignment horizontal="center" vertical="center" wrapText="1"/>
    </xf>
    <xf numFmtId="0" fontId="255" fillId="0" borderId="1" xfId="0" applyFont="1" applyBorder="1" applyAlignment="1">
      <alignment horizontal="center" vertical="center" wrapText="1"/>
    </xf>
    <xf numFmtId="0" fontId="256" fillId="0" borderId="1" xfId="0" applyFont="1" applyBorder="1" applyAlignment="1">
      <alignment horizontal="center" vertical="center" wrapText="1"/>
    </xf>
    <xf numFmtId="0" fontId="255" fillId="0" borderId="1" xfId="0" applyFont="1" applyBorder="1" applyAlignment="1">
      <alignment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RowHeight="14.25"/>
  <cols>
    <col min="1" max="1" width="35.625" style="1585" customWidth="1"/>
    <col min="2" max="2" width="81" style="1602" customWidth="1"/>
    <col min="3" max="16384" width="9" style="1600"/>
  </cols>
  <sheetData>
    <row r="1" spans="1:2" s="1588" customFormat="1" ht="16.5" thickBot="1">
      <c r="A1" s="1587" t="s">
        <v>1220</v>
      </c>
      <c r="B1" s="1586" t="s">
        <v>1299</v>
      </c>
    </row>
    <row r="2" spans="1:2" s="1591" customFormat="1" ht="15" thickTop="1">
      <c r="A2" s="1589" t="s">
        <v>1221</v>
      </c>
      <c r="B2" s="1590" t="str">
        <f>'预评函-封皮'!B37:I37</f>
        <v>陕西省西安市新城区华清西路以南、金花北路以西出让国有建设用地使用权及在建建筑物房地产抵押价值预评估</v>
      </c>
    </row>
    <row r="3" spans="1:2" s="1594" customFormat="1">
      <c r="A3" s="1592" t="s">
        <v>1222</v>
      </c>
      <c r="B3" s="1593" t="str">
        <f>'预评函-封皮'!B40</f>
        <v>西安胤博置业有限公司</v>
      </c>
    </row>
    <row r="4" spans="1:2" s="1594" customFormat="1">
      <c r="A4" s="1592" t="s">
        <v>1223</v>
      </c>
      <c r="B4" s="1593" t="str">
        <f ca="1">'预评函-封皮'!B46</f>
        <v>郑燚（注册号：1120070131)、王萌（注册号：1120130048)</v>
      </c>
    </row>
    <row r="5" spans="1:2" s="1588" customFormat="1" ht="15" thickBot="1">
      <c r="A5" s="1595" t="s">
        <v>1224</v>
      </c>
      <c r="B5" s="1596" t="str">
        <f>'预评函-封皮'!B49</f>
        <v>康正预评字号</v>
      </c>
    </row>
    <row r="6" spans="1:2" s="1591" customFormat="1" ht="15" thickTop="1">
      <c r="A6" s="1589" t="s">
        <v>1225</v>
      </c>
      <c r="B6" s="1590" t="str">
        <f>'预评函-1'!A4</f>
        <v>受贵公司委托，我公司对陕西省西安市新城区华清西路以南、金花北路以西出让国有建设用地使用权及在建建筑物房地产抵押价值进行了预评估。</v>
      </c>
    </row>
    <row r="7" spans="1:2" s="1594" customFormat="1">
      <c r="A7" s="1592" t="s">
        <v>1265</v>
      </c>
      <c r="B7" s="1593" t="str">
        <f>'预评函-1'!A7</f>
        <v>估价对象为陕西省西安市新城区华清西路以南、金花北路以西出让国有建设用地使用权及在建建筑物房地产，为所有。根据《不动产权证书》[陕（2017）西安市不动产权第0000405号]，估价对象（分摊）出让国有建设用地使用权面积为60943.28平方米，建筑面积为210018.96平方米。</v>
      </c>
    </row>
    <row r="8" spans="1:2" s="1594" customFormat="1">
      <c r="A8" s="1592" t="s">
        <v>1266</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1267</v>
      </c>
      <c r="B9" s="1593" t="str">
        <f>'预评函-1'!A10</f>
        <v>估价对象为陕西省西安市新城区华清西路以南、金花北路以西出让国有建设用地使用权及在建建筑物房地产,属开发建设的居住项目，该项目尚在开发建设中。根据《不动产权证书》[陕（2017）西安市不动产权第0000405号]，估价对象（分摊）出让国有建设用地使用权面积为60943.28平方米，规划建筑面积为210018.96平方米。</v>
      </c>
    </row>
    <row r="10" spans="1:2" s="1594" customFormat="1">
      <c r="A10" s="1592" t="s">
        <v>1268</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1226</v>
      </c>
      <c r="B11" s="1593" t="str">
        <f>'预评函-1'!A13</f>
        <v>为估价委托人在向中信信托有限责任公司办理贷款手续过程中，确定房地产抵押贷款额度提供参考依据而评估房地产抵押价值。</v>
      </c>
    </row>
    <row r="12" spans="1:2" s="1594" customFormat="1">
      <c r="A12" s="1592" t="s">
        <v>1227</v>
      </c>
      <c r="B12" s="1593" t="str">
        <f>'预评函-1'!A15</f>
        <v>2017年10月17日（评估专业人员实地查勘之日）</v>
      </c>
    </row>
    <row r="13" spans="1:2" s="1594" customFormat="1">
      <c r="A13" s="1592" t="s">
        <v>1228</v>
      </c>
      <c r="B13" s="1593" t="str">
        <f>'预评函-1'!A18</f>
        <v>本次估价的“房地产价值”是指在正常市场情况下，在价值时点2017年10月17日，估价对象规划用途为住宅、商业、地下车库，土地取得方式为出让，出让国有建设用地使用权剩余土地使用年限为住宅69.2年，商业39.2年，地下车库49.2年，假定未设立法定优先受偿款下的房地产市场价值。</v>
      </c>
    </row>
    <row r="14" spans="1:2" s="1594" customFormat="1">
      <c r="A14" s="1592" t="s">
        <v>1229</v>
      </c>
      <c r="B14" s="1593" t="str">
        <f>'预评函-1'!A19</f>
        <v>其中，“出让国有建设用地使用权价值”是指估价对象用途为住宅、商业、地下车库，实际开发程度为宗地红线外“七通”（即通路、通电、通讯、通上水、通下水、燃气、通热）、红线内场地平整条件下，剩余土地使用年限为住宅69.2年，商业39.2年，地下车库49.2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4" customFormat="1">
      <c r="A15" s="1592" t="s">
        <v>1230</v>
      </c>
      <c r="B15" s="1593"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94" customFormat="1">
      <c r="A16" s="1592" t="s">
        <v>1231</v>
      </c>
      <c r="B16" s="15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4" customFormat="1">
      <c r="A17" s="1592" t="s">
        <v>1232</v>
      </c>
      <c r="B17" s="1593" t="str">
        <f>'预评函-1'!A22</f>
        <v/>
      </c>
    </row>
    <row r="18" spans="1:2" s="1588" customFormat="1" ht="15" thickBot="1">
      <c r="A18" s="1595" t="s">
        <v>1233</v>
      </c>
      <c r="B18" s="1596" t="str">
        <f>'预评函-1'!A24</f>
        <v>本次评估采用的主估价方法为成本法和假设开发法。</v>
      </c>
    </row>
    <row r="19" spans="1:2" s="1591" customFormat="1" ht="15" thickTop="1">
      <c r="A19" s="1589" t="s">
        <v>1234</v>
      </c>
      <c r="B19" s="1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4" customFormat="1">
      <c r="A20" s="1592" t="s">
        <v>1235</v>
      </c>
      <c r="B20" s="1593">
        <f ca="1">'预评函-2'!D5</f>
        <v>178880</v>
      </c>
    </row>
    <row r="21" spans="1:2" s="1594" customFormat="1">
      <c r="A21" s="1592" t="s">
        <v>1236</v>
      </c>
      <c r="B21" s="1593">
        <f ca="1">'预评函-2'!D7</f>
        <v>8517</v>
      </c>
    </row>
    <row r="22" spans="1:2" s="1594" customFormat="1">
      <c r="A22" s="1592" t="s">
        <v>1237</v>
      </c>
      <c r="B22" s="1593" t="str">
        <f ca="1">'预评函-2'!D6</f>
        <v>壹拾柒亿捌仟捌佰捌拾万元整</v>
      </c>
    </row>
    <row r="23" spans="1:2" s="1594" customFormat="1">
      <c r="A23" s="1592" t="s">
        <v>1288</v>
      </c>
      <c r="B23" s="1593" t="str">
        <f>'预评函-2'!B8</f>
        <v>2.估价师知悉的法定优先受偿款</v>
      </c>
    </row>
    <row r="24" spans="1:2" s="1594" customFormat="1">
      <c r="A24" s="1592" t="s">
        <v>1294</v>
      </c>
      <c r="B24" s="1593">
        <f>'预评函-2'!D8</f>
        <v>0</v>
      </c>
    </row>
    <row r="25" spans="1:2" s="1594" customFormat="1">
      <c r="A25" s="1592" t="s">
        <v>1238</v>
      </c>
      <c r="B25" s="1593" t="str">
        <f>'预评函-2'!D9</f>
        <v>零元整</v>
      </c>
    </row>
    <row r="26" spans="1:2" s="1594" customFormat="1">
      <c r="A26" s="1592" t="s">
        <v>1239</v>
      </c>
      <c r="B26" s="1593">
        <f>'预评函-2'!D10</f>
        <v>0</v>
      </c>
    </row>
    <row r="27" spans="1:2" s="1594" customFormat="1">
      <c r="A27" s="1592" t="s">
        <v>1240</v>
      </c>
      <c r="B27" s="1593">
        <f>'预评函-2'!D11</f>
        <v>0</v>
      </c>
    </row>
    <row r="28" spans="1:2" s="1594" customFormat="1">
      <c r="A28" s="1592" t="s">
        <v>1241</v>
      </c>
      <c r="B28" s="1593">
        <f>'预评函-2'!D12</f>
        <v>0</v>
      </c>
    </row>
    <row r="29" spans="1:2" s="1594" customFormat="1">
      <c r="A29" s="1592" t="s">
        <v>1292</v>
      </c>
      <c r="B29" s="1593" t="str">
        <f>'预评函-2'!B13</f>
        <v>3.房地产抵押价值</v>
      </c>
    </row>
    <row r="30" spans="1:2" s="1594" customFormat="1">
      <c r="A30" s="1592" t="s">
        <v>1293</v>
      </c>
      <c r="B30" s="1593">
        <f ca="1">'预评函-2'!D13</f>
        <v>178880</v>
      </c>
    </row>
    <row r="31" spans="1:2" s="1594" customFormat="1">
      <c r="A31" s="1592" t="s">
        <v>1275</v>
      </c>
      <c r="B31" s="1593">
        <f ca="1">'预评函-2'!D15</f>
        <v>8517</v>
      </c>
    </row>
    <row r="32" spans="1:2" s="1594" customFormat="1">
      <c r="A32" s="1592" t="s">
        <v>1242</v>
      </c>
      <c r="B32" s="1593" t="str">
        <f ca="1">'预评函-2'!D14</f>
        <v>壹拾柒亿捌仟捌佰捌拾万元整</v>
      </c>
    </row>
    <row r="33" spans="1:2" s="1594" customFormat="1">
      <c r="A33" s="1592" t="s">
        <v>1277</v>
      </c>
      <c r="B33" s="1593" t="str">
        <f>'预评函-2'!B16</f>
        <v>4.抵押担保权已注销时的房地产抵押价值</v>
      </c>
    </row>
    <row r="34" spans="1:2" s="1594" customFormat="1">
      <c r="A34" s="1592" t="s">
        <v>1295</v>
      </c>
      <c r="B34" s="1593">
        <f ca="1">'预评函-2'!D16</f>
        <v>178880</v>
      </c>
    </row>
    <row r="35" spans="1:2" s="1594" customFormat="1">
      <c r="A35" s="1592" t="s">
        <v>1276</v>
      </c>
      <c r="B35" s="1593">
        <f ca="1">'预评函-2'!D18</f>
        <v>8517</v>
      </c>
    </row>
    <row r="36" spans="1:2" s="1594" customFormat="1">
      <c r="A36" s="1592" t="s">
        <v>1243</v>
      </c>
      <c r="B36" s="1593" t="str">
        <f ca="1">'预评函-2'!D17</f>
        <v>壹拾柒亿捌仟捌佰捌拾万元整</v>
      </c>
    </row>
    <row r="37" spans="1:2" s="1594" customFormat="1">
      <c r="A37" s="1592" t="s">
        <v>1278</v>
      </c>
      <c r="B37" s="1593" t="str">
        <f>'预评函-2'!B19</f>
        <v>——</v>
      </c>
    </row>
    <row r="38" spans="1:2" s="1594" customFormat="1">
      <c r="A38" s="1592" t="s">
        <v>1296</v>
      </c>
      <c r="B38" s="1593" t="str">
        <f>'预评函-2'!D19</f>
        <v>——</v>
      </c>
    </row>
    <row r="39" spans="1:2" s="1594" customFormat="1">
      <c r="A39" s="1592" t="s">
        <v>1244</v>
      </c>
      <c r="B39" s="1593" t="str">
        <f>'预评函-2'!D21</f>
        <v>——</v>
      </c>
    </row>
    <row r="40" spans="1:2" s="1594" customFormat="1">
      <c r="A40" s="1592" t="s">
        <v>1245</v>
      </c>
      <c r="B40" s="1593" t="e">
        <f>'预评函-2'!D20</f>
        <v>#VALUE!</v>
      </c>
    </row>
    <row r="41" spans="1:2" s="1594" customFormat="1">
      <c r="A41" s="1592" t="s">
        <v>1291</v>
      </c>
      <c r="B41" s="1593" t="str">
        <f>'预评函-3'!A4</f>
        <v>陕西省西安市新城区华清西路以南、金花北路以西出让国有建设用地使用权及在建建筑物房地产</v>
      </c>
    </row>
    <row r="42" spans="1:2" s="1594" customFormat="1">
      <c r="A42" s="1592" t="s">
        <v>1289</v>
      </c>
      <c r="B42" s="1593" t="str">
        <f>'预评函-3'!B2</f>
        <v>建筑面积</v>
      </c>
    </row>
    <row r="43" spans="1:2" s="1594" customFormat="1">
      <c r="A43" s="1592" t="s">
        <v>1290</v>
      </c>
      <c r="B43" s="1593">
        <f>'预评函-3'!B4</f>
        <v>210018.96</v>
      </c>
    </row>
    <row r="44" spans="1:2" s="1594" customFormat="1">
      <c r="A44" s="1592" t="s">
        <v>1274</v>
      </c>
      <c r="B44" s="1593" t="str">
        <f>'预评函-3'!C2</f>
        <v>(分摊)土地面积</v>
      </c>
    </row>
    <row r="45" spans="1:2" s="1594" customFormat="1">
      <c r="A45" s="1592" t="s">
        <v>1246</v>
      </c>
      <c r="B45" s="1593">
        <f>'预评函-3'!C4</f>
        <v>60943.28</v>
      </c>
    </row>
    <row r="46" spans="1:2" s="1594" customFormat="1">
      <c r="A46" s="1592" t="s">
        <v>1272</v>
      </c>
      <c r="B46" s="1593" t="str">
        <f>'预评函-3'!D2</f>
        <v>出让国有建设用地使用权价值</v>
      </c>
    </row>
    <row r="47" spans="1:2" s="1594" customFormat="1">
      <c r="A47" s="1592" t="s">
        <v>1247</v>
      </c>
      <c r="B47" s="1593">
        <f ca="1">'预评函-3'!D4</f>
        <v>168863</v>
      </c>
    </row>
    <row r="48" spans="1:2" s="1594" customFormat="1">
      <c r="A48" s="1592" t="s">
        <v>1248</v>
      </c>
      <c r="B48" s="1593">
        <f ca="1">'预评函-3'!E4</f>
        <v>8040</v>
      </c>
    </row>
    <row r="49" spans="1:2" s="1594" customFormat="1">
      <c r="A49" s="1592" t="s">
        <v>1249</v>
      </c>
      <c r="B49" s="1593" t="str">
        <f ca="1">'预评函-3'!D5</f>
        <v>壹拾陆亿捌仟捌佰陆拾叁万元整</v>
      </c>
    </row>
    <row r="50" spans="1:2" s="1594" customFormat="1">
      <c r="A50" s="1592" t="s">
        <v>1273</v>
      </c>
      <c r="B50" s="1593" t="str">
        <f>'预评函-3'!F2</f>
        <v>在建建筑物价值</v>
      </c>
    </row>
    <row r="51" spans="1:2" s="1594" customFormat="1">
      <c r="A51" s="1592" t="s">
        <v>1250</v>
      </c>
      <c r="B51" s="1593">
        <f ca="1">'预评函-3'!F4</f>
        <v>10017</v>
      </c>
    </row>
    <row r="52" spans="1:2" s="1594" customFormat="1">
      <c r="A52" s="1592" t="s">
        <v>1251</v>
      </c>
      <c r="B52" s="1593">
        <f ca="1">'预评函-3'!G4</f>
        <v>477</v>
      </c>
    </row>
    <row r="53" spans="1:2" s="1594" customFormat="1">
      <c r="A53" s="1592" t="s">
        <v>1279</v>
      </c>
      <c r="B53" s="1593" t="str">
        <f ca="1">'预评函-3'!F5</f>
        <v>壹亿零壹拾柒万元整</v>
      </c>
    </row>
    <row r="54" spans="1:2" s="1594" customFormat="1">
      <c r="A54" s="1592" t="s">
        <v>1297</v>
      </c>
      <c r="B54" s="1593" t="str">
        <f>'预评函-3'!A8</f>
        <v>房地产抵押价值</v>
      </c>
    </row>
    <row r="55" spans="1:2" s="1594" customFormat="1">
      <c r="A55" s="1592" t="s">
        <v>1280</v>
      </c>
      <c r="B55" s="1593" t="str">
        <f>'预评函-3'!A10</f>
        <v>抵押担保权已注销时的房地产抵押价值</v>
      </c>
    </row>
    <row r="56" spans="1:2" s="1594" customFormat="1">
      <c r="A56" s="1592" t="s">
        <v>1281</v>
      </c>
      <c r="B56" s="1593" t="str">
        <f>'预评函-3'!A12</f>
        <v/>
      </c>
    </row>
    <row r="57" spans="1:2" s="1588" customFormat="1" ht="15" thickBot="1">
      <c r="A57" s="1595" t="s">
        <v>1298</v>
      </c>
      <c r="B57" s="1596" t="str">
        <f>'预评函-3'!A6</f>
        <v>估价师知悉的法定优先受偿款</v>
      </c>
    </row>
    <row r="58" spans="1:2" s="1591" customFormat="1" ht="15" thickTop="1">
      <c r="A58" s="1589" t="s">
        <v>1252</v>
      </c>
      <c r="B58" s="1590" t="str">
        <f>'预评函-4'!A12</f>
        <v>2.本《评估意见函》仅供金融机构进行内部审核使用，不做其他目的之用。</v>
      </c>
    </row>
    <row r="59" spans="1:2" s="1594" customFormat="1">
      <c r="A59" s="1592" t="s">
        <v>1253</v>
      </c>
      <c r="B59" s="1593" t="str">
        <f>'预评函-4'!A13</f>
        <v>3.抵押双方在办理抵押登记手续时，应使用本公司出具的正式《房地产评估报告》，特提醒报告使用者注意。</v>
      </c>
    </row>
    <row r="60" spans="1:2" s="1594" customFormat="1">
      <c r="A60" s="1592" t="s">
        <v>1254</v>
      </c>
      <c r="B60" s="1593" t="str">
        <f>'预评函-4'!A14</f>
        <v>4.本次评估估价师所知悉的法定优先受偿款情况说明如下：</v>
      </c>
    </row>
    <row r="61" spans="1:2" s="1594" customFormat="1">
      <c r="A61" s="1592" t="s">
        <v>1255</v>
      </c>
      <c r="B61" s="1593" t="str">
        <f>'预评函-4'!A15</f>
        <v>（1）根据估价对象《不动产权证书》原件、《不动产权证书》复印件，截至价值时点，估价对象已设定抵押。上述权属证件中未登记该抵押权的具体情况（债权数额、期限等）。根据《房屋他项权利证书》复印件，估价对象已抵押给，权利范围为，权利价值为。</v>
      </c>
    </row>
    <row r="62" spans="1:2" s="1594" customFormat="1">
      <c r="A62" s="1592" t="s">
        <v>1256</v>
      </c>
      <c r="B62" s="1593" t="str">
        <f>'预评函-4'!A16</f>
        <v>（2）根据《工程款支付情况说明》，截至价值时点，估价对象不存在应付未付工程款项。（只要没有施工方盖章的，均“设定”进行表述）</v>
      </c>
    </row>
    <row r="63" spans="1:2" s="1594" customFormat="1">
      <c r="A63" s="1592" t="s">
        <v>1257</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1269</v>
      </c>
      <c r="B64" s="1593" t="str">
        <f>'预评函-4'!A18</f>
        <v>故，本次评估不存在估价师知悉的法定优先受偿款</v>
      </c>
    </row>
    <row r="65" spans="1:2" s="1594" customFormat="1">
      <c r="A65" s="1592" t="s">
        <v>1258</v>
      </c>
      <c r="B65" s="15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1259</v>
      </c>
      <c r="B66" s="15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4" customFormat="1">
      <c r="A67" s="1592" t="s">
        <v>1270</v>
      </c>
      <c r="B67" s="15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4" customFormat="1">
      <c r="A68" s="1592" t="s">
        <v>1271</v>
      </c>
      <c r="B68" s="1593" t="str">
        <f>'预评函-4'!A22</f>
        <v>8.其他需特殊说明事项：无（注意调整序号）</v>
      </c>
    </row>
    <row r="69" spans="1:2" s="1588" customFormat="1" ht="15" thickBot="1">
      <c r="A69" s="1595" t="s">
        <v>1260</v>
      </c>
      <c r="B69" s="1597">
        <f>'预评函-4'!C31</f>
        <v>42551</v>
      </c>
    </row>
    <row r="70" spans="1:2" ht="15" thickTop="1">
      <c r="A70" s="1598" t="s">
        <v>1261</v>
      </c>
      <c r="B70" s="1599" t="str">
        <f>'预评函-4'!A4</f>
        <v>郑燚</v>
      </c>
    </row>
    <row r="71" spans="1:2">
      <c r="A71" s="1592" t="s">
        <v>1262</v>
      </c>
      <c r="B71" s="1593">
        <f ca="1">'预评函-4'!B4</f>
        <v>1120070131</v>
      </c>
    </row>
    <row r="72" spans="1:2">
      <c r="A72" s="1592" t="s">
        <v>1263</v>
      </c>
      <c r="B72" s="1601" t="str">
        <f>'预评函-4'!A5</f>
        <v>王萌</v>
      </c>
    </row>
    <row r="73" spans="1:2" s="1588" customFormat="1" ht="15" thickBot="1">
      <c r="A73" s="1595" t="s">
        <v>1264</v>
      </c>
      <c r="B73" s="1596">
        <f ca="1">'预评函-4'!B5</f>
        <v>1120130048</v>
      </c>
    </row>
    <row r="74" spans="1:2" ht="15" thickTop="1">
      <c r="A74" s="1585" t="s">
        <v>1300</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sqref="A1:XFD1048576"/>
    </sheetView>
  </sheetViews>
  <sheetFormatPr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1692</v>
      </c>
      <c r="C1" s="2010" t="s">
        <v>759</v>
      </c>
      <c r="D1" s="2011" t="s">
        <v>1693</v>
      </c>
      <c r="E1" s="2011" t="s">
        <v>1694</v>
      </c>
      <c r="F1" s="2011" t="s">
        <v>1695</v>
      </c>
      <c r="G1" s="2011" t="s">
        <v>1696</v>
      </c>
      <c r="H1" s="2011" t="s">
        <v>1697</v>
      </c>
      <c r="I1" s="2011" t="s">
        <v>1698</v>
      </c>
      <c r="J1" s="2011" t="s">
        <v>1699</v>
      </c>
      <c r="K1" s="2011" t="s">
        <v>1700</v>
      </c>
      <c r="L1" s="2011" t="s">
        <v>1701</v>
      </c>
      <c r="M1" s="2011" t="s">
        <v>1702</v>
      </c>
      <c r="N1" s="2011" t="s">
        <v>1703</v>
      </c>
      <c r="O1" s="2011" t="s">
        <v>1704</v>
      </c>
      <c r="P1" s="2012" t="s">
        <v>753</v>
      </c>
      <c r="Q1" s="2012" t="s">
        <v>1144</v>
      </c>
      <c r="R1" s="2011" t="s">
        <v>1138</v>
      </c>
      <c r="S1" s="2011" t="s">
        <v>1705</v>
      </c>
      <c r="T1" s="2013" t="s">
        <v>1706</v>
      </c>
      <c r="U1" s="2011" t="s">
        <v>1707</v>
      </c>
      <c r="V1" s="2011" t="s">
        <v>1708</v>
      </c>
      <c r="W1" s="2011" t="s">
        <v>755</v>
      </c>
    </row>
    <row r="2" spans="1:23">
      <c r="A2" s="2015" t="s">
        <v>22</v>
      </c>
      <c r="B2" s="2015" t="s">
        <v>1709</v>
      </c>
      <c r="C2" s="2016" t="s">
        <v>760</v>
      </c>
      <c r="D2" s="2017" t="s">
        <v>1710</v>
      </c>
      <c r="E2" s="2017" t="s">
        <v>1711</v>
      </c>
      <c r="F2" s="2017" t="s">
        <v>1712</v>
      </c>
      <c r="G2" s="2017">
        <v>40</v>
      </c>
      <c r="H2" s="2017" t="s">
        <v>1712</v>
      </c>
      <c r="I2" s="2017" t="s">
        <v>1713</v>
      </c>
      <c r="J2" s="2017" t="s">
        <v>1714</v>
      </c>
      <c r="K2" s="2017" t="s">
        <v>1715</v>
      </c>
      <c r="L2" s="2017" t="s">
        <v>1715</v>
      </c>
      <c r="M2" s="2017" t="s">
        <v>1715</v>
      </c>
      <c r="N2" s="2017" t="s">
        <v>1715</v>
      </c>
      <c r="O2" s="2017" t="s">
        <v>1715</v>
      </c>
      <c r="P2" s="2017" t="s">
        <v>1715</v>
      </c>
      <c r="Q2" s="2017" t="s">
        <v>1715</v>
      </c>
      <c r="R2" s="2017" t="s">
        <v>1140</v>
      </c>
      <c r="S2" s="2017" t="s">
        <v>1715</v>
      </c>
      <c r="T2" s="2017" t="s">
        <v>1716</v>
      </c>
      <c r="U2" s="2017" t="s">
        <v>1715</v>
      </c>
      <c r="V2" s="2017" t="s">
        <v>1717</v>
      </c>
      <c r="W2" s="2017" t="s">
        <v>1715</v>
      </c>
    </row>
    <row r="3" spans="1:23">
      <c r="A3" s="2015" t="s">
        <v>1718</v>
      </c>
      <c r="B3" s="2018" t="s">
        <v>1145</v>
      </c>
      <c r="C3" s="2019" t="s">
        <v>761</v>
      </c>
      <c r="D3" s="2017" t="s">
        <v>1719</v>
      </c>
      <c r="E3" s="2017" t="s">
        <v>16</v>
      </c>
      <c r="F3" s="2017" t="s">
        <v>1720</v>
      </c>
      <c r="G3" s="2017">
        <v>50</v>
      </c>
      <c r="H3" s="2017" t="s">
        <v>1720</v>
      </c>
      <c r="I3" s="2017" t="s">
        <v>1721</v>
      </c>
      <c r="J3" s="2017" t="s">
        <v>1722</v>
      </c>
      <c r="K3" s="2017" t="s">
        <v>1723</v>
      </c>
      <c r="L3" s="2017" t="s">
        <v>1723</v>
      </c>
      <c r="M3" s="2017" t="s">
        <v>1723</v>
      </c>
      <c r="N3" s="2017" t="s">
        <v>1723</v>
      </c>
      <c r="O3" s="2017" t="s">
        <v>1723</v>
      </c>
      <c r="P3" s="2017" t="s">
        <v>1723</v>
      </c>
      <c r="Q3" s="2017" t="s">
        <v>1723</v>
      </c>
      <c r="R3" s="2017" t="s">
        <v>1139</v>
      </c>
      <c r="S3" s="2017" t="s">
        <v>1723</v>
      </c>
      <c r="T3" s="2017" t="s">
        <v>1724</v>
      </c>
      <c r="U3" s="2017" t="s">
        <v>1723</v>
      </c>
      <c r="V3" s="2017" t="s">
        <v>1725</v>
      </c>
      <c r="W3" s="2017" t="s">
        <v>1723</v>
      </c>
    </row>
    <row r="4" spans="1:23">
      <c r="A4" s="2015" t="s">
        <v>1726</v>
      </c>
      <c r="B4" s="2015" t="s">
        <v>1727</v>
      </c>
      <c r="C4" s="2016" t="s">
        <v>762</v>
      </c>
      <c r="D4" s="2017" t="s">
        <v>868</v>
      </c>
      <c r="E4" s="2017" t="s">
        <v>1728</v>
      </c>
      <c r="F4" s="2017" t="s">
        <v>1729</v>
      </c>
      <c r="G4" s="2017">
        <v>70</v>
      </c>
      <c r="H4" s="2017" t="s">
        <v>1729</v>
      </c>
      <c r="I4" s="2017" t="s">
        <v>1730</v>
      </c>
      <c r="K4" s="2017" t="s">
        <v>1731</v>
      </c>
      <c r="L4" s="2017" t="s">
        <v>1731</v>
      </c>
      <c r="M4" s="2017" t="s">
        <v>1731</v>
      </c>
      <c r="N4" s="2017" t="s">
        <v>1731</v>
      </c>
      <c r="O4" s="2017" t="s">
        <v>1731</v>
      </c>
      <c r="P4" s="2017" t="s">
        <v>1731</v>
      </c>
      <c r="Q4" s="2017" t="s">
        <v>1731</v>
      </c>
      <c r="R4" s="2017" t="s">
        <v>1141</v>
      </c>
      <c r="S4" s="2017" t="s">
        <v>1731</v>
      </c>
      <c r="T4" s="2017" t="s">
        <v>1732</v>
      </c>
      <c r="U4" s="2017" t="s">
        <v>1731</v>
      </c>
      <c r="W4" s="2017" t="s">
        <v>1731</v>
      </c>
    </row>
    <row r="5" spans="1:23">
      <c r="A5" s="2015" t="s">
        <v>1733</v>
      </c>
      <c r="B5" s="2015" t="s">
        <v>1734</v>
      </c>
      <c r="C5" s="2016" t="s">
        <v>763</v>
      </c>
      <c r="F5" s="2017" t="s">
        <v>1735</v>
      </c>
      <c r="H5" s="2017" t="s">
        <v>1736</v>
      </c>
      <c r="I5" s="2017" t="s">
        <v>1737</v>
      </c>
      <c r="K5" s="2017" t="s">
        <v>1738</v>
      </c>
      <c r="L5" s="2017" t="s">
        <v>1738</v>
      </c>
      <c r="M5" s="2017" t="s">
        <v>1738</v>
      </c>
      <c r="N5" s="2017" t="s">
        <v>1738</v>
      </c>
      <c r="O5" s="2017" t="s">
        <v>1738</v>
      </c>
      <c r="P5" s="2017" t="s">
        <v>1738</v>
      </c>
      <c r="Q5" s="2017" t="s">
        <v>1738</v>
      </c>
      <c r="R5" s="2017" t="s">
        <v>1142</v>
      </c>
      <c r="S5" s="2017" t="s">
        <v>1738</v>
      </c>
      <c r="T5" s="2017" t="s">
        <v>1739</v>
      </c>
      <c r="U5" s="2017" t="s">
        <v>1738</v>
      </c>
      <c r="W5" s="2017" t="s">
        <v>1738</v>
      </c>
    </row>
    <row r="6" spans="1:23">
      <c r="A6" s="2015" t="s">
        <v>1740</v>
      </c>
      <c r="B6" s="2018" t="s">
        <v>1146</v>
      </c>
      <c r="C6" s="2021" t="s">
        <v>30</v>
      </c>
      <c r="F6" s="2017" t="s">
        <v>1736</v>
      </c>
      <c r="H6" s="2017" t="s">
        <v>1741</v>
      </c>
      <c r="I6" s="2017" t="s">
        <v>1742</v>
      </c>
      <c r="K6" s="2017" t="s">
        <v>1743</v>
      </c>
      <c r="L6" s="2017" t="s">
        <v>1743</v>
      </c>
      <c r="M6" s="2017" t="s">
        <v>1743</v>
      </c>
      <c r="N6" s="2017" t="s">
        <v>1743</v>
      </c>
      <c r="O6" s="2017" t="s">
        <v>1743</v>
      </c>
      <c r="P6" s="2017" t="s">
        <v>1743</v>
      </c>
      <c r="Q6" s="2017" t="s">
        <v>1743</v>
      </c>
      <c r="R6" s="2017" t="s">
        <v>1143</v>
      </c>
      <c r="S6" s="2017" t="s">
        <v>1743</v>
      </c>
      <c r="T6" s="2017"/>
      <c r="U6" s="2017" t="s">
        <v>1743</v>
      </c>
      <c r="W6" s="2017" t="s">
        <v>1743</v>
      </c>
    </row>
    <row r="7" spans="1:23">
      <c r="A7" s="2015" t="s">
        <v>1744</v>
      </c>
      <c r="B7" s="2018" t="s">
        <v>1147</v>
      </c>
      <c r="C7" s="2016" t="s">
        <v>31</v>
      </c>
      <c r="F7" s="2017" t="s">
        <v>1745</v>
      </c>
      <c r="H7" s="2017" t="s">
        <v>1746</v>
      </c>
      <c r="I7" s="2017" t="s">
        <v>1747</v>
      </c>
    </row>
    <row r="8" spans="1:23">
      <c r="A8" s="2015" t="s">
        <v>1748</v>
      </c>
      <c r="B8" s="2015" t="s">
        <v>1749</v>
      </c>
      <c r="C8" s="2016" t="s">
        <v>764</v>
      </c>
      <c r="F8" s="2017" t="s">
        <v>1750</v>
      </c>
      <c r="H8" s="2017"/>
      <c r="I8" s="2017" t="s">
        <v>1751</v>
      </c>
    </row>
    <row r="9" spans="1:23">
      <c r="A9" s="2015" t="s">
        <v>1752</v>
      </c>
      <c r="B9" s="2015" t="s">
        <v>1753</v>
      </c>
      <c r="C9" s="2016" t="s">
        <v>765</v>
      </c>
      <c r="F9" s="2017" t="s">
        <v>1754</v>
      </c>
      <c r="H9" s="2017"/>
    </row>
    <row r="10" spans="1:23">
      <c r="A10" s="2015" t="s">
        <v>1755</v>
      </c>
      <c r="B10" s="2015" t="s">
        <v>1756</v>
      </c>
      <c r="C10" s="2016" t="s">
        <v>766</v>
      </c>
      <c r="F10" s="2017" t="s">
        <v>16</v>
      </c>
    </row>
    <row r="11" spans="1:23">
      <c r="A11" s="2015" t="s">
        <v>1757</v>
      </c>
      <c r="B11" s="2015" t="s">
        <v>1758</v>
      </c>
      <c r="C11" s="2016" t="s">
        <v>767</v>
      </c>
    </row>
    <row r="12" spans="1:23">
      <c r="A12" s="2015" t="s">
        <v>1759</v>
      </c>
      <c r="B12" s="2015" t="s">
        <v>1760</v>
      </c>
      <c r="C12" s="2016" t="s">
        <v>768</v>
      </c>
    </row>
    <row r="13" spans="1:23">
      <c r="A13" s="2015" t="s">
        <v>1761</v>
      </c>
      <c r="B13" s="2015" t="s">
        <v>1762</v>
      </c>
      <c r="C13" s="2016" t="s">
        <v>769</v>
      </c>
    </row>
    <row r="14" spans="1:23">
      <c r="A14" s="2015" t="s">
        <v>1763</v>
      </c>
      <c r="B14" s="2015" t="s">
        <v>1764</v>
      </c>
      <c r="C14" s="2017" t="s">
        <v>16</v>
      </c>
    </row>
    <row r="15" spans="1:23">
      <c r="A15" s="2015" t="s">
        <v>1765</v>
      </c>
      <c r="B15" s="2015" t="s">
        <v>1766</v>
      </c>
      <c r="C15" s="2016"/>
    </row>
    <row r="16" spans="1:23">
      <c r="A16" s="2015" t="s">
        <v>1767</v>
      </c>
      <c r="B16" s="2015" t="s">
        <v>756</v>
      </c>
      <c r="C16" s="2016"/>
    </row>
    <row r="17" spans="1:3">
      <c r="A17" s="2015" t="s">
        <v>1768</v>
      </c>
      <c r="B17" s="2015" t="s">
        <v>757</v>
      </c>
      <c r="C17" s="2016"/>
    </row>
    <row r="18" spans="1:3">
      <c r="A18" s="2015" t="s">
        <v>1769</v>
      </c>
      <c r="B18" s="2015" t="s">
        <v>757</v>
      </c>
      <c r="C18" s="2016"/>
    </row>
    <row r="19" spans="1:3">
      <c r="A19" s="2015" t="s">
        <v>1770</v>
      </c>
      <c r="B19" s="2015" t="s">
        <v>757</v>
      </c>
      <c r="C19" s="2016"/>
    </row>
    <row r="20" spans="1:3">
      <c r="A20" s="2015" t="s">
        <v>1771</v>
      </c>
      <c r="B20" s="2015" t="s">
        <v>757</v>
      </c>
      <c r="C20" s="2016"/>
    </row>
    <row r="21" spans="1:3">
      <c r="A21" s="2015" t="s">
        <v>1772</v>
      </c>
      <c r="B21" s="2015" t="s">
        <v>757</v>
      </c>
      <c r="C21" s="2016"/>
    </row>
    <row r="22" spans="1:3">
      <c r="A22" s="2015" t="s">
        <v>1773</v>
      </c>
      <c r="B22" s="2015" t="s">
        <v>757</v>
      </c>
      <c r="C22" s="2016"/>
    </row>
    <row r="23" spans="1:3">
      <c r="A23" s="2015" t="s">
        <v>1774</v>
      </c>
      <c r="B23" s="2015" t="s">
        <v>757</v>
      </c>
      <c r="C23" s="2016"/>
    </row>
    <row r="24" spans="1:3">
      <c r="A24" s="2015" t="s">
        <v>1775</v>
      </c>
      <c r="B24" s="2015" t="s">
        <v>757</v>
      </c>
      <c r="C24" s="2016"/>
    </row>
    <row r="25" spans="1:3">
      <c r="A25" s="2015" t="s">
        <v>1776</v>
      </c>
      <c r="B25" s="2015" t="s">
        <v>757</v>
      </c>
      <c r="C25" s="2016"/>
    </row>
    <row r="26" spans="1:3">
      <c r="A26" s="2015" t="s">
        <v>1777</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857</v>
      </c>
      <c r="B51" s="2023"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西安胤博置业有限公司拟使用陕西省西安市新城区华清西路以南、金花北路以西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3" t="s">
        <v>1285</v>
      </c>
    </row>
    <row r="52" spans="1:4">
      <c r="A52" s="2022" t="s">
        <v>858</v>
      </c>
      <c r="B52" s="2022" t="s">
        <v>859</v>
      </c>
      <c r="C52" s="2020" t="s">
        <v>860</v>
      </c>
      <c r="D52" s="2020" t="s">
        <v>861</v>
      </c>
    </row>
    <row r="53" spans="1:4">
      <c r="A53" s="2989" t="s">
        <v>862</v>
      </c>
      <c r="B53" s="2023" t="s">
        <v>863</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10月17日，估价对象规划用途为住宅、商业、地下车库土地取得方式为出让，出让国有建设用地使用权剩余土地使用年限为XX年(多用途剩余年限尾数不同时，可只体现小数点后一位)，假定未设立法定优先受偿款下的房地产市场价值。</v>
      </c>
    </row>
    <row r="54" spans="1:4">
      <c r="A54" s="2989"/>
      <c r="B54" s="2023" t="s">
        <v>864</v>
      </c>
      <c r="C54" s="2020" t="s">
        <v>1282</v>
      </c>
    </row>
    <row r="55" spans="1:4">
      <c r="A55" s="2989"/>
      <c r="B55" s="2023" t="s">
        <v>865</v>
      </c>
      <c r="C55" s="2020" t="s">
        <v>1283</v>
      </c>
    </row>
    <row r="56" spans="1:4">
      <c r="A56" s="2989"/>
      <c r="B56" s="2023" t="s">
        <v>866</v>
      </c>
      <c r="C56" s="2020" t="s">
        <v>1287</v>
      </c>
    </row>
    <row r="57" spans="1:4">
      <c r="A57" s="2989"/>
      <c r="B57" s="2023" t="s">
        <v>867</v>
      </c>
      <c r="C57" s="2020" t="s">
        <v>1284</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SheetLayoutView="90" workbookViewId="0">
      <selection activeCell="H37" sqref="H37"/>
    </sheetView>
  </sheetViews>
  <sheetFormatPr defaultColWidth="10" defaultRowHeight="18" customHeight="1"/>
  <cols>
    <col min="1" max="1" width="14.875" style="2033" customWidth="1"/>
    <col min="2" max="2" width="12.125" style="2033" customWidth="1"/>
    <col min="3" max="3" width="11.5" style="2033" customWidth="1"/>
    <col min="4" max="4" width="12.125" style="2033" customWidth="1"/>
    <col min="5" max="6" width="10" style="2033" customWidth="1"/>
    <col min="7" max="7" width="10.75" style="2033" customWidth="1"/>
    <col min="8" max="8" width="10" style="2033" customWidth="1"/>
    <col min="9" max="9" width="11.125" style="2155" customWidth="1"/>
    <col min="10" max="10" width="10" style="2033" customWidth="1"/>
    <col min="11" max="11" width="10" style="2156" customWidth="1"/>
    <col min="12" max="13" width="10" style="2157" customWidth="1"/>
    <col min="14" max="14" width="10" style="2033" customWidth="1"/>
    <col min="15" max="15" width="10" style="2155" customWidth="1"/>
    <col min="16" max="17" width="10" style="2033"/>
    <col min="18" max="18" width="10" style="2033" customWidth="1"/>
    <col min="19" max="16384" width="10" style="2033"/>
  </cols>
  <sheetData>
    <row r="1" spans="1:19" ht="38.25" customHeight="1" thickBot="1">
      <c r="A1" s="2026" t="s">
        <v>1778</v>
      </c>
      <c r="B1" s="2998" t="str">
        <f>IF(B10="北京市","北京市",C10)&amp;F10&amp;IF(结果表!G1="在建","出让国有建设用地使用权及在建建筑物",IF(结果表!G1="土地","出让国有建设用地使用权",))&amp;B9&amp;"预评估"</f>
        <v>陕西省西安市新城区华清西路以南、金花北路以西出让国有建设用地使用权及在建建筑物房地产抵押价值预评估</v>
      </c>
      <c r="C1" s="2999"/>
      <c r="D1" s="2999"/>
      <c r="E1" s="2999"/>
      <c r="F1" s="2999"/>
      <c r="G1" s="2999"/>
      <c r="H1" s="2999"/>
      <c r="I1" s="3000"/>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陕西省西安市新城区华清西路以南、金花北路以西出让国有建设用地使用权及在建建筑物房地产抵押价值</v>
      </c>
    </row>
    <row r="2" spans="1:19" ht="18" customHeight="1">
      <c r="A2" s="2027" t="s">
        <v>1779</v>
      </c>
      <c r="B2" s="1040"/>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陕西省西安市新城区华清西路以南、金花北路以西出让国有建设用地使用权及在建建筑物房地产</v>
      </c>
    </row>
    <row r="3" spans="1:19" ht="18" customHeight="1">
      <c r="A3" s="2036" t="s">
        <v>1780</v>
      </c>
      <c r="B3" s="2037">
        <v>43025</v>
      </c>
      <c r="C3" s="2038" t="s">
        <v>1781</v>
      </c>
      <c r="D3" s="2037">
        <v>43025</v>
      </c>
      <c r="E3" s="2027"/>
      <c r="F3" s="2027"/>
      <c r="G3" s="2027"/>
      <c r="H3" s="2027"/>
      <c r="I3" s="2027"/>
      <c r="J3" s="2027"/>
      <c r="K3" s="2028"/>
      <c r="L3" s="2029"/>
      <c r="M3" s="2029"/>
      <c r="N3" s="2030"/>
      <c r="O3" s="2031"/>
      <c r="P3" s="2030"/>
      <c r="Q3" s="2030"/>
      <c r="R3" s="2030"/>
      <c r="S3" s="2032"/>
    </row>
    <row r="4" spans="1:19" ht="18" customHeight="1" thickBot="1">
      <c r="A4" s="2039" t="s">
        <v>1782</v>
      </c>
      <c r="B4" s="2040" t="s">
        <v>3044</v>
      </c>
      <c r="C4" s="1038">
        <f ca="1">SUMIF(注册房地产估价师,B4,估价师及机构信息!B3:B24)</f>
        <v>1120070131</v>
      </c>
      <c r="D4" s="2040" t="s">
        <v>3045</v>
      </c>
      <c r="E4" s="1039">
        <f ca="1">SUMIF(注册房地产估价师,D4,估价师及机构信息!B3:B24)</f>
        <v>1120130048</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郑燚（注册号：1120070131)、王萌（注册号：1120130048)</v>
      </c>
      <c r="L4" s="2029"/>
      <c r="M4" s="2029"/>
      <c r="N4" s="2030"/>
      <c r="O4" s="2031"/>
      <c r="P4" s="2030"/>
      <c r="Q4" s="2030"/>
      <c r="R4" s="2030"/>
      <c r="S4" s="2032"/>
    </row>
    <row r="5" spans="1:19" ht="18" customHeight="1" thickTop="1">
      <c r="A5" s="2045" t="s">
        <v>1783</v>
      </c>
      <c r="B5" s="2925" t="s">
        <v>3046</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1784</v>
      </c>
      <c r="B6" s="2926" t="s">
        <v>3047</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1785</v>
      </c>
      <c r="B7" s="2927" t="s">
        <v>3046</v>
      </c>
      <c r="C7" s="2049"/>
      <c r="D7" s="2050"/>
      <c r="E7" s="2035"/>
      <c r="F7" s="2043"/>
      <c r="G7" s="2043"/>
      <c r="H7" s="2043"/>
      <c r="I7" s="2043"/>
      <c r="J7" s="2043"/>
      <c r="K7" s="2052"/>
      <c r="L7" s="2029"/>
      <c r="M7" s="2029"/>
      <c r="N7" s="2030"/>
      <c r="O7" s="2031"/>
      <c r="P7" s="2030"/>
      <c r="Q7" s="2030"/>
      <c r="R7" s="2030"/>
    </row>
    <row r="8" spans="1:19" ht="18" customHeight="1">
      <c r="A8" s="2048" t="s">
        <v>1786</v>
      </c>
      <c r="B8" s="2053" t="s">
        <v>3048</v>
      </c>
      <c r="C8" s="2054"/>
      <c r="D8" s="3001" t="s">
        <v>1787</v>
      </c>
      <c r="E8" s="2055" t="s">
        <v>3059</v>
      </c>
      <c r="F8" s="2056"/>
      <c r="G8" s="2027"/>
      <c r="H8" s="2027"/>
      <c r="I8" s="2027"/>
      <c r="J8" s="2043"/>
      <c r="K8" s="2044"/>
      <c r="L8" s="2029"/>
      <c r="M8" s="2029"/>
      <c r="N8" s="2030"/>
      <c r="O8" s="2031"/>
      <c r="P8" s="2030"/>
      <c r="Q8" s="2030"/>
      <c r="R8" s="2030"/>
    </row>
    <row r="9" spans="1:19" ht="18" customHeight="1" thickBot="1">
      <c r="A9" s="2041" t="s">
        <v>1788</v>
      </c>
      <c r="B9" s="2057" t="s">
        <v>3049</v>
      </c>
      <c r="C9" s="2058"/>
      <c r="D9" s="3002"/>
      <c r="E9" s="2057" t="s">
        <v>70</v>
      </c>
      <c r="F9" s="2059"/>
      <c r="G9" s="2060"/>
      <c r="H9" s="2060"/>
      <c r="I9" s="2060"/>
      <c r="J9" s="2043"/>
      <c r="K9" s="2052"/>
      <c r="L9" s="2029"/>
      <c r="M9" s="2029"/>
      <c r="N9" s="2030"/>
      <c r="O9" s="2031"/>
      <c r="P9" s="2030"/>
      <c r="Q9" s="2030"/>
      <c r="R9" s="2030"/>
    </row>
    <row r="10" spans="1:19" ht="18" customHeight="1" thickTop="1">
      <c r="A10" s="2061" t="s">
        <v>1789</v>
      </c>
      <c r="B10" s="2062" t="s">
        <v>3050</v>
      </c>
      <c r="C10" s="2928" t="s">
        <v>3051</v>
      </c>
      <c r="D10" s="2047"/>
      <c r="E10" s="2063" t="s">
        <v>1790</v>
      </c>
      <c r="F10" s="2929" t="s">
        <v>3052</v>
      </c>
      <c r="G10" s="2064"/>
      <c r="H10" s="2065"/>
      <c r="I10" s="2047"/>
      <c r="J10" s="2043"/>
      <c r="K10" s="2052"/>
      <c r="L10" s="2029"/>
      <c r="M10" s="2029"/>
      <c r="N10" s="2030"/>
      <c r="O10" s="2031"/>
      <c r="P10" s="2030"/>
      <c r="Q10" s="2030"/>
      <c r="R10" s="2030"/>
    </row>
    <row r="11" spans="1:19" ht="18" customHeight="1">
      <c r="A11" s="2066" t="s">
        <v>1791</v>
      </c>
      <c r="B11" s="2067" t="s">
        <v>3053</v>
      </c>
      <c r="C11" s="2068"/>
      <c r="D11" s="2069"/>
      <c r="E11" s="2043"/>
      <c r="F11" s="2043"/>
      <c r="G11" s="2043"/>
      <c r="H11" s="2043"/>
      <c r="I11" s="2043"/>
      <c r="J11" s="2043"/>
      <c r="K11" s="2052"/>
      <c r="L11" s="2029"/>
      <c r="M11" s="2029"/>
      <c r="N11" s="2030"/>
      <c r="O11" s="2031"/>
      <c r="P11" s="2030"/>
      <c r="Q11" s="2030"/>
      <c r="R11" s="2030"/>
    </row>
    <row r="12" spans="1:19" ht="18" customHeight="1">
      <c r="A12" s="2070" t="s">
        <v>1792</v>
      </c>
      <c r="B12" s="2067" t="s">
        <v>3054</v>
      </c>
      <c r="C12" s="2071" t="s">
        <v>1793</v>
      </c>
      <c r="D12" s="2072" t="s">
        <v>1794</v>
      </c>
      <c r="E12" s="2072" t="s">
        <v>1795</v>
      </c>
      <c r="F12" s="2072" t="s">
        <v>1796</v>
      </c>
      <c r="G12" s="2072" t="s">
        <v>1797</v>
      </c>
      <c r="H12" s="2072" t="s">
        <v>1798</v>
      </c>
      <c r="I12" s="2072" t="s">
        <v>1799</v>
      </c>
      <c r="J12" s="2043"/>
      <c r="K12" s="2052"/>
      <c r="L12" s="2029"/>
      <c r="M12" s="2029"/>
      <c r="N12" s="2030"/>
      <c r="O12" s="2031"/>
      <c r="P12" s="2030"/>
      <c r="Q12" s="2030"/>
      <c r="R12" s="2030"/>
    </row>
    <row r="13" spans="1:19" ht="18" customHeight="1">
      <c r="A13" s="2073"/>
      <c r="B13" s="2074"/>
      <c r="C13" s="2075" t="s">
        <v>1800</v>
      </c>
      <c r="D13" s="2076">
        <v>68293</v>
      </c>
      <c r="E13" s="2076">
        <v>57336</v>
      </c>
      <c r="F13" s="2076"/>
      <c r="G13" s="2076">
        <v>60988</v>
      </c>
      <c r="H13" s="2076"/>
      <c r="I13" s="1048"/>
      <c r="J13" s="2043"/>
      <c r="K13" s="2052"/>
      <c r="L13" s="2029"/>
      <c r="M13" s="2029"/>
      <c r="N13" s="2030"/>
      <c r="O13" s="2031"/>
      <c r="P13" s="2030"/>
      <c r="Q13" s="2030"/>
      <c r="R13" s="2030"/>
    </row>
    <row r="14" spans="1:19" ht="18" customHeight="1">
      <c r="A14" s="2073"/>
      <c r="B14" s="2074"/>
      <c r="C14" s="2075" t="s">
        <v>1801</v>
      </c>
      <c r="D14" s="1051">
        <v>70</v>
      </c>
      <c r="E14" s="1051">
        <v>40</v>
      </c>
      <c r="F14" s="1051"/>
      <c r="G14" s="1051">
        <v>50</v>
      </c>
      <c r="H14" s="1051"/>
      <c r="I14" s="1051"/>
      <c r="J14" s="2043"/>
      <c r="K14" s="2077"/>
      <c r="L14" s="2029"/>
      <c r="M14" s="2029"/>
      <c r="N14" s="2030"/>
      <c r="O14" s="2031"/>
      <c r="P14" s="2030"/>
      <c r="Q14" s="2030"/>
      <c r="R14" s="2030"/>
    </row>
    <row r="15" spans="1:19" ht="18" customHeight="1">
      <c r="A15" s="2061"/>
      <c r="B15" s="2078"/>
      <c r="C15" s="2075" t="s">
        <v>1802</v>
      </c>
      <c r="D15" s="1050">
        <f>IF(B12="出让",IF(D13="","",ROUNDDOWN(MIN((D13-$D$3)/365,D14),2)),D14)</f>
        <v>69.22</v>
      </c>
      <c r="E15" s="1050">
        <f>IF(B12="出让",IF(E13="","",ROUNDDOWN(MIN((E13-$D$3)/365,E14),2)),E14)</f>
        <v>39.200000000000003</v>
      </c>
      <c r="F15" s="1050" t="str">
        <f>IF(B12="出让",IF(F13="","",ROUNDDOWN(MIN((F13-$D$3)/365,F14),2)),F14)</f>
        <v/>
      </c>
      <c r="G15" s="1050">
        <f>IF(B12="出让",IF(G13="","",ROUNDDOWN(MIN((G13-$D$3)/365,G14),2)),G14)</f>
        <v>49.21</v>
      </c>
      <c r="H15" s="1050" t="str">
        <f>IF(B12="出让",IF(H13="","",ROUNDDOWN(MIN((H13-$D$3)/365,H14),2)),H14)</f>
        <v/>
      </c>
      <c r="I15" s="1050" t="str">
        <f>IF(B12="出让",IF(I13="","",ROUNDDOWN(MIN((I13-$D$3)/365,I14),2)),I14)</f>
        <v/>
      </c>
      <c r="J15" s="2043"/>
      <c r="K15" s="2079"/>
      <c r="L15" s="2080"/>
      <c r="M15" s="2080"/>
      <c r="N15" s="2081"/>
      <c r="O15" s="2080"/>
      <c r="P15" s="2081"/>
      <c r="Q15" s="2030"/>
      <c r="R15" s="2030"/>
    </row>
    <row r="16" spans="1:19" ht="30.75" customHeight="1">
      <c r="A16" s="2063" t="s">
        <v>1803</v>
      </c>
      <c r="B16" s="3008" t="s">
        <v>3056</v>
      </c>
      <c r="C16" s="3009"/>
      <c r="D16" s="3010"/>
      <c r="E16" s="2082" t="s">
        <v>1804</v>
      </c>
      <c r="F16" s="3011" t="s">
        <v>3055</v>
      </c>
      <c r="G16" s="3012"/>
      <c r="H16" s="3012"/>
      <c r="I16" s="3013"/>
      <c r="J16" s="2030"/>
      <c r="K16" s="2079"/>
      <c r="L16" s="2080"/>
      <c r="M16" s="2080"/>
      <c r="N16" s="2081"/>
      <c r="O16" s="2080"/>
      <c r="P16" s="2081"/>
      <c r="Q16" s="2030"/>
      <c r="R16" s="2030"/>
    </row>
    <row r="17" spans="1:22" ht="18" customHeight="1">
      <c r="A17" s="2083" t="s">
        <v>1805</v>
      </c>
      <c r="B17" s="2036" t="s">
        <v>1806</v>
      </c>
      <c r="C17" s="1055">
        <f>'数据-汇总表'!E3</f>
        <v>210018.96</v>
      </c>
      <c r="D17" s="2084" t="s">
        <v>1807</v>
      </c>
      <c r="E17" s="3014" t="s">
        <v>3058</v>
      </c>
      <c r="F17" s="3015"/>
      <c r="G17" s="3015"/>
      <c r="H17" s="3015"/>
      <c r="I17" s="3016"/>
      <c r="J17" s="2030"/>
      <c r="K17" s="2085"/>
      <c r="L17" s="2080"/>
      <c r="M17" s="2080"/>
      <c r="N17" s="2081"/>
      <c r="O17" s="2080"/>
      <c r="P17" s="2081"/>
      <c r="Q17" s="2030"/>
      <c r="R17" s="2030"/>
      <c r="S17" s="2030"/>
      <c r="T17" s="2030"/>
      <c r="U17" s="2030"/>
      <c r="V17" s="2030"/>
    </row>
    <row r="18" spans="1:22" ht="36" customHeight="1" thickBot="1">
      <c r="A18" s="2086" t="s">
        <v>1808</v>
      </c>
      <c r="B18" s="2039" t="s">
        <v>1809</v>
      </c>
      <c r="C18" s="1444">
        <f>'数据-汇总表'!D3</f>
        <v>60943.28</v>
      </c>
      <c r="D18" s="2087" t="s">
        <v>1807</v>
      </c>
      <c r="E18" s="3017" t="s">
        <v>3057</v>
      </c>
      <c r="F18" s="3018"/>
      <c r="G18" s="3018"/>
      <c r="H18" s="3018"/>
      <c r="I18" s="3019"/>
      <c r="J18" s="2030"/>
      <c r="K18" s="2085"/>
      <c r="L18" s="2080"/>
      <c r="M18" s="2080"/>
      <c r="N18" s="2081"/>
      <c r="O18" s="2080"/>
      <c r="P18" s="2081"/>
      <c r="Q18" s="2030"/>
      <c r="R18" s="2030"/>
      <c r="S18" s="2030"/>
      <c r="T18" s="2030"/>
      <c r="U18" s="2030"/>
      <c r="V18" s="2030"/>
    </row>
    <row r="19" spans="1:22" ht="37.5" customHeight="1" thickTop="1" thickBot="1">
      <c r="A19" s="372" t="s">
        <v>1810</v>
      </c>
      <c r="B19" s="351" t="s">
        <v>1811</v>
      </c>
      <c r="C19" s="2088" t="s">
        <v>3061</v>
      </c>
      <c r="D19" s="2089" t="s">
        <v>1812</v>
      </c>
      <c r="E19" s="2090" t="s">
        <v>3060</v>
      </c>
      <c r="F19" s="2091" t="str">
        <f>IF(AND(C19="是",E19="否"),"是否提供他项权证或相关说明","")</f>
        <v>是否提供他项权证或相关说明</v>
      </c>
      <c r="G19" s="2092" t="s">
        <v>3061</v>
      </c>
      <c r="H19" s="2043"/>
      <c r="I19" s="2043"/>
      <c r="J19" s="2043"/>
      <c r="K19" s="2052"/>
      <c r="L19" s="2029"/>
      <c r="M19" s="2029"/>
      <c r="N19" s="2081"/>
      <c r="O19" s="2080"/>
      <c r="P19" s="2081"/>
      <c r="Q19" s="2030"/>
      <c r="R19" s="2030"/>
      <c r="S19" s="2030"/>
      <c r="T19" s="2030"/>
      <c r="U19" s="2030"/>
      <c r="V19" s="2030"/>
    </row>
    <row r="20" spans="1:22" ht="18" customHeight="1">
      <c r="A20" s="2093" t="s">
        <v>1813</v>
      </c>
      <c r="B20" s="3004" t="s">
        <v>1814</v>
      </c>
      <c r="C20" s="3005"/>
      <c r="D20" s="3006" t="s">
        <v>1815</v>
      </c>
      <c r="E20" s="3007"/>
      <c r="F20" s="2094" t="s">
        <v>1816</v>
      </c>
      <c r="G20" s="2043"/>
      <c r="H20" s="2043"/>
      <c r="I20" s="2043"/>
      <c r="J20" s="2043"/>
      <c r="K20" s="3003" t="s">
        <v>1817</v>
      </c>
      <c r="L20" s="747" t="str">
        <f>"根据估价对象"&amp;IF(B22="——",B21&amp;C21,B21&amp;C21&amp;"、"&amp;B22&amp;C22)&amp;"，"&amp;IF(C19="是","截至价值时点，估价对象已设定抵押。","截至价值时点，估价对象抵押权未见登记。")</f>
        <v>根据估价对象《不动产权证书》原件、《不动产权证书》复印件，截至价值时点，估价对象已设定抵押。</v>
      </c>
      <c r="M20" s="2029"/>
      <c r="N20" s="2081"/>
      <c r="O20" s="2080"/>
      <c r="P20" s="2081"/>
      <c r="Q20" s="2030"/>
      <c r="R20" s="2030"/>
      <c r="S20" s="2030"/>
      <c r="T20" s="2030"/>
      <c r="U20" s="2030"/>
      <c r="V20" s="2030"/>
    </row>
    <row r="21" spans="1:22" ht="24.75" customHeight="1">
      <c r="A21" s="2093"/>
      <c r="B21" s="2095" t="s">
        <v>3062</v>
      </c>
      <c r="C21" s="2096" t="s">
        <v>1818</v>
      </c>
      <c r="D21" s="2097" t="s">
        <v>1819</v>
      </c>
      <c r="E21" s="2098" t="s">
        <v>3102</v>
      </c>
      <c r="F21" s="2099"/>
      <c r="G21" s="2043"/>
      <c r="H21" s="2043"/>
      <c r="I21" s="2043"/>
      <c r="J21" s="2043"/>
      <c r="K21" s="3003"/>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c r="M21" s="2029"/>
      <c r="N21" s="2081"/>
      <c r="O21" s="2080"/>
      <c r="P21" s="2081"/>
      <c r="Q21" s="2030"/>
      <c r="R21" s="2030"/>
      <c r="S21" s="2030"/>
      <c r="T21" s="2030"/>
      <c r="U21" s="2030"/>
      <c r="V21" s="2030"/>
    </row>
    <row r="22" spans="1:22" ht="24.75" customHeight="1" thickBot="1">
      <c r="A22" s="2093"/>
      <c r="B22" s="2100" t="s">
        <v>3062</v>
      </c>
      <c r="C22" s="2096" t="s">
        <v>1820</v>
      </c>
      <c r="D22" s="2027"/>
      <c r="E22" s="2027"/>
      <c r="F22" s="2101"/>
      <c r="G22" s="2043"/>
      <c r="H22" s="2043"/>
      <c r="I22" s="2043"/>
      <c r="J22" s="2043"/>
      <c r="K22" s="3003"/>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1"/>
      <c r="O22" s="2080"/>
      <c r="P22" s="2081"/>
      <c r="Q22" s="2030"/>
      <c r="R22" s="2030"/>
      <c r="S22" s="2030"/>
      <c r="T22" s="2030"/>
      <c r="U22" s="2030"/>
      <c r="V22" s="2030"/>
    </row>
    <row r="23" spans="1:22" ht="18" customHeight="1">
      <c r="A23" s="2102" t="s">
        <v>1821</v>
      </c>
      <c r="B23" s="182" t="s">
        <v>1822</v>
      </c>
      <c r="C23" s="2103">
        <v>43005</v>
      </c>
      <c r="D23" s="2104" t="s">
        <v>1822</v>
      </c>
      <c r="E23" s="2105"/>
      <c r="F23" s="2101"/>
      <c r="G23" s="2043"/>
      <c r="H23" s="2043"/>
      <c r="I23" s="2043"/>
      <c r="J23" s="2043"/>
      <c r="K23" s="2106"/>
      <c r="L23" s="747"/>
      <c r="M23" s="2029"/>
      <c r="N23" s="2081"/>
      <c r="O23" s="2080"/>
      <c r="P23" s="2081"/>
      <c r="Q23" s="2030"/>
      <c r="R23" s="2030"/>
      <c r="S23" s="2030"/>
      <c r="T23" s="2030"/>
      <c r="U23" s="2030"/>
      <c r="V23" s="2030"/>
    </row>
    <row r="24" spans="1:22" ht="18" customHeight="1">
      <c r="A24" s="2107"/>
      <c r="B24" s="182" t="s">
        <v>1823</v>
      </c>
      <c r="C24" s="2934" t="s">
        <v>3047</v>
      </c>
      <c r="D24" s="2102" t="s">
        <v>1823</v>
      </c>
      <c r="E24" s="2108"/>
      <c r="F24" s="2101"/>
      <c r="G24" s="2043"/>
      <c r="H24" s="2043"/>
      <c r="I24" s="2043"/>
      <c r="J24" s="2043"/>
      <c r="K24" s="2106"/>
      <c r="L24" s="747"/>
      <c r="M24" s="2029"/>
      <c r="N24" s="2081"/>
      <c r="O24" s="2080"/>
      <c r="P24" s="2081"/>
      <c r="Q24" s="2030"/>
      <c r="R24" s="2030"/>
      <c r="S24" s="2030"/>
      <c r="T24" s="2030"/>
      <c r="U24" s="2030"/>
      <c r="V24" s="2030"/>
    </row>
    <row r="25" spans="1:22" ht="18" customHeight="1">
      <c r="A25" s="2107"/>
      <c r="B25" s="182" t="s">
        <v>1824</v>
      </c>
      <c r="C25" s="2934" t="s">
        <v>3103</v>
      </c>
      <c r="D25" s="2102" t="s">
        <v>1824</v>
      </c>
      <c r="E25" s="2108"/>
      <c r="F25" s="2101"/>
      <c r="G25" s="2043"/>
      <c r="H25" s="2043"/>
      <c r="I25" s="2043"/>
      <c r="J25" s="2043"/>
      <c r="K25" s="2052"/>
      <c r="L25" s="2029"/>
      <c r="M25" s="2029"/>
      <c r="N25" s="2081"/>
      <c r="O25" s="2080"/>
      <c r="P25" s="2081"/>
      <c r="Q25" s="2030"/>
      <c r="R25" s="2030"/>
      <c r="S25" s="2030"/>
      <c r="T25" s="2030"/>
      <c r="U25" s="2030"/>
      <c r="V25" s="2030"/>
    </row>
    <row r="26" spans="1:22" ht="18" customHeight="1" thickBot="1">
      <c r="A26" s="2109"/>
      <c r="B26" s="2110" t="s">
        <v>1825</v>
      </c>
      <c r="C26" s="2111">
        <v>170000</v>
      </c>
      <c r="D26" s="2112" t="s">
        <v>1826</v>
      </c>
      <c r="E26" s="2113"/>
      <c r="F26" s="2114"/>
      <c r="G26" s="2060"/>
      <c r="H26" s="2060"/>
      <c r="I26" s="2060"/>
      <c r="J26" s="2043"/>
      <c r="K26" s="2052"/>
      <c r="L26" s="2029"/>
      <c r="M26" s="2029"/>
      <c r="N26" s="2081"/>
      <c r="O26" s="2080"/>
      <c r="P26" s="2081"/>
      <c r="Q26" s="2030"/>
      <c r="R26" s="2030"/>
      <c r="S26" s="2030"/>
      <c r="T26" s="2030"/>
      <c r="U26" s="2030"/>
      <c r="V26" s="2030"/>
    </row>
    <row r="27" spans="1:22" ht="18" customHeight="1" thickTop="1">
      <c r="A27" s="2991" t="s">
        <v>1827</v>
      </c>
      <c r="B27" s="2061" t="s">
        <v>1828</v>
      </c>
      <c r="C27" s="2115" t="s">
        <v>3063</v>
      </c>
      <c r="D27" s="2116"/>
      <c r="E27" s="2043"/>
      <c r="F27" s="2043"/>
      <c r="G27" s="2043"/>
      <c r="H27" s="2043"/>
      <c r="I27" s="2043"/>
      <c r="J27" s="2030"/>
      <c r="K27" s="2079"/>
      <c r="L27" s="2080"/>
      <c r="M27" s="2080"/>
      <c r="N27" s="2081"/>
      <c r="O27" s="2080"/>
      <c r="P27" s="2081"/>
      <c r="Q27" s="2030"/>
      <c r="R27" s="2030"/>
      <c r="S27" s="2030"/>
      <c r="T27" s="2030"/>
      <c r="U27" s="2030"/>
      <c r="V27" s="2030"/>
    </row>
    <row r="28" spans="1:22" ht="18" customHeight="1">
      <c r="A28" s="2991"/>
      <c r="B28" s="2036" t="s">
        <v>1829</v>
      </c>
      <c r="C28" s="2117" t="s">
        <v>3064</v>
      </c>
      <c r="D28" s="2118"/>
      <c r="E28" s="2043"/>
      <c r="F28" s="2043"/>
      <c r="G28" s="2043"/>
      <c r="H28" s="2043"/>
      <c r="I28" s="2043"/>
      <c r="J28" s="2030"/>
      <c r="K28" s="2119"/>
      <c r="L28" s="2029"/>
      <c r="M28" s="2029"/>
      <c r="N28" s="2030"/>
      <c r="O28" s="2031"/>
      <c r="P28" s="2030"/>
      <c r="Q28" s="2030"/>
      <c r="R28" s="2030"/>
      <c r="S28" s="2030"/>
      <c r="T28" s="2030"/>
      <c r="U28" s="2030"/>
      <c r="V28" s="2030"/>
    </row>
    <row r="29" spans="1:22" ht="18" customHeight="1">
      <c r="A29" s="2991"/>
      <c r="B29" s="2036" t="s">
        <v>1830</v>
      </c>
      <c r="C29" s="2120" t="s">
        <v>3060</v>
      </c>
      <c r="D29" s="2121"/>
      <c r="E29" s="2043"/>
      <c r="F29" s="2043"/>
      <c r="G29" s="2043"/>
      <c r="H29" s="2043"/>
      <c r="I29" s="2043"/>
      <c r="J29" s="2030"/>
      <c r="K29" s="2119"/>
      <c r="L29" s="2029"/>
      <c r="M29" s="2029"/>
      <c r="N29" s="2030"/>
      <c r="O29" s="2031"/>
      <c r="P29" s="2030"/>
      <c r="Q29" s="2030"/>
      <c r="R29" s="2030"/>
      <c r="S29" s="2030"/>
      <c r="T29" s="2030"/>
      <c r="U29" s="2030"/>
      <c r="V29" s="2030"/>
    </row>
    <row r="30" spans="1:22" ht="18" customHeight="1">
      <c r="A30" s="2992"/>
      <c r="B30" s="2036" t="s">
        <v>1831</v>
      </c>
      <c r="C30" s="2993"/>
      <c r="D30" s="2994"/>
      <c r="E30" s="2043"/>
      <c r="F30" s="2043"/>
      <c r="G30" s="2043"/>
      <c r="H30" s="2043"/>
      <c r="I30" s="2043"/>
      <c r="J30" s="2030"/>
      <c r="K30" s="2119"/>
      <c r="L30" s="2029"/>
      <c r="M30" s="2029"/>
      <c r="N30" s="2030"/>
      <c r="O30" s="2031"/>
      <c r="P30" s="2030"/>
      <c r="Q30" s="2030"/>
      <c r="R30" s="2030"/>
      <c r="S30" s="2030"/>
      <c r="T30" s="2030"/>
      <c r="U30" s="2030"/>
      <c r="V30" s="2030"/>
    </row>
    <row r="31" spans="1:22" ht="18" customHeight="1">
      <c r="A31" s="2995" t="s">
        <v>1832</v>
      </c>
      <c r="B31" s="2122" t="s">
        <v>3065</v>
      </c>
      <c r="C31" s="2123" t="str">
        <f>IF(B31="现房","成新及维护状况正常否",IF(B31="在建","工程状态是否正常",IF(B31="土地","是否闲置","-")))</f>
        <v>工程状态是否正常</v>
      </c>
      <c r="D31" s="2124"/>
      <c r="E31" s="2125"/>
      <c r="F31" s="2043"/>
      <c r="G31" s="2043"/>
      <c r="H31" s="2043"/>
      <c r="I31" s="2043"/>
      <c r="J31" s="2043"/>
      <c r="K31" s="2051"/>
      <c r="L31" s="2029"/>
      <c r="M31" s="2029"/>
      <c r="N31" s="2030"/>
      <c r="O31" s="2031"/>
      <c r="P31" s="2030"/>
      <c r="Q31" s="2030"/>
      <c r="R31" s="2030"/>
      <c r="S31" s="2030"/>
      <c r="T31" s="2030"/>
      <c r="U31" s="2030"/>
      <c r="V31" s="2030"/>
    </row>
    <row r="32" spans="1:22" ht="18" customHeight="1">
      <c r="A32" s="2996"/>
      <c r="B32" s="2122" t="s">
        <v>3066</v>
      </c>
      <c r="C32" s="2123" t="str">
        <f>IF(B32="现房","成新及维护状况是否正常",IF(B32="在建","工程状态是否正常",IF(B32="土地","是否闲置","-")))</f>
        <v>-</v>
      </c>
      <c r="D32" s="2124"/>
      <c r="E32" s="2125"/>
      <c r="F32" s="2043"/>
      <c r="G32" s="2043"/>
      <c r="H32" s="2043"/>
      <c r="I32" s="2043"/>
      <c r="J32" s="2043"/>
      <c r="K32" s="2052"/>
      <c r="L32" s="2029"/>
      <c r="M32" s="2029"/>
      <c r="N32" s="2030"/>
      <c r="O32" s="2031"/>
      <c r="P32" s="2030"/>
      <c r="Q32" s="2030"/>
      <c r="R32" s="2030"/>
      <c r="S32" s="2030"/>
      <c r="T32" s="2030"/>
      <c r="U32" s="2030"/>
      <c r="V32" s="2030"/>
    </row>
    <row r="33" spans="1:22" ht="18" customHeight="1">
      <c r="A33" s="2996"/>
      <c r="B33" s="2126"/>
      <c r="C33" s="2066" t="str">
        <f>IF(B33="现房","成新及维护状况是否正常",IF(B33="在建","工程状态是否正常",IF(B33="土地","是否闲置","-")))</f>
        <v>-</v>
      </c>
      <c r="D33" s="2127"/>
      <c r="E33" s="2128"/>
      <c r="F33" s="2043"/>
      <c r="G33" s="2043"/>
      <c r="H33" s="2043"/>
      <c r="I33" s="2043"/>
      <c r="J33" s="2043"/>
      <c r="K33" s="2052"/>
      <c r="L33" s="2029"/>
      <c r="M33" s="2029"/>
      <c r="N33" s="2030"/>
      <c r="O33" s="2031"/>
      <c r="P33" s="2030"/>
      <c r="Q33" s="2030"/>
      <c r="R33" s="2030"/>
      <c r="S33" s="2030"/>
      <c r="T33" s="2030"/>
      <c r="U33" s="2030"/>
      <c r="V33" s="2030"/>
    </row>
    <row r="34" spans="1:22" ht="18" customHeight="1">
      <c r="A34" s="2036" t="s">
        <v>1833</v>
      </c>
      <c r="B34" s="2129" t="s">
        <v>3067</v>
      </c>
      <c r="C34" s="2129" t="s">
        <v>3068</v>
      </c>
      <c r="D34" s="2129" t="s">
        <v>3069</v>
      </c>
      <c r="E34" s="2129" t="s">
        <v>3070</v>
      </c>
      <c r="F34" s="2129" t="s">
        <v>3071</v>
      </c>
      <c r="G34" s="2129" t="s">
        <v>3072</v>
      </c>
      <c r="H34" s="2129" t="s">
        <v>3073</v>
      </c>
      <c r="I34" s="2043"/>
      <c r="J34" s="2043"/>
      <c r="K34" s="1796">
        <f>COUNTIF(B34:H34,"——")</f>
        <v>0</v>
      </c>
      <c r="L34" s="2071" t="s">
        <v>1834</v>
      </c>
      <c r="M34" s="2071" t="s">
        <v>1835</v>
      </c>
      <c r="N34" s="2071" t="s">
        <v>1836</v>
      </c>
      <c r="O34" s="2071" t="s">
        <v>1837</v>
      </c>
      <c r="P34" s="2071" t="s">
        <v>1838</v>
      </c>
      <c r="Q34" s="2071" t="s">
        <v>1839</v>
      </c>
      <c r="R34" s="2071" t="s">
        <v>1840</v>
      </c>
      <c r="S34" s="2990" t="s">
        <v>1841</v>
      </c>
      <c r="T34" s="2130" t="str">
        <f>NUMBERSTRING(7-K34,1)&amp;"通"</f>
        <v>七通</v>
      </c>
      <c r="U34" s="2030"/>
      <c r="V34" s="2030"/>
    </row>
    <row r="35" spans="1:22" ht="18" customHeight="1">
      <c r="A35" s="2131"/>
      <c r="B35" s="2997" t="s">
        <v>1842</v>
      </c>
      <c r="C35" s="2997"/>
      <c r="D35" s="2997"/>
      <c r="E35" s="2997"/>
      <c r="F35" s="2132" t="str">
        <f>C10</f>
        <v>陕西省西安市</v>
      </c>
      <c r="G35" s="2043"/>
      <c r="H35" s="2043"/>
      <c r="I35" s="2043"/>
      <c r="J35" s="2043"/>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通路、通电、通讯、通上水、通下水、燃气、通热</v>
      </c>
      <c r="S35" s="2990"/>
      <c r="T35" s="48" t="str">
        <f>IF(T34="一通",L35,IF(T34="二通",M35,IF(T34="三通",N35,IF(T34="四通",O35,IF(T34="五通",P35,IF(T34="六通",Q35,R35))))))</f>
        <v>通路、通电、通讯、通上水、通下水、燃气、通热</v>
      </c>
      <c r="U35" s="2030"/>
      <c r="V35" s="2030"/>
    </row>
    <row r="36" spans="1:22" ht="18" customHeight="1">
      <c r="A36" s="2133"/>
      <c r="B36" s="2132" t="s">
        <v>1843</v>
      </c>
      <c r="C36" s="2132" t="s">
        <v>1844</v>
      </c>
      <c r="D36" s="2132" t="s">
        <v>1845</v>
      </c>
      <c r="E36" s="2132" t="s">
        <v>1846</v>
      </c>
      <c r="F36" s="2939" t="s">
        <v>3134</v>
      </c>
      <c r="G36" s="2043"/>
      <c r="H36" s="2043"/>
      <c r="I36" s="2043"/>
      <c r="J36" s="2043"/>
      <c r="K36" s="2052"/>
      <c r="L36" s="2029"/>
      <c r="M36" s="2029"/>
      <c r="N36" s="2030"/>
      <c r="O36" s="2031"/>
      <c r="P36" s="2030"/>
      <c r="Q36" s="2030"/>
      <c r="R36" s="2030"/>
      <c r="S36" s="2030"/>
      <c r="T36" s="2030"/>
      <c r="U36" s="2030"/>
      <c r="V36" s="2030"/>
    </row>
    <row r="37" spans="1:22" ht="18" customHeight="1">
      <c r="A37" s="2135" t="s">
        <v>1847</v>
      </c>
      <c r="B37" s="2136"/>
      <c r="C37" s="2136"/>
      <c r="D37" s="2136"/>
      <c r="E37" s="2136"/>
      <c r="F37" s="2134"/>
      <c r="G37" s="2043"/>
      <c r="H37" s="2043"/>
      <c r="I37" s="2043"/>
      <c r="J37" s="2043"/>
      <c r="K37" s="2052"/>
      <c r="L37" s="2029"/>
      <c r="M37" s="2029"/>
      <c r="N37" s="2030"/>
      <c r="O37" s="2031"/>
      <c r="P37" s="2030"/>
      <c r="Q37" s="2030"/>
      <c r="R37" s="2030"/>
      <c r="S37" s="2030"/>
      <c r="T37" s="2030"/>
      <c r="U37" s="2030"/>
      <c r="V37" s="2030"/>
    </row>
    <row r="38" spans="1:22" ht="18" customHeight="1" thickBot="1">
      <c r="A38" s="2137" t="s">
        <v>1848</v>
      </c>
      <c r="B38" s="2138"/>
      <c r="C38" s="2138"/>
      <c r="D38" s="2138"/>
      <c r="E38" s="2138"/>
      <c r="F38" s="2139"/>
      <c r="G38" s="2060"/>
      <c r="H38" s="2060"/>
      <c r="I38" s="2060"/>
      <c r="J38" s="2043"/>
      <c r="K38" s="2052"/>
      <c r="L38" s="2029"/>
      <c r="M38" s="2029"/>
      <c r="N38" s="2030"/>
      <c r="O38" s="2031"/>
      <c r="P38" s="2030"/>
      <c r="Q38" s="2030"/>
      <c r="R38" s="2030"/>
      <c r="S38" s="2030"/>
      <c r="T38" s="2030"/>
      <c r="U38" s="2030"/>
      <c r="V38" s="2030"/>
    </row>
    <row r="39" spans="1:22" s="2144" customFormat="1" ht="18" customHeight="1" thickTop="1" thickBot="1">
      <c r="A39" s="2140" t="s">
        <v>1849</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30"/>
      <c r="B40" s="2030"/>
      <c r="C40" s="2030"/>
      <c r="D40" s="2030"/>
      <c r="E40" s="2030"/>
      <c r="F40" s="2030"/>
      <c r="G40" s="2030"/>
      <c r="H40" s="2030"/>
      <c r="I40" s="2145"/>
      <c r="J40" s="2081"/>
      <c r="K40" s="665"/>
      <c r="L40" s="2080"/>
      <c r="M40" s="2080"/>
      <c r="N40" s="2081"/>
      <c r="O40" s="2080"/>
      <c r="P40" s="2030"/>
      <c r="Q40" s="2030"/>
      <c r="R40" s="2030"/>
      <c r="S40" s="2030"/>
      <c r="T40" s="2030"/>
      <c r="U40" s="2030"/>
      <c r="V40" s="2030"/>
    </row>
    <row r="41" spans="1:22" ht="18" customHeight="1">
      <c r="A41" s="8" t="s">
        <v>1850</v>
      </c>
      <c r="B41" s="2146"/>
      <c r="C41" s="2147"/>
      <c r="D41" s="2030"/>
      <c r="E41" s="2030"/>
      <c r="F41" s="2030"/>
      <c r="G41" s="2030"/>
      <c r="H41" s="2030"/>
      <c r="I41" s="2031"/>
      <c r="J41" s="2030"/>
      <c r="K41" s="2119"/>
      <c r="L41" s="2029"/>
      <c r="M41" s="2029"/>
      <c r="N41" s="2030"/>
      <c r="O41" s="2031"/>
      <c r="P41" s="2030"/>
      <c r="Q41" s="2030"/>
      <c r="R41" s="2030"/>
      <c r="S41" s="2030"/>
      <c r="T41" s="2030"/>
      <c r="U41" s="2030"/>
      <c r="V41" s="2030"/>
    </row>
    <row r="42" spans="1:22" ht="18" customHeight="1">
      <c r="A42" s="2071" t="s">
        <v>1851</v>
      </c>
      <c r="B42" s="1796" t="s">
        <v>1852</v>
      </c>
      <c r="C42" s="1796" t="s">
        <v>1853</v>
      </c>
      <c r="D42" s="1796" t="s">
        <v>1854</v>
      </c>
      <c r="E42" s="1796" t="s">
        <v>1855</v>
      </c>
      <c r="F42" s="1796" t="s">
        <v>1856</v>
      </c>
      <c r="G42" s="1796" t="s">
        <v>1857</v>
      </c>
      <c r="H42" s="1796" t="s">
        <v>1858</v>
      </c>
      <c r="I42" s="1796" t="s">
        <v>1859</v>
      </c>
      <c r="J42" s="2148" t="s">
        <v>1860</v>
      </c>
      <c r="K42" s="2072" t="s">
        <v>1861</v>
      </c>
      <c r="L42" s="2072" t="s">
        <v>1862</v>
      </c>
      <c r="M42" s="2072" t="s">
        <v>1863</v>
      </c>
      <c r="N42" s="1796" t="s">
        <v>1864</v>
      </c>
      <c r="O42" s="1796" t="s">
        <v>1865</v>
      </c>
      <c r="P42" s="1796" t="s">
        <v>1866</v>
      </c>
      <c r="Q42" s="2071" t="s">
        <v>1867</v>
      </c>
      <c r="R42" s="2071" t="s">
        <v>1868</v>
      </c>
      <c r="S42" s="2030"/>
      <c r="T42" s="2030"/>
      <c r="U42" s="2030"/>
      <c r="V42" s="2030"/>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0"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0000"/>
    <pageSetUpPr fitToPage="1"/>
  </sheetPr>
  <dimension ref="A1:BT593"/>
  <sheetViews>
    <sheetView view="pageBreakPreview" zoomScale="9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17" sqref="J17"/>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2" width="9.5" style="2155" customWidth="1"/>
    <col min="13" max="14" width="9.5" style="2155" hidden="1" customWidth="1"/>
    <col min="15" max="15" width="9.875" style="2155" hidden="1" customWidth="1"/>
    <col min="16" max="16" width="9.75" style="2155" hidden="1" customWidth="1"/>
    <col min="17" max="17" width="9.375" style="2155" hidden="1" customWidth="1"/>
    <col min="18" max="18" width="9.25" style="2155" hidden="1" customWidth="1"/>
    <col min="19" max="19" width="10.875" style="2155" hidden="1" customWidth="1"/>
    <col min="20" max="21" width="10.75" style="2155" hidden="1" customWidth="1"/>
    <col min="22" max="22" width="10.875" style="2155" hidden="1" customWidth="1"/>
    <col min="23" max="27" width="10.75" style="2155" hidden="1" customWidth="1"/>
    <col min="28" max="28" width="10.875" style="2155" hidden="1" customWidth="1"/>
    <col min="29" max="29" width="11" style="2155" bestFit="1" customWidth="1"/>
    <col min="30" max="30" width="10" style="2155" bestFit="1" customWidth="1"/>
    <col min="31" max="31" width="9.75" style="2155" customWidth="1"/>
    <col min="32" max="45" width="9.5" style="2155" hidden="1" customWidth="1"/>
    <col min="46"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1869</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59" t="s">
        <v>1870</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3" customFormat="1" ht="24">
      <c r="A2" s="11" t="s">
        <v>1871</v>
      </c>
      <c r="B2" s="11" t="s">
        <v>1872</v>
      </c>
      <c r="C2" s="11" t="s">
        <v>1873</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1874</v>
      </c>
      <c r="AZ2" s="1270" t="s">
        <v>1875</v>
      </c>
      <c r="BA2" s="11" t="s">
        <v>1876</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70334.78</v>
      </c>
      <c r="B3" s="14">
        <f>IF(C3="否",G5-AT5,G5)</f>
        <v>242383.35</v>
      </c>
      <c r="C3" s="2164" t="s">
        <v>3060</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1877</v>
      </c>
      <c r="B5" s="1804"/>
      <c r="C5" s="1804"/>
      <c r="D5" s="1807"/>
      <c r="E5" s="16" t="s">
        <v>1</v>
      </c>
      <c r="F5" s="16">
        <f>SUM(F13:F587)</f>
        <v>0</v>
      </c>
      <c r="G5" s="16">
        <f>SUM(G13:G587)</f>
        <v>250312.35</v>
      </c>
      <c r="H5" s="16">
        <f t="shared" ref="H5:AT5" si="0">SUM(H13:H656)</f>
        <v>238597.35</v>
      </c>
      <c r="I5" s="16">
        <f t="shared" si="0"/>
        <v>164526.35</v>
      </c>
      <c r="J5" s="16">
        <f t="shared" si="0"/>
        <v>32364.39</v>
      </c>
      <c r="K5" s="16">
        <f t="shared" si="0"/>
        <v>74071</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3786</v>
      </c>
      <c r="AD5" s="16">
        <f t="shared" si="0"/>
        <v>3786</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7929</v>
      </c>
      <c r="AU5" s="1803"/>
      <c r="AV5" s="15" t="s">
        <v>1877</v>
      </c>
      <c r="AW5" s="1804"/>
      <c r="AX5" s="1804"/>
      <c r="AY5" s="17" t="s">
        <v>3</v>
      </c>
      <c r="AZ5" s="18">
        <f t="shared" ref="AZ5:BT5" si="1">SUM(AZ13:AZ656)</f>
        <v>210018.96</v>
      </c>
      <c r="BA5" s="18">
        <f t="shared" si="1"/>
        <v>209794.97</v>
      </c>
      <c r="BB5" s="18">
        <f t="shared" si="1"/>
        <v>135723.97</v>
      </c>
      <c r="BC5" s="18">
        <f t="shared" si="1"/>
        <v>74071</v>
      </c>
      <c r="BD5" s="18">
        <f t="shared" si="1"/>
        <v>0</v>
      </c>
      <c r="BE5" s="18">
        <f t="shared" si="1"/>
        <v>0</v>
      </c>
      <c r="BF5" s="18">
        <f t="shared" si="1"/>
        <v>0</v>
      </c>
      <c r="BG5" s="18">
        <f t="shared" si="1"/>
        <v>0</v>
      </c>
      <c r="BH5" s="18">
        <f t="shared" si="1"/>
        <v>0</v>
      </c>
      <c r="BI5" s="18">
        <f t="shared" si="1"/>
        <v>0</v>
      </c>
      <c r="BJ5" s="18">
        <f t="shared" si="1"/>
        <v>0</v>
      </c>
      <c r="BK5" s="18">
        <f t="shared" si="1"/>
        <v>0</v>
      </c>
      <c r="BL5" s="18">
        <f t="shared" si="1"/>
        <v>223.99</v>
      </c>
      <c r="BM5" s="18">
        <f t="shared" si="1"/>
        <v>223.99</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1878</v>
      </c>
      <c r="B6" s="2170"/>
      <c r="C6" s="2170"/>
      <c r="D6" s="2171"/>
      <c r="E6" s="16">
        <f>H6+AC6+AT6</f>
        <v>70334.78</v>
      </c>
      <c r="F6" s="16" t="s">
        <v>1</v>
      </c>
      <c r="G6" s="16" t="s">
        <v>2</v>
      </c>
      <c r="H6" s="20">
        <f>SUMIF(I$12:AB$12,"总值",I6:AB6)</f>
        <v>69236.160000000003</v>
      </c>
      <c r="I6" s="16">
        <f t="shared" ref="I6:AB6" si="2">ROUND($A$3*I5/$B$3,2)</f>
        <v>47742.239999999998</v>
      </c>
      <c r="J6" s="16">
        <f t="shared" si="2"/>
        <v>9391.5</v>
      </c>
      <c r="K6" s="16">
        <f t="shared" si="2"/>
        <v>21493.919999999998</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1098.6199999999999</v>
      </c>
      <c r="AD6" s="16">
        <f t="shared" ref="AD6:AS6" si="3">ROUND($A$3*AD5/$B$3,2)</f>
        <v>1098.6199999999999</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1878</v>
      </c>
      <c r="AW6" s="2170"/>
      <c r="AX6" s="2170"/>
      <c r="AY6" s="21">
        <f>IF(AY3&gt;0,AY3,ROUND($A$3*AZ5/$B$3,2))</f>
        <v>60943.28</v>
      </c>
      <c r="AZ6" s="16" t="s">
        <v>3</v>
      </c>
      <c r="BA6" s="16">
        <f>ROUND($AY$6*BA5/$AZ$5,2)</f>
        <v>60878.28</v>
      </c>
      <c r="BB6" s="16">
        <f>ROUND($AY$6*BB5/$AZ$5,2)</f>
        <v>39384.370000000003</v>
      </c>
      <c r="BC6" s="16">
        <f t="shared" ref="BC6:BH6" si="4">ROUND($AY$6*BC5/$AZ$5,2)</f>
        <v>21493.919999999998</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65</v>
      </c>
      <c r="BM6" s="16">
        <f t="shared" si="5"/>
        <v>65</v>
      </c>
      <c r="BN6" s="16">
        <f t="shared" si="5"/>
        <v>0</v>
      </c>
      <c r="BO6" s="16">
        <f t="shared" si="5"/>
        <v>0</v>
      </c>
      <c r="BP6" s="16">
        <f t="shared" si="5"/>
        <v>0</v>
      </c>
      <c r="BQ6" s="16">
        <f t="shared" si="5"/>
        <v>0</v>
      </c>
      <c r="BR6" s="16">
        <f t="shared" si="5"/>
        <v>0</v>
      </c>
      <c r="BS6" s="16">
        <f t="shared" si="5"/>
        <v>0</v>
      </c>
      <c r="BT6" s="22">
        <f t="shared" si="5"/>
        <v>0</v>
      </c>
    </row>
    <row r="7" spans="1:72" s="2163" customFormat="1" ht="24.75">
      <c r="A7" s="2106" t="s">
        <v>1879</v>
      </c>
      <c r="B7" s="2106" t="s">
        <v>1880</v>
      </c>
      <c r="C7" s="2106" t="s">
        <v>1881</v>
      </c>
      <c r="D7" s="2106" t="s">
        <v>1882</v>
      </c>
      <c r="E7" s="2106" t="s">
        <v>1883</v>
      </c>
      <c r="F7" s="2106" t="s">
        <v>1884</v>
      </c>
      <c r="G7" s="2174" t="s">
        <v>1885</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7"/>
      <c r="AU7" s="2175" t="s">
        <v>1886</v>
      </c>
      <c r="AV7" s="23" t="s">
        <v>1887</v>
      </c>
      <c r="AW7" s="2162" t="s">
        <v>1888</v>
      </c>
      <c r="AX7" s="23" t="s">
        <v>1881</v>
      </c>
      <c r="AY7" s="1804" t="s">
        <v>1889</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1890</v>
      </c>
      <c r="H8" s="2180" t="s">
        <v>1891</v>
      </c>
      <c r="I8" s="2181"/>
      <c r="J8" s="1819"/>
      <c r="K8" s="1819"/>
      <c r="L8" s="1819"/>
      <c r="M8" s="1819"/>
      <c r="N8" s="1819"/>
      <c r="O8" s="1819"/>
      <c r="P8" s="1819"/>
      <c r="Q8" s="1819"/>
      <c r="R8" s="1819"/>
      <c r="S8" s="1819"/>
      <c r="T8" s="1819"/>
      <c r="U8" s="1819"/>
      <c r="V8" s="2182"/>
      <c r="W8" s="1819"/>
      <c r="X8" s="1819"/>
      <c r="Y8" s="1819"/>
      <c r="Z8" s="1819"/>
      <c r="AA8" s="2182"/>
      <c r="AB8" s="2183"/>
      <c r="AC8" s="983" t="s">
        <v>1892</v>
      </c>
      <c r="AD8" s="2184"/>
      <c r="AE8" s="2176"/>
      <c r="AF8" s="1819"/>
      <c r="AG8" s="1819"/>
      <c r="AH8" s="1819"/>
      <c r="AI8" s="1819"/>
      <c r="AJ8" s="1819"/>
      <c r="AK8" s="1819"/>
      <c r="AL8" s="1819"/>
      <c r="AM8" s="1819"/>
      <c r="AN8" s="1819"/>
      <c r="AO8" s="1819"/>
      <c r="AP8" s="1819"/>
      <c r="AQ8" s="1819"/>
      <c r="AR8" s="1819"/>
      <c r="AS8" s="1819"/>
      <c r="AT8" s="1292" t="s">
        <v>1893</v>
      </c>
      <c r="AU8" s="2178" t="s">
        <v>1894</v>
      </c>
      <c r="AV8" s="1292"/>
      <c r="AW8" s="2161"/>
      <c r="AX8" s="1292"/>
      <c r="AY8" s="2162" t="s">
        <v>1895</v>
      </c>
      <c r="AZ8" s="1818" t="s">
        <v>1896</v>
      </c>
      <c r="BA8" s="1819"/>
      <c r="BB8" s="1819"/>
      <c r="BC8" s="1819"/>
      <c r="BD8" s="1819"/>
      <c r="BE8" s="1819"/>
      <c r="BF8" s="1819"/>
      <c r="BG8" s="1819"/>
      <c r="BH8" s="1819"/>
      <c r="BI8" s="1819"/>
      <c r="BJ8" s="1819"/>
      <c r="BK8" s="1819"/>
      <c r="BL8" s="1819"/>
      <c r="BM8" s="1819"/>
      <c r="BN8" s="1819"/>
      <c r="BO8" s="1819"/>
      <c r="BP8" s="1819"/>
      <c r="BQ8" s="1819"/>
      <c r="BR8" s="1819"/>
      <c r="BS8" s="1819"/>
      <c r="BT8" s="26"/>
    </row>
    <row r="9" spans="1:72" s="2185" customFormat="1" ht="12.75">
      <c r="A9" s="2178"/>
      <c r="B9" s="2178"/>
      <c r="C9" s="2178"/>
      <c r="D9" s="2178"/>
      <c r="E9" s="2178"/>
      <c r="F9" s="2178"/>
      <c r="G9" s="1292"/>
      <c r="H9" s="2186" t="s">
        <v>1897</v>
      </c>
      <c r="I9" s="2187" t="s">
        <v>3075</v>
      </c>
      <c r="J9" s="983"/>
      <c r="K9" s="2187" t="s">
        <v>3078</v>
      </c>
      <c r="L9" s="983"/>
      <c r="M9" s="2187"/>
      <c r="N9" s="983"/>
      <c r="O9" s="2187"/>
      <c r="P9" s="983"/>
      <c r="Q9" s="2187"/>
      <c r="R9" s="983"/>
      <c r="S9" s="2187"/>
      <c r="T9" s="983"/>
      <c r="U9" s="2187"/>
      <c r="V9" s="983"/>
      <c r="W9" s="2187"/>
      <c r="X9" s="2188"/>
      <c r="Y9" s="2187"/>
      <c r="Z9" s="983"/>
      <c r="AA9" s="2187"/>
      <c r="AB9" s="983"/>
      <c r="AC9" s="2179" t="s">
        <v>1897</v>
      </c>
      <c r="AD9" s="15" t="s">
        <v>1898</v>
      </c>
      <c r="AE9" s="1298"/>
      <c r="AF9" s="15" t="s">
        <v>1899</v>
      </c>
      <c r="AG9" s="1298"/>
      <c r="AH9" s="15" t="s">
        <v>1898</v>
      </c>
      <c r="AI9" s="1298"/>
      <c r="AJ9" s="15" t="s">
        <v>1899</v>
      </c>
      <c r="AK9" s="1298"/>
      <c r="AL9" s="15" t="s">
        <v>1898</v>
      </c>
      <c r="AM9" s="1298"/>
      <c r="AN9" s="15" t="s">
        <v>1899</v>
      </c>
      <c r="AO9" s="1298"/>
      <c r="AP9" s="15" t="s">
        <v>1898</v>
      </c>
      <c r="AQ9" s="1298"/>
      <c r="AR9" s="15" t="s">
        <v>1899</v>
      </c>
      <c r="AS9" s="2189"/>
      <c r="AT9" s="2178"/>
      <c r="AU9" s="2178" t="s">
        <v>1900</v>
      </c>
      <c r="AV9" s="1292"/>
      <c r="AW9" s="2161"/>
      <c r="AX9" s="1292"/>
      <c r="AY9" s="28"/>
      <c r="AZ9" s="28" t="s">
        <v>1890</v>
      </c>
      <c r="BA9" s="2190" t="s">
        <v>1901</v>
      </c>
      <c r="BB9" s="2191"/>
      <c r="BC9" s="1338"/>
      <c r="BD9" s="1338"/>
      <c r="BE9" s="1338"/>
      <c r="BF9" s="1338"/>
      <c r="BG9" s="1338"/>
      <c r="BH9" s="1338"/>
      <c r="BI9" s="1338"/>
      <c r="BJ9" s="1338"/>
      <c r="BK9" s="2192"/>
      <c r="BL9" s="15" t="s">
        <v>1902</v>
      </c>
      <c r="BM9" s="1819"/>
      <c r="BN9" s="2181"/>
      <c r="BO9" s="1819"/>
      <c r="BP9" s="1819"/>
      <c r="BQ9" s="1819"/>
      <c r="BR9" s="1819"/>
      <c r="BS9" s="1819"/>
      <c r="BT9" s="26"/>
    </row>
    <row r="10" spans="1:72" s="2185" customFormat="1" ht="12.75">
      <c r="A10" s="2178"/>
      <c r="B10" s="2178"/>
      <c r="C10" s="2178"/>
      <c r="D10" s="2178"/>
      <c r="E10" s="2178"/>
      <c r="F10" s="2178"/>
      <c r="G10" s="1292"/>
      <c r="H10" s="28"/>
      <c r="I10" s="2187" t="s">
        <v>3076</v>
      </c>
      <c r="J10" s="983"/>
      <c r="K10" s="2193" t="s">
        <v>3079</v>
      </c>
      <c r="L10" s="983"/>
      <c r="M10" s="2193"/>
      <c r="N10" s="983"/>
      <c r="O10" s="2193"/>
      <c r="P10" s="983"/>
      <c r="Q10" s="2193"/>
      <c r="R10" s="983"/>
      <c r="S10" s="2193"/>
      <c r="T10" s="983"/>
      <c r="U10" s="2193"/>
      <c r="V10" s="983"/>
      <c r="W10" s="2193"/>
      <c r="X10" s="983"/>
      <c r="Y10" s="2193"/>
      <c r="Z10" s="983"/>
      <c r="AA10" s="2193"/>
      <c r="AB10" s="983"/>
      <c r="AC10" s="1292"/>
      <c r="AD10" s="15" t="s">
        <v>1903</v>
      </c>
      <c r="AE10" s="2194"/>
      <c r="AF10" s="15" t="s">
        <v>1903</v>
      </c>
      <c r="AG10" s="2194"/>
      <c r="AH10" s="15" t="s">
        <v>1904</v>
      </c>
      <c r="AI10" s="2194"/>
      <c r="AJ10" s="15" t="s">
        <v>1904</v>
      </c>
      <c r="AK10" s="2194"/>
      <c r="AL10" s="15" t="s">
        <v>1905</v>
      </c>
      <c r="AM10" s="1298"/>
      <c r="AN10" s="15" t="s">
        <v>1905</v>
      </c>
      <c r="AO10" s="1298"/>
      <c r="AP10" s="15" t="s">
        <v>1906</v>
      </c>
      <c r="AQ10" s="1298"/>
      <c r="AR10" s="15" t="s">
        <v>1906</v>
      </c>
      <c r="AS10" s="1298"/>
      <c r="AT10" s="2178"/>
      <c r="AU10" s="2178"/>
      <c r="AV10" s="1292"/>
      <c r="AW10" s="2161"/>
      <c r="AX10" s="1292"/>
      <c r="AY10" s="28"/>
      <c r="AZ10" s="28"/>
      <c r="BA10" s="2195" t="s">
        <v>1897</v>
      </c>
      <c r="BB10" s="2196" t="str">
        <f>I9</f>
        <v>地上</v>
      </c>
      <c r="BC10" s="29" t="str">
        <f>K9</f>
        <v>地下</v>
      </c>
      <c r="BD10" s="29">
        <f>M9</f>
        <v>0</v>
      </c>
      <c r="BE10" s="29">
        <f>O9</f>
        <v>0</v>
      </c>
      <c r="BF10" s="29">
        <f>Q9</f>
        <v>0</v>
      </c>
      <c r="BG10" s="29">
        <f>S9</f>
        <v>0</v>
      </c>
      <c r="BH10" s="29">
        <f>U9</f>
        <v>0</v>
      </c>
      <c r="BI10" s="29">
        <f>W9</f>
        <v>0</v>
      </c>
      <c r="BJ10" s="29">
        <f>Y9</f>
        <v>0</v>
      </c>
      <c r="BK10" s="29">
        <f>AA9</f>
        <v>0</v>
      </c>
      <c r="BL10" s="25" t="s">
        <v>1897</v>
      </c>
      <c r="BM10" s="1818" t="str">
        <f>AD9</f>
        <v>地上</v>
      </c>
      <c r="BN10" s="29" t="str">
        <f>AF9</f>
        <v>地下</v>
      </c>
      <c r="BO10" s="1818" t="str">
        <f>AH9</f>
        <v>地上</v>
      </c>
      <c r="BP10" s="29" t="str">
        <f>AJ9</f>
        <v>地下</v>
      </c>
      <c r="BQ10" s="1818" t="str">
        <f>AL9</f>
        <v>地上</v>
      </c>
      <c r="BR10" s="29" t="str">
        <f>AN9</f>
        <v>地下</v>
      </c>
      <c r="BS10" s="1818" t="str">
        <f>AP9</f>
        <v>地上</v>
      </c>
      <c r="BT10" s="2197" t="str">
        <f>AR9</f>
        <v>地下</v>
      </c>
    </row>
    <row r="11" spans="1:72" s="2185" customFormat="1" ht="12.75">
      <c r="A11" s="2178"/>
      <c r="B11" s="2178"/>
      <c r="C11" s="2178"/>
      <c r="D11" s="2178"/>
      <c r="E11" s="2178"/>
      <c r="F11" s="2178"/>
      <c r="G11" s="1292"/>
      <c r="H11" s="2195"/>
      <c r="I11" s="2198" t="s">
        <v>3077</v>
      </c>
      <c r="J11" s="2199"/>
      <c r="K11" s="2198" t="s">
        <v>3079</v>
      </c>
      <c r="L11" s="2199"/>
      <c r="M11" s="2198"/>
      <c r="N11" s="2199"/>
      <c r="O11" s="2198"/>
      <c r="P11" s="2199"/>
      <c r="Q11" s="2198"/>
      <c r="R11" s="2199"/>
      <c r="S11" s="2198"/>
      <c r="T11" s="2199"/>
      <c r="U11" s="2198"/>
      <c r="V11" s="2199"/>
      <c r="W11" s="2198"/>
      <c r="X11" s="2199"/>
      <c r="Y11" s="2198"/>
      <c r="Z11" s="2199"/>
      <c r="AA11" s="2198"/>
      <c r="AB11" s="2199"/>
      <c r="AC11" s="1292"/>
      <c r="AD11" s="2200" t="s">
        <v>1907</v>
      </c>
      <c r="AE11" s="1820"/>
      <c r="AF11" s="2200" t="s">
        <v>1907</v>
      </c>
      <c r="AG11" s="1820"/>
      <c r="AH11" s="2200" t="s">
        <v>1908</v>
      </c>
      <c r="AI11" s="2201"/>
      <c r="AJ11" s="2200" t="s">
        <v>1908</v>
      </c>
      <c r="AK11" s="1820"/>
      <c r="AL11" s="1818"/>
      <c r="AM11" s="1820"/>
      <c r="AN11" s="1818"/>
      <c r="AO11" s="1820"/>
      <c r="AP11" s="1818"/>
      <c r="AQ11" s="1820"/>
      <c r="AR11" s="1818"/>
      <c r="AS11" s="1820"/>
      <c r="AT11" s="2161"/>
      <c r="AU11" s="2178"/>
      <c r="AV11" s="1292"/>
      <c r="AW11" s="2161"/>
      <c r="AX11" s="1292"/>
      <c r="AY11" s="28"/>
      <c r="AZ11" s="28"/>
      <c r="BA11" s="28"/>
      <c r="BB11" s="2183" t="str">
        <f>I10</f>
        <v>住宅</v>
      </c>
      <c r="BC11" s="2183" t="str">
        <f>K10</f>
        <v>车库</v>
      </c>
      <c r="BD11" s="2183">
        <f>M10</f>
        <v>0</v>
      </c>
      <c r="BE11" s="2183">
        <f>O10</f>
        <v>0</v>
      </c>
      <c r="BF11" s="2183">
        <f>Q10</f>
        <v>0</v>
      </c>
      <c r="BG11" s="2183">
        <f>S10</f>
        <v>0</v>
      </c>
      <c r="BH11" s="2183">
        <f>U10</f>
        <v>0</v>
      </c>
      <c r="BI11" s="2183">
        <f>W10</f>
        <v>0</v>
      </c>
      <c r="BJ11" s="2183">
        <f>Y10</f>
        <v>0</v>
      </c>
      <c r="BK11" s="2183">
        <f>AA10</f>
        <v>0</v>
      </c>
      <c r="BL11" s="1292"/>
      <c r="BM11" s="1818" t="str">
        <f>AD10</f>
        <v>公共配套设施</v>
      </c>
      <c r="BN11" s="1818"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7"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3" t="s">
        <v>1910</v>
      </c>
      <c r="W12" s="11" t="s">
        <v>1909</v>
      </c>
      <c r="X12" s="11" t="s">
        <v>1910</v>
      </c>
      <c r="Y12" s="11" t="s">
        <v>1909</v>
      </c>
      <c r="Z12" s="11" t="s">
        <v>1910</v>
      </c>
      <c r="AA12" s="11" t="s">
        <v>1909</v>
      </c>
      <c r="AB12" s="11" t="s">
        <v>1910</v>
      </c>
      <c r="AC12" s="2205"/>
      <c r="AD12" s="1807"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3" t="s">
        <v>1910</v>
      </c>
      <c r="AT12" s="2206"/>
      <c r="AU12" s="2203"/>
      <c r="AV12" s="31"/>
      <c r="AW12" s="2162"/>
      <c r="AX12" s="31"/>
      <c r="AY12" s="2207"/>
      <c r="AZ12" s="28"/>
      <c r="BA12" s="2195"/>
      <c r="BB12" s="24" t="str">
        <f>I11</f>
        <v>平层住宅</v>
      </c>
      <c r="BC12" s="2208" t="str">
        <f>K11</f>
        <v>车库</v>
      </c>
      <c r="BD12" s="2208">
        <f>M11</f>
        <v>0</v>
      </c>
      <c r="BE12" s="2183">
        <f>O11</f>
        <v>0</v>
      </c>
      <c r="BF12" s="2183">
        <f>Q11</f>
        <v>0</v>
      </c>
      <c r="BG12" s="2183">
        <f>S11</f>
        <v>0</v>
      </c>
      <c r="BH12" s="2183">
        <f>U11</f>
        <v>0</v>
      </c>
      <c r="BI12" s="2183">
        <f>W11</f>
        <v>0</v>
      </c>
      <c r="BJ12" s="2183">
        <f>Y11</f>
        <v>0</v>
      </c>
      <c r="BK12" s="2183">
        <f>AA11</f>
        <v>0</v>
      </c>
      <c r="BL12" s="1292"/>
      <c r="BM12" s="1818" t="str">
        <f>AD11</f>
        <v>（住宅）</v>
      </c>
      <c r="BN12" s="1818" t="str">
        <f>AF11</f>
        <v>（住宅）</v>
      </c>
      <c r="BO12" s="24" t="str">
        <f>AH11</f>
        <v>（住宅、计出让金）</v>
      </c>
      <c r="BP12" s="24" t="str">
        <f>AJ11</f>
        <v>（住宅、计出让金）</v>
      </c>
      <c r="BQ12" s="24">
        <f>AL11</f>
        <v>0</v>
      </c>
      <c r="BR12" s="24">
        <f>AN11</f>
        <v>0</v>
      </c>
      <c r="BS12" s="25">
        <f>AP11</f>
        <v>0</v>
      </c>
      <c r="BT12" s="2202">
        <f>AR11</f>
        <v>0</v>
      </c>
    </row>
    <row r="13" spans="1:72" s="2163" customFormat="1" ht="12.75">
      <c r="A13" s="1272"/>
      <c r="B13" s="1272"/>
      <c r="C13" s="1272" t="s">
        <v>3074</v>
      </c>
      <c r="D13" s="2209" t="s">
        <v>3060</v>
      </c>
      <c r="E13" s="16">
        <f>IF($C$3="是",ROUND($A$3*G13/$B$3,2),ROUND($A$3*(G13-AT13)/$B$3,2))</f>
        <v>298.02</v>
      </c>
      <c r="F13" s="32"/>
      <c r="G13" s="33">
        <f>H13+AC13+AT13</f>
        <v>1027.01</v>
      </c>
      <c r="H13" s="20">
        <f>SUMIF(I$12:AB$12,"总值",I13:AB13)</f>
        <v>0</v>
      </c>
      <c r="I13" s="2210"/>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1027.01</v>
      </c>
      <c r="AD13" s="2211">
        <v>1027.01</v>
      </c>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1号楼</v>
      </c>
      <c r="AY13" s="1807">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2"/>
      <c r="B14" s="1272"/>
      <c r="C14" s="1272" t="s">
        <v>3080</v>
      </c>
      <c r="D14" s="2209" t="s">
        <v>3061</v>
      </c>
      <c r="E14" s="16">
        <f>IF($C$3="是",ROUND($A$3*G14/$B$3,2),ROUND($A$3*(G14-AT14)/$B$3,2))</f>
        <v>7203.78</v>
      </c>
      <c r="F14" s="32"/>
      <c r="G14" s="33">
        <f>H14+AC14+AT14</f>
        <v>24825.22</v>
      </c>
      <c r="H14" s="20">
        <f>SUMIF(I$12:AB$12,"总值",I14:AB14)</f>
        <v>24825.22</v>
      </c>
      <c r="I14" s="2210">
        <v>24825.22</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t="str">
        <f t="shared" si="6"/>
        <v>2号楼</v>
      </c>
      <c r="AY14" s="1807">
        <f>ROUND($AY$6*AZ14/$AZ$5,2)</f>
        <v>7203.78</v>
      </c>
      <c r="AZ14" s="16">
        <f>BA14+BL14</f>
        <v>24825.22</v>
      </c>
      <c r="BA14" s="16">
        <f>SUM(BB14:BK14)</f>
        <v>24825.22</v>
      </c>
      <c r="BB14" s="16">
        <f>IF($D14="是",I14-J14,0)</f>
        <v>24825.22</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5.75" customHeight="1">
      <c r="A15" s="1272"/>
      <c r="B15" s="3275" t="s">
        <v>3219</v>
      </c>
      <c r="C15" s="1272" t="s">
        <v>3081</v>
      </c>
      <c r="D15" s="2209" t="s">
        <v>3061</v>
      </c>
      <c r="E15" s="16">
        <f>IF($C$3="是",ROUND($A$3*G15/$B$3,2),ROUND($A$3*(G15-AT15)/$B$3,2))</f>
        <v>5919.24</v>
      </c>
      <c r="F15" s="32"/>
      <c r="G15" s="33">
        <f>H15+AC15+AT15</f>
        <v>20398.52</v>
      </c>
      <c r="H15" s="20">
        <f>SUMIF(I$12:AB$12,"总值",I15:AB15)</f>
        <v>20392.240000000002</v>
      </c>
      <c r="I15" s="2210">
        <f>20398.52-6.28</f>
        <v>20392.240000000002</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6.28</v>
      </c>
      <c r="AD15" s="2211">
        <v>6.28</v>
      </c>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t="str">
        <f t="shared" si="6"/>
        <v>《测绘报告》</v>
      </c>
      <c r="AX15" s="11" t="str">
        <f t="shared" si="6"/>
        <v>3号楼</v>
      </c>
      <c r="AY15" s="1807">
        <f>ROUND($AY$6*AZ15/$AZ$5,2)</f>
        <v>5919.24</v>
      </c>
      <c r="AZ15" s="16">
        <f>BA15+BL15</f>
        <v>20398.52</v>
      </c>
      <c r="BA15" s="16">
        <f>SUM(BB15:BK15)</f>
        <v>20392.240000000002</v>
      </c>
      <c r="BB15" s="16">
        <f>IF($D15="是",I15-J15,0)</f>
        <v>20392.240000000002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6.28</v>
      </c>
      <c r="BM15" s="16">
        <f>IF($D15="是",AD15-AE15,0)</f>
        <v>6.28</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25.5">
      <c r="A16" s="1272"/>
      <c r="B16" s="3275" t="s">
        <v>3219</v>
      </c>
      <c r="C16" s="1272" t="s">
        <v>3082</v>
      </c>
      <c r="D16" s="2209" t="s">
        <v>3061</v>
      </c>
      <c r="E16" s="16">
        <f>IF($C$3="是",ROUND($A$3*G16/$B$3,2),ROUND($A$3*(G16-AT16)/$B$3,2))</f>
        <v>4173.95</v>
      </c>
      <c r="F16" s="32"/>
      <c r="G16" s="33">
        <f>H16+AC16+AT16</f>
        <v>14384</v>
      </c>
      <c r="H16" s="20">
        <f>SUMIF(I$12:AB$12,"总值",I16:AB16)</f>
        <v>14384</v>
      </c>
      <c r="I16" s="2210">
        <v>14384</v>
      </c>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t="str">
        <f t="shared" si="6"/>
        <v>《测绘报告》</v>
      </c>
      <c r="AX16" s="11" t="str">
        <f t="shared" si="6"/>
        <v>4号楼</v>
      </c>
      <c r="AY16" s="1807">
        <f>ROUND($AY$6*AZ16/$AZ$5,2)</f>
        <v>4173.95</v>
      </c>
      <c r="AZ16" s="16">
        <f>BA16+BL16</f>
        <v>14384</v>
      </c>
      <c r="BA16" s="16">
        <f>SUM(BB16:BK16)</f>
        <v>14384</v>
      </c>
      <c r="BB16" s="16">
        <f>IF($D16="是",I16-J16,0)</f>
        <v>14384</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25.5">
      <c r="A17" s="1272"/>
      <c r="B17" s="3275" t="s">
        <v>3219</v>
      </c>
      <c r="C17" s="1272" t="s">
        <v>3083</v>
      </c>
      <c r="D17" s="2209" t="s">
        <v>3061</v>
      </c>
      <c r="E17" s="16">
        <f>IF($C$3="是",ROUND($A$3*G17/$B$3,2),ROUND($A$3*(G17-AT17)/$B$3,2))</f>
        <v>4173.95</v>
      </c>
      <c r="F17" s="32"/>
      <c r="G17" s="33">
        <f>H17+AC17+AT17</f>
        <v>14384</v>
      </c>
      <c r="H17" s="20">
        <f>SUMIF(I$12:AB$12,"总值",I17:AB17)</f>
        <v>14384</v>
      </c>
      <c r="I17" s="2210">
        <v>14384</v>
      </c>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t="str">
        <f t="shared" si="6"/>
        <v>《测绘报告》</v>
      </c>
      <c r="AX17" s="11" t="str">
        <f t="shared" si="6"/>
        <v>5号楼</v>
      </c>
      <c r="AY17" s="1807">
        <f>ROUND($AY$6*AZ17/$AZ$5,2)</f>
        <v>4173.95</v>
      </c>
      <c r="AZ17" s="16">
        <f>BA17+BL17</f>
        <v>14384</v>
      </c>
      <c r="BA17" s="16">
        <f>SUM(BB17:BK17)</f>
        <v>14384</v>
      </c>
      <c r="BB17" s="16">
        <f>IF($D17="是",I17-J17,0)</f>
        <v>14384</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2" t="s">
        <v>3084</v>
      </c>
      <c r="D18" s="2214" t="s">
        <v>3061</v>
      </c>
      <c r="E18" s="35">
        <f t="shared" ref="E18:E112" si="7">IF($C$3="是",ROUND($A$3*G18/$B$3,2),ROUND($A$3*(G18-AT18)/$B$3,2))</f>
        <v>4229.6000000000004</v>
      </c>
      <c r="F18" s="36"/>
      <c r="G18" s="37">
        <f t="shared" ref="G18:G109" si="8">H18+AC18+AT18</f>
        <v>14575.77</v>
      </c>
      <c r="H18" s="38">
        <f t="shared" ref="H18:H109" si="9">SUMIF(I$12:AB$12,"总值",I18:AB18)</f>
        <v>14575.77</v>
      </c>
      <c r="I18" s="39">
        <v>14575.77</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6">
        <f t="shared" ref="AV18:AV112" si="11">A18</f>
        <v>0</v>
      </c>
      <c r="AW18" s="1796">
        <f t="shared" ref="AW18:AW112" si="12">B18</f>
        <v>0</v>
      </c>
      <c r="AX18" s="1796" t="str">
        <f t="shared" ref="AX18:AX112" si="13">C18</f>
        <v>6号楼</v>
      </c>
      <c r="AY18" s="42">
        <f t="shared" ref="AY18:AY109" si="14">ROUND($AY$6*AZ18/$AZ$5,2)</f>
        <v>4229.6000000000004</v>
      </c>
      <c r="AZ18" s="35">
        <f t="shared" ref="AZ18:AZ109" si="15">BA18+BL18</f>
        <v>14575.77</v>
      </c>
      <c r="BA18" s="35">
        <f t="shared" ref="BA18:BA109" si="16">SUM(BB18:BK18)</f>
        <v>14575.77</v>
      </c>
      <c r="BB18" s="35">
        <f t="shared" ref="BB18:BB109" si="17">IF($D18="是",I18-J18,0)</f>
        <v>14575.77</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t="s">
        <v>3085</v>
      </c>
      <c r="D19" s="2214" t="s">
        <v>3061</v>
      </c>
      <c r="E19" s="35">
        <f t="shared" si="7"/>
        <v>6842.84</v>
      </c>
      <c r="F19" s="36"/>
      <c r="G19" s="37">
        <f t="shared" si="8"/>
        <v>23581.37</v>
      </c>
      <c r="H19" s="38">
        <f t="shared" si="9"/>
        <v>23581.37</v>
      </c>
      <c r="I19" s="39">
        <v>23581.37</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6">
        <f t="shared" si="11"/>
        <v>0</v>
      </c>
      <c r="AW19" s="1796">
        <f t="shared" si="12"/>
        <v>0</v>
      </c>
      <c r="AX19" s="1796" t="str">
        <f t="shared" si="13"/>
        <v>7号楼</v>
      </c>
      <c r="AY19" s="42">
        <f t="shared" si="14"/>
        <v>6842.84</v>
      </c>
      <c r="AZ19" s="35">
        <f t="shared" si="15"/>
        <v>23581.37</v>
      </c>
      <c r="BA19" s="35">
        <f t="shared" si="16"/>
        <v>23581.37</v>
      </c>
      <c r="BB19" s="35">
        <f t="shared" si="17"/>
        <v>23581.37</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t="s">
        <v>3086</v>
      </c>
      <c r="D20" s="2214" t="s">
        <v>3061</v>
      </c>
      <c r="E20" s="35">
        <f t="shared" si="7"/>
        <v>6842.84</v>
      </c>
      <c r="F20" s="36"/>
      <c r="G20" s="37">
        <f t="shared" si="8"/>
        <v>23581.37</v>
      </c>
      <c r="H20" s="38">
        <f t="shared" si="9"/>
        <v>23581.37</v>
      </c>
      <c r="I20" s="39">
        <v>23581.37</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6">
        <f t="shared" si="11"/>
        <v>0</v>
      </c>
      <c r="AW20" s="1796">
        <f t="shared" si="12"/>
        <v>0</v>
      </c>
      <c r="AX20" s="1796" t="str">
        <f t="shared" si="13"/>
        <v>8号楼</v>
      </c>
      <c r="AY20" s="42">
        <f t="shared" si="14"/>
        <v>6842.84</v>
      </c>
      <c r="AZ20" s="35">
        <f t="shared" si="15"/>
        <v>23581.37</v>
      </c>
      <c r="BA20" s="35">
        <f t="shared" si="16"/>
        <v>23581.37</v>
      </c>
      <c r="BB20" s="35">
        <f t="shared" si="17"/>
        <v>23581.37</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t="s">
        <v>3087</v>
      </c>
      <c r="D21" s="2214" t="s">
        <v>3061</v>
      </c>
      <c r="E21" s="35">
        <f t="shared" si="7"/>
        <v>63.18</v>
      </c>
      <c r="F21" s="36"/>
      <c r="G21" s="37">
        <f t="shared" si="8"/>
        <v>217.71</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217.71</v>
      </c>
      <c r="AD21" s="40">
        <v>217.71</v>
      </c>
      <c r="AE21" s="40"/>
      <c r="AF21" s="40"/>
      <c r="AG21" s="40"/>
      <c r="AH21" s="40"/>
      <c r="AI21" s="40"/>
      <c r="AJ21" s="40"/>
      <c r="AK21" s="40"/>
      <c r="AL21" s="40"/>
      <c r="AM21" s="40"/>
      <c r="AN21" s="40"/>
      <c r="AO21" s="40"/>
      <c r="AP21" s="40"/>
      <c r="AQ21" s="40"/>
      <c r="AR21" s="40"/>
      <c r="AS21" s="40"/>
      <c r="AT21" s="41"/>
      <c r="AU21" s="2215"/>
      <c r="AV21" s="1796">
        <f t="shared" si="11"/>
        <v>0</v>
      </c>
      <c r="AW21" s="1796">
        <f t="shared" si="12"/>
        <v>0</v>
      </c>
      <c r="AX21" s="1796" t="str">
        <f t="shared" si="13"/>
        <v>9号楼</v>
      </c>
      <c r="AY21" s="42">
        <f t="shared" si="14"/>
        <v>63.18</v>
      </c>
      <c r="AZ21" s="35">
        <f t="shared" si="15"/>
        <v>217.71</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217.71</v>
      </c>
      <c r="BM21" s="35">
        <f t="shared" si="28"/>
        <v>217.71</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t="s">
        <v>3088</v>
      </c>
      <c r="D22" s="2214" t="s">
        <v>3060</v>
      </c>
      <c r="E22" s="35">
        <f t="shared" si="7"/>
        <v>4178.9399999999996</v>
      </c>
      <c r="F22" s="36"/>
      <c r="G22" s="37">
        <f t="shared" si="8"/>
        <v>14401.19</v>
      </c>
      <c r="H22" s="38">
        <f t="shared" si="9"/>
        <v>14401.19</v>
      </c>
      <c r="I22" s="39">
        <v>14401.19</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6">
        <f t="shared" si="11"/>
        <v>0</v>
      </c>
      <c r="AW22" s="1796">
        <f t="shared" si="12"/>
        <v>0</v>
      </c>
      <c r="AX22" s="1796" t="str">
        <f t="shared" si="13"/>
        <v>10号楼</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t="s">
        <v>3089</v>
      </c>
      <c r="D23" s="2214" t="s">
        <v>3060</v>
      </c>
      <c r="E23" s="35">
        <f t="shared" si="7"/>
        <v>4178.9399999999996</v>
      </c>
      <c r="F23" s="36"/>
      <c r="G23" s="37">
        <f t="shared" si="8"/>
        <v>14401.19</v>
      </c>
      <c r="H23" s="38">
        <f t="shared" si="9"/>
        <v>14401.19</v>
      </c>
      <c r="I23" s="39">
        <v>14401.19</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6">
        <f t="shared" si="11"/>
        <v>0</v>
      </c>
      <c r="AW23" s="1796">
        <f t="shared" si="12"/>
        <v>0</v>
      </c>
      <c r="AX23" s="1796" t="str">
        <f t="shared" si="13"/>
        <v>11号楼</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t="s">
        <v>3090</v>
      </c>
      <c r="D24" s="2214" t="s">
        <v>3060</v>
      </c>
      <c r="E24" s="35">
        <f t="shared" si="7"/>
        <v>735.61</v>
      </c>
      <c r="F24" s="36"/>
      <c r="G24" s="37">
        <f t="shared" si="8"/>
        <v>2535</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2535</v>
      </c>
      <c r="AD24" s="40">
        <v>2535</v>
      </c>
      <c r="AE24" s="40"/>
      <c r="AF24" s="40"/>
      <c r="AG24" s="40"/>
      <c r="AH24" s="40"/>
      <c r="AI24" s="40"/>
      <c r="AJ24" s="40"/>
      <c r="AK24" s="40"/>
      <c r="AL24" s="40"/>
      <c r="AM24" s="40"/>
      <c r="AN24" s="40"/>
      <c r="AO24" s="40"/>
      <c r="AP24" s="40"/>
      <c r="AQ24" s="40"/>
      <c r="AR24" s="40"/>
      <c r="AS24" s="40"/>
      <c r="AT24" s="41"/>
      <c r="AU24" s="2215"/>
      <c r="AV24" s="1796">
        <f t="shared" si="11"/>
        <v>0</v>
      </c>
      <c r="AW24" s="1796">
        <f t="shared" si="12"/>
        <v>0</v>
      </c>
      <c r="AX24" s="1796" t="str">
        <f t="shared" si="13"/>
        <v>12号楼</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2930" t="s">
        <v>3091</v>
      </c>
      <c r="D25" s="2214" t="s">
        <v>3061</v>
      </c>
      <c r="E25" s="35">
        <f t="shared" si="7"/>
        <v>21493.919999999998</v>
      </c>
      <c r="F25" s="36"/>
      <c r="G25" s="37">
        <f t="shared" si="8"/>
        <v>82000</v>
      </c>
      <c r="H25" s="38">
        <f t="shared" si="9"/>
        <v>74071</v>
      </c>
      <c r="I25" s="39"/>
      <c r="J25" s="39"/>
      <c r="K25" s="39">
        <f>82000-AT25</f>
        <v>74071</v>
      </c>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v>7929</v>
      </c>
      <c r="AU25" s="2215"/>
      <c r="AV25" s="1796">
        <f t="shared" si="11"/>
        <v>0</v>
      </c>
      <c r="AW25" s="1796">
        <f t="shared" si="12"/>
        <v>0</v>
      </c>
      <c r="AX25" s="1796" t="str">
        <f t="shared" si="13"/>
        <v>地下车库</v>
      </c>
      <c r="AY25" s="42">
        <f t="shared" si="14"/>
        <v>21493.919999999998</v>
      </c>
      <c r="AZ25" s="35">
        <f t="shared" si="15"/>
        <v>74071</v>
      </c>
      <c r="BA25" s="35">
        <f t="shared" si="16"/>
        <v>74071</v>
      </c>
      <c r="BB25" s="35">
        <f t="shared" si="17"/>
        <v>0</v>
      </c>
      <c r="BC25" s="35">
        <f t="shared" si="18"/>
        <v>74071</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6">
        <f t="shared" si="11"/>
        <v>0</v>
      </c>
      <c r="AW26" s="1796">
        <f t="shared" si="12"/>
        <v>0</v>
      </c>
      <c r="AX26" s="179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6">
        <f t="shared" si="11"/>
        <v>0</v>
      </c>
      <c r="AW27" s="1796">
        <f t="shared" si="12"/>
        <v>0</v>
      </c>
      <c r="AX27" s="179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6">
        <f t="shared" si="11"/>
        <v>0</v>
      </c>
      <c r="AW28" s="1796">
        <f t="shared" si="12"/>
        <v>0</v>
      </c>
      <c r="AX28" s="179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f>G13+G22+G23+G24</f>
        <v>32364.39</v>
      </c>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6">
        <f t="shared" si="11"/>
        <v>0</v>
      </c>
      <c r="AW29" s="1796">
        <f t="shared" si="12"/>
        <v>0</v>
      </c>
      <c r="AX29" s="179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6">
        <f t="shared" si="11"/>
        <v>0</v>
      </c>
      <c r="AW30" s="1796">
        <f t="shared" si="12"/>
        <v>0</v>
      </c>
      <c r="AX30" s="179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6">
        <f t="shared" si="11"/>
        <v>0</v>
      </c>
      <c r="AW31" s="1796">
        <f t="shared" si="12"/>
        <v>0</v>
      </c>
      <c r="AX31" s="179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6">
        <f t="shared" si="11"/>
        <v>0</v>
      </c>
      <c r="AW32" s="1796">
        <f t="shared" si="12"/>
        <v>0</v>
      </c>
      <c r="AX32" s="179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6">
        <f t="shared" si="11"/>
        <v>0</v>
      </c>
      <c r="AW33" s="1796">
        <f t="shared" si="12"/>
        <v>0</v>
      </c>
      <c r="AX33" s="179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6">
        <f t="shared" si="11"/>
        <v>0</v>
      </c>
      <c r="AW34" s="1796">
        <f t="shared" si="12"/>
        <v>0</v>
      </c>
      <c r="AX34" s="179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6">
        <f t="shared" si="11"/>
        <v>0</v>
      </c>
      <c r="AW35" s="1796">
        <f t="shared" si="12"/>
        <v>0</v>
      </c>
      <c r="AX35" s="179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6">
        <f t="shared" si="11"/>
        <v>0</v>
      </c>
      <c r="AW36" s="1796">
        <f t="shared" si="12"/>
        <v>0</v>
      </c>
      <c r="AX36" s="179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6">
        <f t="shared" si="11"/>
        <v>0</v>
      </c>
      <c r="AW37" s="1796">
        <f t="shared" si="12"/>
        <v>0</v>
      </c>
      <c r="AX37" s="179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6">
        <f t="shared" si="11"/>
        <v>0</v>
      </c>
      <c r="AW38" s="1796">
        <f t="shared" si="12"/>
        <v>0</v>
      </c>
      <c r="AX38" s="179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6">
        <f t="shared" si="11"/>
        <v>0</v>
      </c>
      <c r="AW39" s="1796">
        <f t="shared" si="12"/>
        <v>0</v>
      </c>
      <c r="AX39" s="179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6">
        <f t="shared" si="11"/>
        <v>0</v>
      </c>
      <c r="AW40" s="1796">
        <f t="shared" si="12"/>
        <v>0</v>
      </c>
      <c r="AX40" s="179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6">
        <f t="shared" si="11"/>
        <v>0</v>
      </c>
      <c r="AW41" s="1796">
        <f t="shared" si="12"/>
        <v>0</v>
      </c>
      <c r="AX41" s="179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6">
        <f t="shared" si="11"/>
        <v>0</v>
      </c>
      <c r="AW42" s="1796">
        <f t="shared" si="12"/>
        <v>0</v>
      </c>
      <c r="AX42" s="179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6">
        <f t="shared" si="11"/>
        <v>0</v>
      </c>
      <c r="AW43" s="1796">
        <f t="shared" si="12"/>
        <v>0</v>
      </c>
      <c r="AX43" s="179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6">
        <f t="shared" si="11"/>
        <v>0</v>
      </c>
      <c r="AW44" s="1796">
        <f t="shared" si="12"/>
        <v>0</v>
      </c>
      <c r="AX44" s="179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6">
        <f t="shared" si="11"/>
        <v>0</v>
      </c>
      <c r="AW45" s="1796">
        <f t="shared" si="12"/>
        <v>0</v>
      </c>
      <c r="AX45" s="179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6">
        <f t="shared" si="11"/>
        <v>0</v>
      </c>
      <c r="AW46" s="1796">
        <f t="shared" si="12"/>
        <v>0</v>
      </c>
      <c r="AX46" s="179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6">
        <f t="shared" si="11"/>
        <v>0</v>
      </c>
      <c r="AW47" s="1796">
        <f t="shared" si="12"/>
        <v>0</v>
      </c>
      <c r="AX47" s="179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6">
        <f t="shared" si="11"/>
        <v>0</v>
      </c>
      <c r="AW48" s="1796">
        <f t="shared" si="12"/>
        <v>0</v>
      </c>
      <c r="AX48" s="179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6">
        <f t="shared" si="11"/>
        <v>0</v>
      </c>
      <c r="AW49" s="1796">
        <f t="shared" si="12"/>
        <v>0</v>
      </c>
      <c r="AX49" s="179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6">
        <f t="shared" si="11"/>
        <v>0</v>
      </c>
      <c r="AW50" s="1796">
        <f t="shared" si="12"/>
        <v>0</v>
      </c>
      <c r="AX50" s="179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6">
        <f t="shared" si="11"/>
        <v>0</v>
      </c>
      <c r="AW51" s="1796">
        <f t="shared" si="12"/>
        <v>0</v>
      </c>
      <c r="AX51" s="179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6">
        <f t="shared" si="11"/>
        <v>0</v>
      </c>
      <c r="AW52" s="1796">
        <f t="shared" si="12"/>
        <v>0</v>
      </c>
      <c r="AX52" s="179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6">
        <f t="shared" si="11"/>
        <v>0</v>
      </c>
      <c r="AW53" s="1796">
        <f t="shared" si="12"/>
        <v>0</v>
      </c>
      <c r="AX53" s="179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6">
        <f t="shared" si="11"/>
        <v>0</v>
      </c>
      <c r="AW54" s="1796">
        <f t="shared" si="12"/>
        <v>0</v>
      </c>
      <c r="AX54" s="179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6">
        <f t="shared" si="11"/>
        <v>0</v>
      </c>
      <c r="AW55" s="1796">
        <f t="shared" si="12"/>
        <v>0</v>
      </c>
      <c r="AX55" s="179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6">
        <f t="shared" si="11"/>
        <v>0</v>
      </c>
      <c r="AW56" s="1796">
        <f t="shared" si="12"/>
        <v>0</v>
      </c>
      <c r="AX56" s="179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6">
        <f t="shared" si="11"/>
        <v>0</v>
      </c>
      <c r="AW57" s="1796">
        <f t="shared" si="12"/>
        <v>0</v>
      </c>
      <c r="AX57" s="179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6">
        <f t="shared" si="11"/>
        <v>0</v>
      </c>
      <c r="AW58" s="1796">
        <f t="shared" si="12"/>
        <v>0</v>
      </c>
      <c r="AX58" s="179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6">
        <f t="shared" si="11"/>
        <v>0</v>
      </c>
      <c r="AW59" s="1796">
        <f t="shared" si="12"/>
        <v>0</v>
      </c>
      <c r="AX59" s="179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6">
        <f t="shared" si="11"/>
        <v>0</v>
      </c>
      <c r="AW60" s="1796">
        <f t="shared" si="12"/>
        <v>0</v>
      </c>
      <c r="AX60" s="179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6">
        <f t="shared" si="11"/>
        <v>0</v>
      </c>
      <c r="AW61" s="1796">
        <f t="shared" si="12"/>
        <v>0</v>
      </c>
      <c r="AX61" s="179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6">
        <f t="shared" si="11"/>
        <v>0</v>
      </c>
      <c r="AW62" s="1796">
        <f t="shared" si="12"/>
        <v>0</v>
      </c>
      <c r="AX62" s="179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6">
        <f t="shared" si="11"/>
        <v>0</v>
      </c>
      <c r="AW63" s="1796">
        <f t="shared" si="12"/>
        <v>0</v>
      </c>
      <c r="AX63" s="179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6">
        <f t="shared" si="11"/>
        <v>0</v>
      </c>
      <c r="AW64" s="1796">
        <f t="shared" si="12"/>
        <v>0</v>
      </c>
      <c r="AX64" s="179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6">
        <f t="shared" si="11"/>
        <v>0</v>
      </c>
      <c r="AW65" s="1796">
        <f t="shared" si="12"/>
        <v>0</v>
      </c>
      <c r="AX65" s="179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6">
        <f t="shared" si="11"/>
        <v>0</v>
      </c>
      <c r="AW66" s="1796">
        <f t="shared" si="12"/>
        <v>0</v>
      </c>
      <c r="AX66" s="179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6">
        <f t="shared" si="11"/>
        <v>0</v>
      </c>
      <c r="AW67" s="1796">
        <f t="shared" si="12"/>
        <v>0</v>
      </c>
      <c r="AX67" s="179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6">
        <f t="shared" si="11"/>
        <v>0</v>
      </c>
      <c r="AW68" s="1796">
        <f t="shared" si="12"/>
        <v>0</v>
      </c>
      <c r="AX68" s="179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6">
        <f t="shared" si="11"/>
        <v>0</v>
      </c>
      <c r="AW69" s="1796">
        <f t="shared" si="12"/>
        <v>0</v>
      </c>
      <c r="AX69" s="179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6">
        <f t="shared" si="11"/>
        <v>0</v>
      </c>
      <c r="AW70" s="1796">
        <f t="shared" si="12"/>
        <v>0</v>
      </c>
      <c r="AX70" s="179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6">
        <f t="shared" si="11"/>
        <v>0</v>
      </c>
      <c r="AW71" s="1796">
        <f t="shared" si="12"/>
        <v>0</v>
      </c>
      <c r="AX71" s="179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6">
        <f t="shared" si="11"/>
        <v>0</v>
      </c>
      <c r="AW72" s="1796">
        <f t="shared" si="12"/>
        <v>0</v>
      </c>
      <c r="AX72" s="179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6">
        <f t="shared" si="11"/>
        <v>0</v>
      </c>
      <c r="AW73" s="1796">
        <f t="shared" si="12"/>
        <v>0</v>
      </c>
      <c r="AX73" s="179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6">
        <f t="shared" si="11"/>
        <v>0</v>
      </c>
      <c r="AW74" s="1796">
        <f t="shared" si="12"/>
        <v>0</v>
      </c>
      <c r="AX74" s="179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6">
        <f t="shared" si="11"/>
        <v>0</v>
      </c>
      <c r="AW75" s="1796">
        <f t="shared" si="12"/>
        <v>0</v>
      </c>
      <c r="AX75" s="179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6">
        <f t="shared" si="11"/>
        <v>0</v>
      </c>
      <c r="AW76" s="1796">
        <f t="shared" si="12"/>
        <v>0</v>
      </c>
      <c r="AX76" s="179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6">
        <f t="shared" si="11"/>
        <v>0</v>
      </c>
      <c r="AW77" s="1796">
        <f t="shared" si="12"/>
        <v>0</v>
      </c>
      <c r="AX77" s="179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6">
        <f t="shared" si="11"/>
        <v>0</v>
      </c>
      <c r="AW78" s="1796">
        <f t="shared" si="12"/>
        <v>0</v>
      </c>
      <c r="AX78" s="179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6">
        <f t="shared" si="11"/>
        <v>0</v>
      </c>
      <c r="AW79" s="1796">
        <f t="shared" si="12"/>
        <v>0</v>
      </c>
      <c r="AX79" s="179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6">
        <f t="shared" si="11"/>
        <v>0</v>
      </c>
      <c r="AW80" s="1796">
        <f t="shared" si="12"/>
        <v>0</v>
      </c>
      <c r="AX80" s="179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6">
        <f t="shared" si="11"/>
        <v>0</v>
      </c>
      <c r="AW81" s="1796">
        <f t="shared" si="12"/>
        <v>0</v>
      </c>
      <c r="AX81" s="179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6">
        <f t="shared" si="11"/>
        <v>0</v>
      </c>
      <c r="AW82" s="1796">
        <f t="shared" si="12"/>
        <v>0</v>
      </c>
      <c r="AX82" s="179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6">
        <f t="shared" si="11"/>
        <v>0</v>
      </c>
      <c r="AW83" s="1796">
        <f t="shared" si="12"/>
        <v>0</v>
      </c>
      <c r="AX83" s="179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6">
        <f t="shared" si="11"/>
        <v>0</v>
      </c>
      <c r="AW84" s="1796">
        <f t="shared" si="12"/>
        <v>0</v>
      </c>
      <c r="AX84" s="179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6">
        <f t="shared" si="11"/>
        <v>0</v>
      </c>
      <c r="AW85" s="1796">
        <f t="shared" si="12"/>
        <v>0</v>
      </c>
      <c r="AX85" s="179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6">
        <f t="shared" si="11"/>
        <v>0</v>
      </c>
      <c r="AW86" s="1796">
        <f t="shared" si="12"/>
        <v>0</v>
      </c>
      <c r="AX86" s="179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6">
        <f t="shared" si="11"/>
        <v>0</v>
      </c>
      <c r="AW87" s="1796">
        <f t="shared" si="12"/>
        <v>0</v>
      </c>
      <c r="AX87" s="179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6">
        <f t="shared" si="11"/>
        <v>0</v>
      </c>
      <c r="AW88" s="1796">
        <f t="shared" si="12"/>
        <v>0</v>
      </c>
      <c r="AX88" s="179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6">
        <f t="shared" si="11"/>
        <v>0</v>
      </c>
      <c r="AW89" s="1796">
        <f t="shared" si="12"/>
        <v>0</v>
      </c>
      <c r="AX89" s="179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6">
        <f t="shared" si="11"/>
        <v>0</v>
      </c>
      <c r="AW90" s="1796">
        <f t="shared" si="12"/>
        <v>0</v>
      </c>
      <c r="AX90" s="179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6">
        <f t="shared" si="11"/>
        <v>0</v>
      </c>
      <c r="AW91" s="1796">
        <f t="shared" si="12"/>
        <v>0</v>
      </c>
      <c r="AX91" s="179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6">
        <f t="shared" si="11"/>
        <v>0</v>
      </c>
      <c r="AW92" s="1796">
        <f t="shared" si="12"/>
        <v>0</v>
      </c>
      <c r="AX92" s="179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6">
        <f t="shared" si="11"/>
        <v>0</v>
      </c>
      <c r="AW93" s="1796">
        <f t="shared" si="12"/>
        <v>0</v>
      </c>
      <c r="AX93" s="179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6">
        <f t="shared" si="11"/>
        <v>0</v>
      </c>
      <c r="AW94" s="1796">
        <f t="shared" si="12"/>
        <v>0</v>
      </c>
      <c r="AX94" s="179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6">
        <f t="shared" si="11"/>
        <v>0</v>
      </c>
      <c r="AW95" s="1796">
        <f t="shared" si="12"/>
        <v>0</v>
      </c>
      <c r="AX95" s="179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6">
        <f t="shared" si="11"/>
        <v>0</v>
      </c>
      <c r="AW96" s="1796">
        <f t="shared" si="12"/>
        <v>0</v>
      </c>
      <c r="AX96" s="179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6">
        <f t="shared" si="11"/>
        <v>0</v>
      </c>
      <c r="AW97" s="1796">
        <f t="shared" si="12"/>
        <v>0</v>
      </c>
      <c r="AX97" s="179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6">
        <f t="shared" si="11"/>
        <v>0</v>
      </c>
      <c r="AW98" s="1796">
        <f t="shared" si="12"/>
        <v>0</v>
      </c>
      <c r="AX98" s="179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6">
        <f t="shared" si="11"/>
        <v>0</v>
      </c>
      <c r="AW99" s="1796">
        <f t="shared" si="12"/>
        <v>0</v>
      </c>
      <c r="AX99" s="179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6">
        <f t="shared" si="11"/>
        <v>0</v>
      </c>
      <c r="AW100" s="1796">
        <f t="shared" si="12"/>
        <v>0</v>
      </c>
      <c r="AX100" s="179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6">
        <f t="shared" si="11"/>
        <v>0</v>
      </c>
      <c r="AW101" s="1796">
        <f t="shared" si="12"/>
        <v>0</v>
      </c>
      <c r="AX101" s="179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6">
        <f t="shared" si="11"/>
        <v>0</v>
      </c>
      <c r="AW102" s="1796">
        <f t="shared" si="12"/>
        <v>0</v>
      </c>
      <c r="AX102" s="179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6">
        <f t="shared" si="11"/>
        <v>0</v>
      </c>
      <c r="AW103" s="1796">
        <f t="shared" si="12"/>
        <v>0</v>
      </c>
      <c r="AX103" s="179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6">
        <f t="shared" si="11"/>
        <v>0</v>
      </c>
      <c r="AW104" s="1796">
        <f t="shared" si="12"/>
        <v>0</v>
      </c>
      <c r="AX104" s="179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6">
        <f t="shared" si="11"/>
        <v>0</v>
      </c>
      <c r="AW105" s="1796">
        <f t="shared" si="12"/>
        <v>0</v>
      </c>
      <c r="AX105" s="179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6">
        <f t="shared" si="11"/>
        <v>0</v>
      </c>
      <c r="AW106" s="1796">
        <f t="shared" si="12"/>
        <v>0</v>
      </c>
      <c r="AX106" s="179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6">
        <f t="shared" si="11"/>
        <v>0</v>
      </c>
      <c r="AW107" s="1796">
        <f t="shared" si="12"/>
        <v>0</v>
      </c>
      <c r="AX107" s="179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6">
        <f t="shared" si="11"/>
        <v>0</v>
      </c>
      <c r="AW108" s="1796">
        <f t="shared" si="12"/>
        <v>0</v>
      </c>
      <c r="AX108" s="179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6">
        <f t="shared" si="11"/>
        <v>0</v>
      </c>
      <c r="AW109" s="1796">
        <f t="shared" si="12"/>
        <v>0</v>
      </c>
      <c r="AX109" s="179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6">
        <f t="shared" si="11"/>
        <v>0</v>
      </c>
      <c r="AW110" s="1796">
        <f t="shared" si="12"/>
        <v>0</v>
      </c>
      <c r="AX110" s="179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6">
        <f t="shared" si="11"/>
        <v>0</v>
      </c>
      <c r="AW111" s="1796">
        <f t="shared" si="12"/>
        <v>0</v>
      </c>
      <c r="AX111" s="179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6">
        <f t="shared" si="11"/>
        <v>0</v>
      </c>
      <c r="AW112" s="1796">
        <f t="shared" si="12"/>
        <v>0</v>
      </c>
      <c r="AX112" s="179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6">
        <f t="shared" ref="AV113:AV144" si="62">A113</f>
        <v>0</v>
      </c>
      <c r="AW113" s="1796">
        <f t="shared" ref="AW113:AW144" si="63">B113</f>
        <v>0</v>
      </c>
      <c r="AX113" s="179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6">
        <f t="shared" si="62"/>
        <v>0</v>
      </c>
      <c r="AW114" s="1796">
        <f t="shared" si="63"/>
        <v>0</v>
      </c>
      <c r="AX114" s="179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6">
        <f t="shared" si="62"/>
        <v>0</v>
      </c>
      <c r="AW115" s="1796">
        <f t="shared" si="63"/>
        <v>0</v>
      </c>
      <c r="AX115" s="179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6">
        <f t="shared" si="62"/>
        <v>0</v>
      </c>
      <c r="AW116" s="1796">
        <f t="shared" si="63"/>
        <v>0</v>
      </c>
      <c r="AX116" s="179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6">
        <f t="shared" si="62"/>
        <v>0</v>
      </c>
      <c r="AW117" s="1796">
        <f t="shared" si="63"/>
        <v>0</v>
      </c>
      <c r="AX117" s="179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6">
        <f t="shared" si="62"/>
        <v>0</v>
      </c>
      <c r="AW118" s="1796">
        <f t="shared" si="63"/>
        <v>0</v>
      </c>
      <c r="AX118" s="179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6">
        <f t="shared" si="62"/>
        <v>0</v>
      </c>
      <c r="AW119" s="1796">
        <f t="shared" si="63"/>
        <v>0</v>
      </c>
      <c r="AX119" s="179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6">
        <f t="shared" si="62"/>
        <v>0</v>
      </c>
      <c r="AW120" s="1796">
        <f t="shared" si="63"/>
        <v>0</v>
      </c>
      <c r="AX120" s="179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6">
        <f t="shared" si="62"/>
        <v>0</v>
      </c>
      <c r="AW121" s="1796">
        <f t="shared" si="63"/>
        <v>0</v>
      </c>
      <c r="AX121" s="179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6">
        <f t="shared" si="62"/>
        <v>0</v>
      </c>
      <c r="AW122" s="1796">
        <f t="shared" si="63"/>
        <v>0</v>
      </c>
      <c r="AX122" s="179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6">
        <f t="shared" si="62"/>
        <v>0</v>
      </c>
      <c r="AW123" s="1796">
        <f t="shared" si="63"/>
        <v>0</v>
      </c>
      <c r="AX123" s="179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6">
        <f t="shared" si="62"/>
        <v>0</v>
      </c>
      <c r="AW124" s="1796">
        <f t="shared" si="63"/>
        <v>0</v>
      </c>
      <c r="AX124" s="179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6">
        <f t="shared" si="62"/>
        <v>0</v>
      </c>
      <c r="AW125" s="1796">
        <f t="shared" si="63"/>
        <v>0</v>
      </c>
      <c r="AX125" s="179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6">
        <f t="shared" si="62"/>
        <v>0</v>
      </c>
      <c r="AW126" s="1796">
        <f t="shared" si="63"/>
        <v>0</v>
      </c>
      <c r="AX126" s="179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6">
        <f t="shared" si="62"/>
        <v>0</v>
      </c>
      <c r="AW127" s="1796">
        <f t="shared" si="63"/>
        <v>0</v>
      </c>
      <c r="AX127" s="179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6">
        <f t="shared" si="62"/>
        <v>0</v>
      </c>
      <c r="AW128" s="1796">
        <f t="shared" si="63"/>
        <v>0</v>
      </c>
      <c r="AX128" s="179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6">
        <f t="shared" si="62"/>
        <v>0</v>
      </c>
      <c r="AW129" s="1796">
        <f t="shared" si="63"/>
        <v>0</v>
      </c>
      <c r="AX129" s="179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6">
        <f t="shared" si="62"/>
        <v>0</v>
      </c>
      <c r="AW130" s="1796">
        <f t="shared" si="63"/>
        <v>0</v>
      </c>
      <c r="AX130" s="179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6">
        <f t="shared" si="62"/>
        <v>0</v>
      </c>
      <c r="AW131" s="1796">
        <f t="shared" si="63"/>
        <v>0</v>
      </c>
      <c r="AX131" s="179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6">
        <f t="shared" si="62"/>
        <v>0</v>
      </c>
      <c r="AW132" s="1796">
        <f t="shared" si="63"/>
        <v>0</v>
      </c>
      <c r="AX132" s="179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6">
        <f t="shared" si="62"/>
        <v>0</v>
      </c>
      <c r="AW133" s="1796">
        <f t="shared" si="63"/>
        <v>0</v>
      </c>
      <c r="AX133" s="179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6">
        <f t="shared" si="62"/>
        <v>0</v>
      </c>
      <c r="AW134" s="1796">
        <f t="shared" si="63"/>
        <v>0</v>
      </c>
      <c r="AX134" s="179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6">
        <f t="shared" si="62"/>
        <v>0</v>
      </c>
      <c r="AW135" s="1796">
        <f t="shared" si="63"/>
        <v>0</v>
      </c>
      <c r="AX135" s="179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6">
        <f t="shared" si="62"/>
        <v>0</v>
      </c>
      <c r="AW136" s="1796">
        <f t="shared" si="63"/>
        <v>0</v>
      </c>
      <c r="AX136" s="179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6">
        <f t="shared" si="62"/>
        <v>0</v>
      </c>
      <c r="AW137" s="1796">
        <f t="shared" si="63"/>
        <v>0</v>
      </c>
      <c r="AX137" s="179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6">
        <f t="shared" si="62"/>
        <v>0</v>
      </c>
      <c r="AW138" s="1796">
        <f t="shared" si="63"/>
        <v>0</v>
      </c>
      <c r="AX138" s="179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6">
        <f t="shared" si="62"/>
        <v>0</v>
      </c>
      <c r="AW139" s="1796">
        <f t="shared" si="63"/>
        <v>0</v>
      </c>
      <c r="AX139" s="179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6">
        <f t="shared" si="62"/>
        <v>0</v>
      </c>
      <c r="AW140" s="1796">
        <f t="shared" si="63"/>
        <v>0</v>
      </c>
      <c r="AX140" s="179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6">
        <f t="shared" si="62"/>
        <v>0</v>
      </c>
      <c r="AW141" s="1796">
        <f t="shared" si="63"/>
        <v>0</v>
      </c>
      <c r="AX141" s="179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6">
        <f t="shared" si="62"/>
        <v>0</v>
      </c>
      <c r="AW142" s="1796">
        <f t="shared" si="63"/>
        <v>0</v>
      </c>
      <c r="AX142" s="179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6">
        <f t="shared" si="62"/>
        <v>0</v>
      </c>
      <c r="AW143" s="1796">
        <f t="shared" si="63"/>
        <v>0</v>
      </c>
      <c r="AX143" s="179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6">
        <f t="shared" si="62"/>
        <v>0</v>
      </c>
      <c r="AW144" s="1796">
        <f t="shared" si="63"/>
        <v>0</v>
      </c>
      <c r="AX144" s="179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6">
        <f t="shared" ref="AV145:AV176" si="91">A145</f>
        <v>0</v>
      </c>
      <c r="AW145" s="1796">
        <f t="shared" ref="AW145:AW176" si="92">B145</f>
        <v>0</v>
      </c>
      <c r="AX145" s="179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6">
        <f t="shared" si="91"/>
        <v>0</v>
      </c>
      <c r="AW146" s="1796">
        <f t="shared" si="92"/>
        <v>0</v>
      </c>
      <c r="AX146" s="179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6">
        <f t="shared" si="91"/>
        <v>0</v>
      </c>
      <c r="AW147" s="1796">
        <f t="shared" si="92"/>
        <v>0</v>
      </c>
      <c r="AX147" s="179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6">
        <f t="shared" si="91"/>
        <v>0</v>
      </c>
      <c r="AW148" s="1796">
        <f t="shared" si="92"/>
        <v>0</v>
      </c>
      <c r="AX148" s="179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6">
        <f t="shared" si="91"/>
        <v>0</v>
      </c>
      <c r="AW149" s="1796">
        <f t="shared" si="92"/>
        <v>0</v>
      </c>
      <c r="AX149" s="179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6">
        <f t="shared" si="91"/>
        <v>0</v>
      </c>
      <c r="AW150" s="1796">
        <f t="shared" si="92"/>
        <v>0</v>
      </c>
      <c r="AX150" s="179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6">
        <f t="shared" si="91"/>
        <v>0</v>
      </c>
      <c r="AW151" s="1796">
        <f t="shared" si="92"/>
        <v>0</v>
      </c>
      <c r="AX151" s="179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6">
        <f t="shared" si="91"/>
        <v>0</v>
      </c>
      <c r="AW152" s="1796">
        <f t="shared" si="92"/>
        <v>0</v>
      </c>
      <c r="AX152" s="179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6">
        <f t="shared" si="91"/>
        <v>0</v>
      </c>
      <c r="AW153" s="1796">
        <f t="shared" si="92"/>
        <v>0</v>
      </c>
      <c r="AX153" s="179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6">
        <f t="shared" si="91"/>
        <v>0</v>
      </c>
      <c r="AW154" s="1796">
        <f t="shared" si="92"/>
        <v>0</v>
      </c>
      <c r="AX154" s="179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6">
        <f t="shared" si="91"/>
        <v>0</v>
      </c>
      <c r="AW155" s="1796">
        <f t="shared" si="92"/>
        <v>0</v>
      </c>
      <c r="AX155" s="179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6">
        <f t="shared" si="91"/>
        <v>0</v>
      </c>
      <c r="AW156" s="1796">
        <f t="shared" si="92"/>
        <v>0</v>
      </c>
      <c r="AX156" s="179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6">
        <f t="shared" si="91"/>
        <v>0</v>
      </c>
      <c r="AW157" s="1796">
        <f t="shared" si="92"/>
        <v>0</v>
      </c>
      <c r="AX157" s="179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6">
        <f t="shared" si="91"/>
        <v>0</v>
      </c>
      <c r="AW158" s="1796">
        <f t="shared" si="92"/>
        <v>0</v>
      </c>
      <c r="AX158" s="179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6">
        <f t="shared" si="91"/>
        <v>0</v>
      </c>
      <c r="AW159" s="1796">
        <f t="shared" si="92"/>
        <v>0</v>
      </c>
      <c r="AX159" s="179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6">
        <f t="shared" si="91"/>
        <v>0</v>
      </c>
      <c r="AW160" s="1796">
        <f t="shared" si="92"/>
        <v>0</v>
      </c>
      <c r="AX160" s="179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6">
        <f t="shared" si="91"/>
        <v>0</v>
      </c>
      <c r="AW161" s="1796">
        <f t="shared" si="92"/>
        <v>0</v>
      </c>
      <c r="AX161" s="179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6">
        <f t="shared" si="91"/>
        <v>0</v>
      </c>
      <c r="AW162" s="1796">
        <f t="shared" si="92"/>
        <v>0</v>
      </c>
      <c r="AX162" s="179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6">
        <f t="shared" si="91"/>
        <v>0</v>
      </c>
      <c r="AW163" s="1796">
        <f t="shared" si="92"/>
        <v>0</v>
      </c>
      <c r="AX163" s="179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6">
        <f t="shared" si="91"/>
        <v>0</v>
      </c>
      <c r="AW164" s="1796">
        <f t="shared" si="92"/>
        <v>0</v>
      </c>
      <c r="AX164" s="179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6">
        <f t="shared" si="91"/>
        <v>0</v>
      </c>
      <c r="AW165" s="1796">
        <f t="shared" si="92"/>
        <v>0</v>
      </c>
      <c r="AX165" s="179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6">
        <f t="shared" si="91"/>
        <v>0</v>
      </c>
      <c r="AW166" s="1796">
        <f t="shared" si="92"/>
        <v>0</v>
      </c>
      <c r="AX166" s="179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6">
        <f t="shared" si="91"/>
        <v>0</v>
      </c>
      <c r="AW167" s="1796">
        <f t="shared" si="92"/>
        <v>0</v>
      </c>
      <c r="AX167" s="179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6">
        <f t="shared" si="91"/>
        <v>0</v>
      </c>
      <c r="AW168" s="1796">
        <f t="shared" si="92"/>
        <v>0</v>
      </c>
      <c r="AX168" s="179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6">
        <f t="shared" si="91"/>
        <v>0</v>
      </c>
      <c r="AW169" s="1796">
        <f t="shared" si="92"/>
        <v>0</v>
      </c>
      <c r="AX169" s="179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6">
        <f t="shared" si="91"/>
        <v>0</v>
      </c>
      <c r="AW170" s="1796">
        <f t="shared" si="92"/>
        <v>0</v>
      </c>
      <c r="AX170" s="179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6">
        <f t="shared" si="91"/>
        <v>0</v>
      </c>
      <c r="AW171" s="1796">
        <f t="shared" si="92"/>
        <v>0</v>
      </c>
      <c r="AX171" s="179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6">
        <f t="shared" si="91"/>
        <v>0</v>
      </c>
      <c r="AW172" s="1796">
        <f t="shared" si="92"/>
        <v>0</v>
      </c>
      <c r="AX172" s="179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6">
        <f t="shared" si="91"/>
        <v>0</v>
      </c>
      <c r="AW173" s="1796">
        <f t="shared" si="92"/>
        <v>0</v>
      </c>
      <c r="AX173" s="179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6">
        <f t="shared" si="91"/>
        <v>0</v>
      </c>
      <c r="AW174" s="1796">
        <f t="shared" si="92"/>
        <v>0</v>
      </c>
      <c r="AX174" s="179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6">
        <f t="shared" si="91"/>
        <v>0</v>
      </c>
      <c r="AW175" s="1796">
        <f t="shared" si="92"/>
        <v>0</v>
      </c>
      <c r="AX175" s="179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6">
        <f t="shared" si="91"/>
        <v>0</v>
      </c>
      <c r="AW176" s="1796">
        <f t="shared" si="92"/>
        <v>0</v>
      </c>
      <c r="AX176" s="179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6">
        <f t="shared" ref="AV177:AV207" si="120">A177</f>
        <v>0</v>
      </c>
      <c r="AW177" s="1796">
        <f t="shared" ref="AW177:AW207" si="121">B177</f>
        <v>0</v>
      </c>
      <c r="AX177" s="179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6">
        <f t="shared" si="120"/>
        <v>0</v>
      </c>
      <c r="AW178" s="1796">
        <f t="shared" si="121"/>
        <v>0</v>
      </c>
      <c r="AX178" s="179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6">
        <f t="shared" si="120"/>
        <v>0</v>
      </c>
      <c r="AW179" s="1796">
        <f t="shared" si="121"/>
        <v>0</v>
      </c>
      <c r="AX179" s="179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6">
        <f t="shared" si="120"/>
        <v>0</v>
      </c>
      <c r="AW180" s="1796">
        <f t="shared" si="121"/>
        <v>0</v>
      </c>
      <c r="AX180" s="179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6">
        <f t="shared" si="120"/>
        <v>0</v>
      </c>
      <c r="AW181" s="1796">
        <f t="shared" si="121"/>
        <v>0</v>
      </c>
      <c r="AX181" s="179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6">
        <f t="shared" si="120"/>
        <v>0</v>
      </c>
      <c r="AW182" s="1796">
        <f t="shared" si="121"/>
        <v>0</v>
      </c>
      <c r="AX182" s="179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6">
        <f t="shared" si="120"/>
        <v>0</v>
      </c>
      <c r="AW183" s="1796">
        <f t="shared" si="121"/>
        <v>0</v>
      </c>
      <c r="AX183" s="179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6">
        <f t="shared" si="120"/>
        <v>0</v>
      </c>
      <c r="AW184" s="1796">
        <f t="shared" si="121"/>
        <v>0</v>
      </c>
      <c r="AX184" s="179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6">
        <f t="shared" si="120"/>
        <v>0</v>
      </c>
      <c r="AW185" s="1796">
        <f t="shared" si="121"/>
        <v>0</v>
      </c>
      <c r="AX185" s="179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6">
        <f t="shared" si="120"/>
        <v>0</v>
      </c>
      <c r="AW186" s="1796">
        <f t="shared" si="121"/>
        <v>0</v>
      </c>
      <c r="AX186" s="179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6">
        <f t="shared" si="120"/>
        <v>0</v>
      </c>
      <c r="AW187" s="1796">
        <f t="shared" si="121"/>
        <v>0</v>
      </c>
      <c r="AX187" s="179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6">
        <f t="shared" si="120"/>
        <v>0</v>
      </c>
      <c r="AW188" s="1796">
        <f t="shared" si="121"/>
        <v>0</v>
      </c>
      <c r="AX188" s="179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6">
        <f t="shared" si="120"/>
        <v>0</v>
      </c>
      <c r="AW189" s="1796">
        <f t="shared" si="121"/>
        <v>0</v>
      </c>
      <c r="AX189" s="179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6">
        <f t="shared" si="120"/>
        <v>0</v>
      </c>
      <c r="AW190" s="1796">
        <f t="shared" si="121"/>
        <v>0</v>
      </c>
      <c r="AX190" s="179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6">
        <f t="shared" si="120"/>
        <v>0</v>
      </c>
      <c r="AW191" s="1796">
        <f t="shared" si="121"/>
        <v>0</v>
      </c>
      <c r="AX191" s="179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6">
        <f t="shared" si="120"/>
        <v>0</v>
      </c>
      <c r="AW192" s="1796">
        <f t="shared" si="121"/>
        <v>0</v>
      </c>
      <c r="AX192" s="179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6">
        <f t="shared" si="120"/>
        <v>0</v>
      </c>
      <c r="AW193" s="1796">
        <f t="shared" si="121"/>
        <v>0</v>
      </c>
      <c r="AX193" s="179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6">
        <f t="shared" si="120"/>
        <v>0</v>
      </c>
      <c r="AW194" s="1796">
        <f t="shared" si="121"/>
        <v>0</v>
      </c>
      <c r="AX194" s="179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6">
        <f t="shared" si="120"/>
        <v>0</v>
      </c>
      <c r="AW195" s="1796">
        <f t="shared" si="121"/>
        <v>0</v>
      </c>
      <c r="AX195" s="179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6">
        <f t="shared" si="120"/>
        <v>0</v>
      </c>
      <c r="AW196" s="1796">
        <f t="shared" si="121"/>
        <v>0</v>
      </c>
      <c r="AX196" s="179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6">
        <f t="shared" si="120"/>
        <v>0</v>
      </c>
      <c r="AW197" s="1796">
        <f t="shared" si="121"/>
        <v>0</v>
      </c>
      <c r="AX197" s="179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6">
        <f t="shared" si="120"/>
        <v>0</v>
      </c>
      <c r="AW198" s="1796">
        <f t="shared" si="121"/>
        <v>0</v>
      </c>
      <c r="AX198" s="179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6">
        <f t="shared" si="120"/>
        <v>0</v>
      </c>
      <c r="AW199" s="1796">
        <f t="shared" si="121"/>
        <v>0</v>
      </c>
      <c r="AX199" s="179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6">
        <f t="shared" si="120"/>
        <v>0</v>
      </c>
      <c r="AW200" s="1796">
        <f t="shared" si="121"/>
        <v>0</v>
      </c>
      <c r="AX200" s="179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6">
        <f t="shared" si="120"/>
        <v>0</v>
      </c>
      <c r="AW201" s="1796">
        <f t="shared" si="121"/>
        <v>0</v>
      </c>
      <c r="AX201" s="179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6">
        <f t="shared" si="120"/>
        <v>0</v>
      </c>
      <c r="AW202" s="1796">
        <f t="shared" si="121"/>
        <v>0</v>
      </c>
      <c r="AX202" s="179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6">
        <f t="shared" si="120"/>
        <v>0</v>
      </c>
      <c r="AW203" s="1796">
        <f t="shared" si="121"/>
        <v>0</v>
      </c>
      <c r="AX203" s="179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6">
        <f t="shared" si="120"/>
        <v>0</v>
      </c>
      <c r="AW204" s="1796">
        <f t="shared" si="121"/>
        <v>0</v>
      </c>
      <c r="AX204" s="179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6">
        <f t="shared" si="120"/>
        <v>0</v>
      </c>
      <c r="AW205" s="1796">
        <f t="shared" si="121"/>
        <v>0</v>
      </c>
      <c r="AX205" s="179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6">
        <f t="shared" si="120"/>
        <v>0</v>
      </c>
      <c r="AW206" s="1796">
        <f t="shared" si="121"/>
        <v>0</v>
      </c>
      <c r="AX206" s="179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6">
        <f t="shared" si="120"/>
        <v>0</v>
      </c>
      <c r="AW207" s="1796">
        <f t="shared" si="121"/>
        <v>0</v>
      </c>
      <c r="AX207" s="179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6">
        <f t="shared" ref="AV208:AV302" si="127">A208</f>
        <v>0</v>
      </c>
      <c r="AW208" s="1796">
        <f t="shared" ref="AW208:AW302" si="128">B208</f>
        <v>0</v>
      </c>
      <c r="AX208" s="179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6">
        <f t="shared" si="127"/>
        <v>0</v>
      </c>
      <c r="AW209" s="1796">
        <f t="shared" si="128"/>
        <v>0</v>
      </c>
      <c r="AX209" s="179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6">
        <f t="shared" si="127"/>
        <v>0</v>
      </c>
      <c r="AW210" s="1796">
        <f t="shared" si="128"/>
        <v>0</v>
      </c>
      <c r="AX210" s="179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6">
        <f t="shared" si="127"/>
        <v>0</v>
      </c>
      <c r="AW211" s="1796">
        <f t="shared" si="128"/>
        <v>0</v>
      </c>
      <c r="AX211" s="179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6">
        <f t="shared" si="127"/>
        <v>0</v>
      </c>
      <c r="AW212" s="1796">
        <f t="shared" si="128"/>
        <v>0</v>
      </c>
      <c r="AX212" s="179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6">
        <f t="shared" si="127"/>
        <v>0</v>
      </c>
      <c r="AW213" s="1796">
        <f t="shared" si="128"/>
        <v>0</v>
      </c>
      <c r="AX213" s="179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6">
        <f t="shared" si="127"/>
        <v>0</v>
      </c>
      <c r="AW214" s="1796">
        <f t="shared" si="128"/>
        <v>0</v>
      </c>
      <c r="AX214" s="179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6">
        <f t="shared" si="127"/>
        <v>0</v>
      </c>
      <c r="AW215" s="1796">
        <f t="shared" si="128"/>
        <v>0</v>
      </c>
      <c r="AX215" s="179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6">
        <f t="shared" si="127"/>
        <v>0</v>
      </c>
      <c r="AW216" s="1796">
        <f t="shared" si="128"/>
        <v>0</v>
      </c>
      <c r="AX216" s="179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6">
        <f t="shared" si="127"/>
        <v>0</v>
      </c>
      <c r="AW217" s="1796">
        <f t="shared" si="128"/>
        <v>0</v>
      </c>
      <c r="AX217" s="179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6">
        <f t="shared" si="127"/>
        <v>0</v>
      </c>
      <c r="AW218" s="1796">
        <f t="shared" si="128"/>
        <v>0</v>
      </c>
      <c r="AX218" s="179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6">
        <f t="shared" si="127"/>
        <v>0</v>
      </c>
      <c r="AW219" s="1796">
        <f t="shared" si="128"/>
        <v>0</v>
      </c>
      <c r="AX219" s="179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6">
        <f t="shared" si="127"/>
        <v>0</v>
      </c>
      <c r="AW220" s="1796">
        <f t="shared" si="128"/>
        <v>0</v>
      </c>
      <c r="AX220" s="179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6">
        <f t="shared" si="127"/>
        <v>0</v>
      </c>
      <c r="AW221" s="1796">
        <f t="shared" si="128"/>
        <v>0</v>
      </c>
      <c r="AX221" s="179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6">
        <f t="shared" si="127"/>
        <v>0</v>
      </c>
      <c r="AW222" s="1796">
        <f t="shared" si="128"/>
        <v>0</v>
      </c>
      <c r="AX222" s="179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6">
        <f t="shared" si="127"/>
        <v>0</v>
      </c>
      <c r="AW223" s="1796">
        <f t="shared" si="128"/>
        <v>0</v>
      </c>
      <c r="AX223" s="179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6">
        <f t="shared" si="127"/>
        <v>0</v>
      </c>
      <c r="AW224" s="1796">
        <f t="shared" si="128"/>
        <v>0</v>
      </c>
      <c r="AX224" s="179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6">
        <f t="shared" si="127"/>
        <v>0</v>
      </c>
      <c r="AW225" s="1796">
        <f t="shared" si="128"/>
        <v>0</v>
      </c>
      <c r="AX225" s="179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6">
        <f t="shared" si="127"/>
        <v>0</v>
      </c>
      <c r="AW226" s="1796">
        <f t="shared" si="128"/>
        <v>0</v>
      </c>
      <c r="AX226" s="179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6">
        <f t="shared" si="127"/>
        <v>0</v>
      </c>
      <c r="AW227" s="1796">
        <f t="shared" si="128"/>
        <v>0</v>
      </c>
      <c r="AX227" s="179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6">
        <f t="shared" si="127"/>
        <v>0</v>
      </c>
      <c r="AW228" s="1796">
        <f t="shared" si="128"/>
        <v>0</v>
      </c>
      <c r="AX228" s="179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6">
        <f t="shared" si="127"/>
        <v>0</v>
      </c>
      <c r="AW229" s="1796">
        <f t="shared" si="128"/>
        <v>0</v>
      </c>
      <c r="AX229" s="179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6">
        <f t="shared" si="127"/>
        <v>0</v>
      </c>
      <c r="AW230" s="1796">
        <f t="shared" si="128"/>
        <v>0</v>
      </c>
      <c r="AX230" s="179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6">
        <f t="shared" si="127"/>
        <v>0</v>
      </c>
      <c r="AW231" s="1796">
        <f t="shared" si="128"/>
        <v>0</v>
      </c>
      <c r="AX231" s="179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6">
        <f t="shared" si="127"/>
        <v>0</v>
      </c>
      <c r="AW232" s="1796">
        <f t="shared" si="128"/>
        <v>0</v>
      </c>
      <c r="AX232" s="179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6">
        <f t="shared" si="127"/>
        <v>0</v>
      </c>
      <c r="AW233" s="1796">
        <f t="shared" si="128"/>
        <v>0</v>
      </c>
      <c r="AX233" s="179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6">
        <f t="shared" si="127"/>
        <v>0</v>
      </c>
      <c r="AW234" s="1796">
        <f t="shared" si="128"/>
        <v>0</v>
      </c>
      <c r="AX234" s="179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6">
        <f t="shared" si="127"/>
        <v>0</v>
      </c>
      <c r="AW235" s="1796">
        <f t="shared" si="128"/>
        <v>0</v>
      </c>
      <c r="AX235" s="179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6">
        <f t="shared" si="127"/>
        <v>0</v>
      </c>
      <c r="AW236" s="1796">
        <f t="shared" si="128"/>
        <v>0</v>
      </c>
      <c r="AX236" s="179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6">
        <f t="shared" si="127"/>
        <v>0</v>
      </c>
      <c r="AW237" s="1796">
        <f t="shared" si="128"/>
        <v>0</v>
      </c>
      <c r="AX237" s="179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6">
        <f t="shared" si="127"/>
        <v>0</v>
      </c>
      <c r="AW238" s="1796">
        <f t="shared" si="128"/>
        <v>0</v>
      </c>
      <c r="AX238" s="179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6">
        <f t="shared" si="127"/>
        <v>0</v>
      </c>
      <c r="AW239" s="1796">
        <f t="shared" si="128"/>
        <v>0</v>
      </c>
      <c r="AX239" s="179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6">
        <f t="shared" si="127"/>
        <v>0</v>
      </c>
      <c r="AW240" s="1796">
        <f t="shared" si="128"/>
        <v>0</v>
      </c>
      <c r="AX240" s="179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6">
        <f t="shared" si="127"/>
        <v>0</v>
      </c>
      <c r="AW241" s="1796">
        <f t="shared" si="128"/>
        <v>0</v>
      </c>
      <c r="AX241" s="179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6">
        <f t="shared" si="127"/>
        <v>0</v>
      </c>
      <c r="AW242" s="1796">
        <f t="shared" si="128"/>
        <v>0</v>
      </c>
      <c r="AX242" s="179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6">
        <f t="shared" si="127"/>
        <v>0</v>
      </c>
      <c r="AW243" s="1796">
        <f t="shared" si="128"/>
        <v>0</v>
      </c>
      <c r="AX243" s="179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6">
        <f t="shared" si="127"/>
        <v>0</v>
      </c>
      <c r="AW244" s="1796">
        <f t="shared" si="128"/>
        <v>0</v>
      </c>
      <c r="AX244" s="179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6">
        <f t="shared" si="127"/>
        <v>0</v>
      </c>
      <c r="AW245" s="1796">
        <f t="shared" si="128"/>
        <v>0</v>
      </c>
      <c r="AX245" s="179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6">
        <f t="shared" si="127"/>
        <v>0</v>
      </c>
      <c r="AW246" s="1796">
        <f t="shared" si="128"/>
        <v>0</v>
      </c>
      <c r="AX246" s="179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6">
        <f t="shared" si="127"/>
        <v>0</v>
      </c>
      <c r="AW247" s="1796">
        <f t="shared" si="128"/>
        <v>0</v>
      </c>
      <c r="AX247" s="179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6">
        <f t="shared" si="127"/>
        <v>0</v>
      </c>
      <c r="AW248" s="1796">
        <f t="shared" si="128"/>
        <v>0</v>
      </c>
      <c r="AX248" s="179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6">
        <f t="shared" si="127"/>
        <v>0</v>
      </c>
      <c r="AW249" s="1796">
        <f t="shared" si="128"/>
        <v>0</v>
      </c>
      <c r="AX249" s="179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6">
        <f t="shared" si="127"/>
        <v>0</v>
      </c>
      <c r="AW250" s="1796">
        <f t="shared" si="128"/>
        <v>0</v>
      </c>
      <c r="AX250" s="179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6">
        <f t="shared" si="127"/>
        <v>0</v>
      </c>
      <c r="AW251" s="1796">
        <f t="shared" si="128"/>
        <v>0</v>
      </c>
      <c r="AX251" s="179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6">
        <f t="shared" si="127"/>
        <v>0</v>
      </c>
      <c r="AW252" s="1796">
        <f t="shared" si="128"/>
        <v>0</v>
      </c>
      <c r="AX252" s="179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6">
        <f t="shared" si="127"/>
        <v>0</v>
      </c>
      <c r="AW253" s="1796">
        <f t="shared" si="128"/>
        <v>0</v>
      </c>
      <c r="AX253" s="179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6">
        <f t="shared" si="127"/>
        <v>0</v>
      </c>
      <c r="AW254" s="1796">
        <f t="shared" si="128"/>
        <v>0</v>
      </c>
      <c r="AX254" s="179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6">
        <f t="shared" si="127"/>
        <v>0</v>
      </c>
      <c r="AW255" s="1796">
        <f t="shared" si="128"/>
        <v>0</v>
      </c>
      <c r="AX255" s="179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6">
        <f t="shared" si="127"/>
        <v>0</v>
      </c>
      <c r="AW256" s="1796">
        <f t="shared" si="128"/>
        <v>0</v>
      </c>
      <c r="AX256" s="179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6">
        <f t="shared" si="127"/>
        <v>0</v>
      </c>
      <c r="AW257" s="1796">
        <f t="shared" si="128"/>
        <v>0</v>
      </c>
      <c r="AX257" s="179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6">
        <f t="shared" si="127"/>
        <v>0</v>
      </c>
      <c r="AW258" s="1796">
        <f t="shared" si="128"/>
        <v>0</v>
      </c>
      <c r="AX258" s="179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6">
        <f t="shared" si="127"/>
        <v>0</v>
      </c>
      <c r="AW259" s="1796">
        <f t="shared" si="128"/>
        <v>0</v>
      </c>
      <c r="AX259" s="179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6">
        <f t="shared" si="127"/>
        <v>0</v>
      </c>
      <c r="AW260" s="1796">
        <f t="shared" si="128"/>
        <v>0</v>
      </c>
      <c r="AX260" s="179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6">
        <f t="shared" si="127"/>
        <v>0</v>
      </c>
      <c r="AW261" s="1796">
        <f t="shared" si="128"/>
        <v>0</v>
      </c>
      <c r="AX261" s="179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6">
        <f t="shared" si="127"/>
        <v>0</v>
      </c>
      <c r="AW262" s="1796">
        <f t="shared" si="128"/>
        <v>0</v>
      </c>
      <c r="AX262" s="179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6">
        <f t="shared" si="127"/>
        <v>0</v>
      </c>
      <c r="AW263" s="1796">
        <f t="shared" si="128"/>
        <v>0</v>
      </c>
      <c r="AX263" s="179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6">
        <f t="shared" si="127"/>
        <v>0</v>
      </c>
      <c r="AW264" s="1796">
        <f t="shared" si="128"/>
        <v>0</v>
      </c>
      <c r="AX264" s="179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6">
        <f t="shared" si="127"/>
        <v>0</v>
      </c>
      <c r="AW265" s="1796">
        <f t="shared" si="128"/>
        <v>0</v>
      </c>
      <c r="AX265" s="179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6">
        <f t="shared" si="127"/>
        <v>0</v>
      </c>
      <c r="AW266" s="1796">
        <f t="shared" si="128"/>
        <v>0</v>
      </c>
      <c r="AX266" s="179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6">
        <f t="shared" si="127"/>
        <v>0</v>
      </c>
      <c r="AW267" s="1796">
        <f t="shared" si="128"/>
        <v>0</v>
      </c>
      <c r="AX267" s="179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6">
        <f t="shared" si="127"/>
        <v>0</v>
      </c>
      <c r="AW268" s="1796">
        <f t="shared" si="128"/>
        <v>0</v>
      </c>
      <c r="AX268" s="179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6">
        <f t="shared" si="127"/>
        <v>0</v>
      </c>
      <c r="AW269" s="1796">
        <f t="shared" si="128"/>
        <v>0</v>
      </c>
      <c r="AX269" s="179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6">
        <f t="shared" si="127"/>
        <v>0</v>
      </c>
      <c r="AW270" s="1796">
        <f t="shared" si="128"/>
        <v>0</v>
      </c>
      <c r="AX270" s="179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6">
        <f t="shared" si="127"/>
        <v>0</v>
      </c>
      <c r="AW271" s="1796">
        <f t="shared" si="128"/>
        <v>0</v>
      </c>
      <c r="AX271" s="179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6">
        <f t="shared" si="127"/>
        <v>0</v>
      </c>
      <c r="AW272" s="1796">
        <f t="shared" si="128"/>
        <v>0</v>
      </c>
      <c r="AX272" s="179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6">
        <f t="shared" si="127"/>
        <v>0</v>
      </c>
      <c r="AW273" s="1796">
        <f t="shared" si="128"/>
        <v>0</v>
      </c>
      <c r="AX273" s="179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6">
        <f t="shared" si="127"/>
        <v>0</v>
      </c>
      <c r="AW274" s="1796">
        <f t="shared" si="128"/>
        <v>0</v>
      </c>
      <c r="AX274" s="179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6">
        <f t="shared" si="127"/>
        <v>0</v>
      </c>
      <c r="AW275" s="1796">
        <f t="shared" si="128"/>
        <v>0</v>
      </c>
      <c r="AX275" s="179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6">
        <f t="shared" si="127"/>
        <v>0</v>
      </c>
      <c r="AW276" s="1796">
        <f t="shared" si="128"/>
        <v>0</v>
      </c>
      <c r="AX276" s="179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6">
        <f t="shared" si="127"/>
        <v>0</v>
      </c>
      <c r="AW277" s="1796">
        <f t="shared" si="128"/>
        <v>0</v>
      </c>
      <c r="AX277" s="179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6">
        <f t="shared" si="127"/>
        <v>0</v>
      </c>
      <c r="AW278" s="1796">
        <f t="shared" si="128"/>
        <v>0</v>
      </c>
      <c r="AX278" s="179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6">
        <f t="shared" si="127"/>
        <v>0</v>
      </c>
      <c r="AW279" s="1796">
        <f t="shared" si="128"/>
        <v>0</v>
      </c>
      <c r="AX279" s="179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6">
        <f t="shared" si="127"/>
        <v>0</v>
      </c>
      <c r="AW280" s="1796">
        <f t="shared" si="128"/>
        <v>0</v>
      </c>
      <c r="AX280" s="179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6">
        <f t="shared" si="127"/>
        <v>0</v>
      </c>
      <c r="AW281" s="1796">
        <f t="shared" si="128"/>
        <v>0</v>
      </c>
      <c r="AX281" s="179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6">
        <f t="shared" si="127"/>
        <v>0</v>
      </c>
      <c r="AW282" s="1796">
        <f t="shared" si="128"/>
        <v>0</v>
      </c>
      <c r="AX282" s="179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6">
        <f t="shared" si="127"/>
        <v>0</v>
      </c>
      <c r="AW283" s="1796">
        <f t="shared" si="128"/>
        <v>0</v>
      </c>
      <c r="AX283" s="179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6">
        <f t="shared" si="127"/>
        <v>0</v>
      </c>
      <c r="AW284" s="1796">
        <f t="shared" si="128"/>
        <v>0</v>
      </c>
      <c r="AX284" s="179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6">
        <f t="shared" si="127"/>
        <v>0</v>
      </c>
      <c r="AW285" s="1796">
        <f t="shared" si="128"/>
        <v>0</v>
      </c>
      <c r="AX285" s="179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6">
        <f t="shared" si="127"/>
        <v>0</v>
      </c>
      <c r="AW286" s="1796">
        <f t="shared" si="128"/>
        <v>0</v>
      </c>
      <c r="AX286" s="179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6">
        <f t="shared" si="127"/>
        <v>0</v>
      </c>
      <c r="AW287" s="1796">
        <f t="shared" si="128"/>
        <v>0</v>
      </c>
      <c r="AX287" s="179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6">
        <f t="shared" si="127"/>
        <v>0</v>
      </c>
      <c r="AW288" s="1796">
        <f t="shared" si="128"/>
        <v>0</v>
      </c>
      <c r="AX288" s="179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6">
        <f t="shared" si="127"/>
        <v>0</v>
      </c>
      <c r="AW289" s="1796">
        <f t="shared" si="128"/>
        <v>0</v>
      </c>
      <c r="AX289" s="179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6">
        <f t="shared" si="127"/>
        <v>0</v>
      </c>
      <c r="AW290" s="1796">
        <f t="shared" si="128"/>
        <v>0</v>
      </c>
      <c r="AX290" s="179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6">
        <f t="shared" si="127"/>
        <v>0</v>
      </c>
      <c r="AW291" s="1796">
        <f t="shared" si="128"/>
        <v>0</v>
      </c>
      <c r="AX291" s="179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6">
        <f t="shared" si="127"/>
        <v>0</v>
      </c>
      <c r="AW292" s="1796">
        <f t="shared" si="128"/>
        <v>0</v>
      </c>
      <c r="AX292" s="179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6">
        <f t="shared" si="127"/>
        <v>0</v>
      </c>
      <c r="AW293" s="1796">
        <f t="shared" si="128"/>
        <v>0</v>
      </c>
      <c r="AX293" s="179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6">
        <f t="shared" si="127"/>
        <v>0</v>
      </c>
      <c r="AW294" s="1796">
        <f t="shared" si="128"/>
        <v>0</v>
      </c>
      <c r="AX294" s="179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6">
        <f t="shared" si="127"/>
        <v>0</v>
      </c>
      <c r="AW295" s="1796">
        <f t="shared" si="128"/>
        <v>0</v>
      </c>
      <c r="AX295" s="179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6">
        <f t="shared" si="127"/>
        <v>0</v>
      </c>
      <c r="AW296" s="1796">
        <f t="shared" si="128"/>
        <v>0</v>
      </c>
      <c r="AX296" s="179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6">
        <f t="shared" si="127"/>
        <v>0</v>
      </c>
      <c r="AW297" s="1796">
        <f t="shared" si="128"/>
        <v>0</v>
      </c>
      <c r="AX297" s="179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6">
        <f t="shared" si="127"/>
        <v>0</v>
      </c>
      <c r="AW298" s="1796">
        <f t="shared" si="128"/>
        <v>0</v>
      </c>
      <c r="AX298" s="179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6">
        <f t="shared" si="127"/>
        <v>0</v>
      </c>
      <c r="AW299" s="1796">
        <f t="shared" si="128"/>
        <v>0</v>
      </c>
      <c r="AX299" s="179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6">
        <f t="shared" si="127"/>
        <v>0</v>
      </c>
      <c r="AW300" s="1796">
        <f t="shared" si="128"/>
        <v>0</v>
      </c>
      <c r="AX300" s="179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6">
        <f t="shared" si="127"/>
        <v>0</v>
      </c>
      <c r="AW301" s="1796">
        <f t="shared" si="128"/>
        <v>0</v>
      </c>
      <c r="AX301" s="179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6">
        <f t="shared" si="127"/>
        <v>0</v>
      </c>
      <c r="AW302" s="1796">
        <f t="shared" si="128"/>
        <v>0</v>
      </c>
      <c r="AX302" s="179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6">
        <f t="shared" ref="AV303:AV334" si="178">A303</f>
        <v>0</v>
      </c>
      <c r="AW303" s="1796">
        <f t="shared" ref="AW303:AW334" si="179">B303</f>
        <v>0</v>
      </c>
      <c r="AX303" s="179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6">
        <f t="shared" si="178"/>
        <v>0</v>
      </c>
      <c r="AW304" s="1796">
        <f t="shared" si="179"/>
        <v>0</v>
      </c>
      <c r="AX304" s="179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6">
        <f t="shared" si="178"/>
        <v>0</v>
      </c>
      <c r="AW305" s="1796">
        <f t="shared" si="179"/>
        <v>0</v>
      </c>
      <c r="AX305" s="179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6">
        <f t="shared" si="178"/>
        <v>0</v>
      </c>
      <c r="AW306" s="1796">
        <f t="shared" si="179"/>
        <v>0</v>
      </c>
      <c r="AX306" s="179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6">
        <f t="shared" si="178"/>
        <v>0</v>
      </c>
      <c r="AW307" s="1796">
        <f t="shared" si="179"/>
        <v>0</v>
      </c>
      <c r="AX307" s="179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6">
        <f t="shared" si="178"/>
        <v>0</v>
      </c>
      <c r="AW308" s="1796">
        <f t="shared" si="179"/>
        <v>0</v>
      </c>
      <c r="AX308" s="179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6">
        <f t="shared" si="178"/>
        <v>0</v>
      </c>
      <c r="AW309" s="1796">
        <f t="shared" si="179"/>
        <v>0</v>
      </c>
      <c r="AX309" s="179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6">
        <f t="shared" si="178"/>
        <v>0</v>
      </c>
      <c r="AW310" s="1796">
        <f t="shared" si="179"/>
        <v>0</v>
      </c>
      <c r="AX310" s="179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6">
        <f t="shared" si="178"/>
        <v>0</v>
      </c>
      <c r="AW311" s="1796">
        <f t="shared" si="179"/>
        <v>0</v>
      </c>
      <c r="AX311" s="179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6">
        <f t="shared" si="178"/>
        <v>0</v>
      </c>
      <c r="AW312" s="1796">
        <f t="shared" si="179"/>
        <v>0</v>
      </c>
      <c r="AX312" s="179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6">
        <f t="shared" si="178"/>
        <v>0</v>
      </c>
      <c r="AW313" s="1796">
        <f t="shared" si="179"/>
        <v>0</v>
      </c>
      <c r="AX313" s="179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6">
        <f t="shared" si="178"/>
        <v>0</v>
      </c>
      <c r="AW314" s="1796">
        <f t="shared" si="179"/>
        <v>0</v>
      </c>
      <c r="AX314" s="179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6">
        <f t="shared" si="178"/>
        <v>0</v>
      </c>
      <c r="AW315" s="1796">
        <f t="shared" si="179"/>
        <v>0</v>
      </c>
      <c r="AX315" s="179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6">
        <f t="shared" si="178"/>
        <v>0</v>
      </c>
      <c r="AW316" s="1796">
        <f t="shared" si="179"/>
        <v>0</v>
      </c>
      <c r="AX316" s="179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6">
        <f t="shared" si="178"/>
        <v>0</v>
      </c>
      <c r="AW317" s="1796">
        <f t="shared" si="179"/>
        <v>0</v>
      </c>
      <c r="AX317" s="179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6">
        <f t="shared" si="178"/>
        <v>0</v>
      </c>
      <c r="AW318" s="1796">
        <f t="shared" si="179"/>
        <v>0</v>
      </c>
      <c r="AX318" s="179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6">
        <f t="shared" si="178"/>
        <v>0</v>
      </c>
      <c r="AW319" s="1796">
        <f t="shared" si="179"/>
        <v>0</v>
      </c>
      <c r="AX319" s="179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6">
        <f t="shared" si="178"/>
        <v>0</v>
      </c>
      <c r="AW320" s="1796">
        <f t="shared" si="179"/>
        <v>0</v>
      </c>
      <c r="AX320" s="179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6">
        <f t="shared" si="178"/>
        <v>0</v>
      </c>
      <c r="AW321" s="1796">
        <f t="shared" si="179"/>
        <v>0</v>
      </c>
      <c r="AX321" s="179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6">
        <f t="shared" si="178"/>
        <v>0</v>
      </c>
      <c r="AW322" s="1796">
        <f t="shared" si="179"/>
        <v>0</v>
      </c>
      <c r="AX322" s="179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6">
        <f t="shared" si="178"/>
        <v>0</v>
      </c>
      <c r="AW323" s="1796">
        <f t="shared" si="179"/>
        <v>0</v>
      </c>
      <c r="AX323" s="179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6">
        <f t="shared" si="178"/>
        <v>0</v>
      </c>
      <c r="AW324" s="1796">
        <f t="shared" si="179"/>
        <v>0</v>
      </c>
      <c r="AX324" s="179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6">
        <f t="shared" si="178"/>
        <v>0</v>
      </c>
      <c r="AW325" s="1796">
        <f t="shared" si="179"/>
        <v>0</v>
      </c>
      <c r="AX325" s="179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6">
        <f t="shared" si="178"/>
        <v>0</v>
      </c>
      <c r="AW326" s="1796">
        <f t="shared" si="179"/>
        <v>0</v>
      </c>
      <c r="AX326" s="179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6">
        <f t="shared" si="178"/>
        <v>0</v>
      </c>
      <c r="AW327" s="1796">
        <f t="shared" si="179"/>
        <v>0</v>
      </c>
      <c r="AX327" s="179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6">
        <f t="shared" si="178"/>
        <v>0</v>
      </c>
      <c r="AW328" s="1796">
        <f t="shared" si="179"/>
        <v>0</v>
      </c>
      <c r="AX328" s="179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6">
        <f t="shared" si="178"/>
        <v>0</v>
      </c>
      <c r="AW329" s="1796">
        <f t="shared" si="179"/>
        <v>0</v>
      </c>
      <c r="AX329" s="179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6">
        <f t="shared" si="178"/>
        <v>0</v>
      </c>
      <c r="AW330" s="1796">
        <f t="shared" si="179"/>
        <v>0</v>
      </c>
      <c r="AX330" s="179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6">
        <f t="shared" si="178"/>
        <v>0</v>
      </c>
      <c r="AW331" s="1796">
        <f t="shared" si="179"/>
        <v>0</v>
      </c>
      <c r="AX331" s="179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6">
        <f t="shared" si="178"/>
        <v>0</v>
      </c>
      <c r="AW332" s="1796">
        <f t="shared" si="179"/>
        <v>0</v>
      </c>
      <c r="AX332" s="179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6">
        <f t="shared" si="178"/>
        <v>0</v>
      </c>
      <c r="AW333" s="1796">
        <f t="shared" si="179"/>
        <v>0</v>
      </c>
      <c r="AX333" s="179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6">
        <f t="shared" si="178"/>
        <v>0</v>
      </c>
      <c r="AW334" s="1796">
        <f t="shared" si="179"/>
        <v>0</v>
      </c>
      <c r="AX334" s="179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6">
        <f t="shared" ref="AV335:AV366" si="207">A335</f>
        <v>0</v>
      </c>
      <c r="AW335" s="1796">
        <f t="shared" ref="AW335:AW366" si="208">B335</f>
        <v>0</v>
      </c>
      <c r="AX335" s="179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6">
        <f t="shared" si="207"/>
        <v>0</v>
      </c>
      <c r="AW336" s="1796">
        <f t="shared" si="208"/>
        <v>0</v>
      </c>
      <c r="AX336" s="179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6">
        <f t="shared" si="207"/>
        <v>0</v>
      </c>
      <c r="AW337" s="1796">
        <f t="shared" si="208"/>
        <v>0</v>
      </c>
      <c r="AX337" s="179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6">
        <f t="shared" si="207"/>
        <v>0</v>
      </c>
      <c r="AW338" s="1796">
        <f t="shared" si="208"/>
        <v>0</v>
      </c>
      <c r="AX338" s="179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6">
        <f t="shared" si="207"/>
        <v>0</v>
      </c>
      <c r="AW339" s="1796">
        <f t="shared" si="208"/>
        <v>0</v>
      </c>
      <c r="AX339" s="179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6">
        <f t="shared" si="207"/>
        <v>0</v>
      </c>
      <c r="AW340" s="1796">
        <f t="shared" si="208"/>
        <v>0</v>
      </c>
      <c r="AX340" s="179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6">
        <f t="shared" si="207"/>
        <v>0</v>
      </c>
      <c r="AW341" s="1796">
        <f t="shared" si="208"/>
        <v>0</v>
      </c>
      <c r="AX341" s="179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6">
        <f t="shared" si="207"/>
        <v>0</v>
      </c>
      <c r="AW342" s="1796">
        <f t="shared" si="208"/>
        <v>0</v>
      </c>
      <c r="AX342" s="179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6">
        <f t="shared" si="207"/>
        <v>0</v>
      </c>
      <c r="AW343" s="1796">
        <f t="shared" si="208"/>
        <v>0</v>
      </c>
      <c r="AX343" s="179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6">
        <f t="shared" si="207"/>
        <v>0</v>
      </c>
      <c r="AW344" s="1796">
        <f t="shared" si="208"/>
        <v>0</v>
      </c>
      <c r="AX344" s="179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6">
        <f t="shared" si="207"/>
        <v>0</v>
      </c>
      <c r="AW345" s="1796">
        <f t="shared" si="208"/>
        <v>0</v>
      </c>
      <c r="AX345" s="179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6">
        <f t="shared" si="207"/>
        <v>0</v>
      </c>
      <c r="AW346" s="1796">
        <f t="shared" si="208"/>
        <v>0</v>
      </c>
      <c r="AX346" s="179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6">
        <f t="shared" si="207"/>
        <v>0</v>
      </c>
      <c r="AW347" s="1796">
        <f t="shared" si="208"/>
        <v>0</v>
      </c>
      <c r="AX347" s="179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6">
        <f t="shared" si="207"/>
        <v>0</v>
      </c>
      <c r="AW348" s="1796">
        <f t="shared" si="208"/>
        <v>0</v>
      </c>
      <c r="AX348" s="179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6">
        <f t="shared" si="207"/>
        <v>0</v>
      </c>
      <c r="AW349" s="1796">
        <f t="shared" si="208"/>
        <v>0</v>
      </c>
      <c r="AX349" s="179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6">
        <f t="shared" si="207"/>
        <v>0</v>
      </c>
      <c r="AW350" s="1796">
        <f t="shared" si="208"/>
        <v>0</v>
      </c>
      <c r="AX350" s="179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6">
        <f t="shared" si="207"/>
        <v>0</v>
      </c>
      <c r="AW351" s="1796">
        <f t="shared" si="208"/>
        <v>0</v>
      </c>
      <c r="AX351" s="179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6">
        <f t="shared" si="207"/>
        <v>0</v>
      </c>
      <c r="AW352" s="1796">
        <f t="shared" si="208"/>
        <v>0</v>
      </c>
      <c r="AX352" s="179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6">
        <f t="shared" si="207"/>
        <v>0</v>
      </c>
      <c r="AW353" s="1796">
        <f t="shared" si="208"/>
        <v>0</v>
      </c>
      <c r="AX353" s="179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6">
        <f t="shared" si="207"/>
        <v>0</v>
      </c>
      <c r="AW354" s="1796">
        <f t="shared" si="208"/>
        <v>0</v>
      </c>
      <c r="AX354" s="179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6">
        <f t="shared" si="207"/>
        <v>0</v>
      </c>
      <c r="AW355" s="1796">
        <f t="shared" si="208"/>
        <v>0</v>
      </c>
      <c r="AX355" s="179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6">
        <f t="shared" si="207"/>
        <v>0</v>
      </c>
      <c r="AW356" s="1796">
        <f t="shared" si="208"/>
        <v>0</v>
      </c>
      <c r="AX356" s="179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6">
        <f t="shared" si="207"/>
        <v>0</v>
      </c>
      <c r="AW357" s="1796">
        <f t="shared" si="208"/>
        <v>0</v>
      </c>
      <c r="AX357" s="179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6">
        <f t="shared" si="207"/>
        <v>0</v>
      </c>
      <c r="AW358" s="1796">
        <f t="shared" si="208"/>
        <v>0</v>
      </c>
      <c r="AX358" s="179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6">
        <f t="shared" si="207"/>
        <v>0</v>
      </c>
      <c r="AW359" s="1796">
        <f t="shared" si="208"/>
        <v>0</v>
      </c>
      <c r="AX359" s="179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6">
        <f t="shared" si="207"/>
        <v>0</v>
      </c>
      <c r="AW360" s="1796">
        <f t="shared" si="208"/>
        <v>0</v>
      </c>
      <c r="AX360" s="179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6">
        <f t="shared" si="207"/>
        <v>0</v>
      </c>
      <c r="AW361" s="1796">
        <f t="shared" si="208"/>
        <v>0</v>
      </c>
      <c r="AX361" s="179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6">
        <f t="shared" si="207"/>
        <v>0</v>
      </c>
      <c r="AW362" s="1796">
        <f t="shared" si="208"/>
        <v>0</v>
      </c>
      <c r="AX362" s="179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6">
        <f t="shared" si="207"/>
        <v>0</v>
      </c>
      <c r="AW363" s="1796">
        <f t="shared" si="208"/>
        <v>0</v>
      </c>
      <c r="AX363" s="179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6">
        <f t="shared" si="207"/>
        <v>0</v>
      </c>
      <c r="AW364" s="1796">
        <f t="shared" si="208"/>
        <v>0</v>
      </c>
      <c r="AX364" s="179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6">
        <f t="shared" si="207"/>
        <v>0</v>
      </c>
      <c r="AW365" s="1796">
        <f t="shared" si="208"/>
        <v>0</v>
      </c>
      <c r="AX365" s="179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6">
        <f t="shared" si="207"/>
        <v>0</v>
      </c>
      <c r="AW366" s="1796">
        <f t="shared" si="208"/>
        <v>0</v>
      </c>
      <c r="AX366" s="179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6">
        <f t="shared" ref="AV367:AV397" si="236">A367</f>
        <v>0</v>
      </c>
      <c r="AW367" s="1796">
        <f t="shared" ref="AW367:AW397" si="237">B367</f>
        <v>0</v>
      </c>
      <c r="AX367" s="179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6">
        <f t="shared" si="236"/>
        <v>0</v>
      </c>
      <c r="AW368" s="1796">
        <f t="shared" si="237"/>
        <v>0</v>
      </c>
      <c r="AX368" s="179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6">
        <f t="shared" si="236"/>
        <v>0</v>
      </c>
      <c r="AW369" s="1796">
        <f t="shared" si="237"/>
        <v>0</v>
      </c>
      <c r="AX369" s="179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6">
        <f t="shared" si="236"/>
        <v>0</v>
      </c>
      <c r="AW370" s="1796">
        <f t="shared" si="237"/>
        <v>0</v>
      </c>
      <c r="AX370" s="179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6">
        <f t="shared" si="236"/>
        <v>0</v>
      </c>
      <c r="AW371" s="1796">
        <f t="shared" si="237"/>
        <v>0</v>
      </c>
      <c r="AX371" s="179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6">
        <f t="shared" si="236"/>
        <v>0</v>
      </c>
      <c r="AW372" s="1796">
        <f t="shared" si="237"/>
        <v>0</v>
      </c>
      <c r="AX372" s="179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6">
        <f t="shared" si="236"/>
        <v>0</v>
      </c>
      <c r="AW373" s="1796">
        <f t="shared" si="237"/>
        <v>0</v>
      </c>
      <c r="AX373" s="179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6">
        <f t="shared" si="236"/>
        <v>0</v>
      </c>
      <c r="AW374" s="1796">
        <f t="shared" si="237"/>
        <v>0</v>
      </c>
      <c r="AX374" s="179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6">
        <f t="shared" si="236"/>
        <v>0</v>
      </c>
      <c r="AW375" s="1796">
        <f t="shared" si="237"/>
        <v>0</v>
      </c>
      <c r="AX375" s="179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6">
        <f t="shared" si="236"/>
        <v>0</v>
      </c>
      <c r="AW376" s="1796">
        <f t="shared" si="237"/>
        <v>0</v>
      </c>
      <c r="AX376" s="179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6">
        <f t="shared" si="236"/>
        <v>0</v>
      </c>
      <c r="AW377" s="1796">
        <f t="shared" si="237"/>
        <v>0</v>
      </c>
      <c r="AX377" s="179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6">
        <f t="shared" si="236"/>
        <v>0</v>
      </c>
      <c r="AW378" s="1796">
        <f t="shared" si="237"/>
        <v>0</v>
      </c>
      <c r="AX378" s="179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6">
        <f t="shared" si="236"/>
        <v>0</v>
      </c>
      <c r="AW379" s="1796">
        <f t="shared" si="237"/>
        <v>0</v>
      </c>
      <c r="AX379" s="179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6">
        <f t="shared" si="236"/>
        <v>0</v>
      </c>
      <c r="AW380" s="1796">
        <f t="shared" si="237"/>
        <v>0</v>
      </c>
      <c r="AX380" s="179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6">
        <f t="shared" si="236"/>
        <v>0</v>
      </c>
      <c r="AW381" s="1796">
        <f t="shared" si="237"/>
        <v>0</v>
      </c>
      <c r="AX381" s="179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6">
        <f t="shared" si="236"/>
        <v>0</v>
      </c>
      <c r="AW382" s="1796">
        <f t="shared" si="237"/>
        <v>0</v>
      </c>
      <c r="AX382" s="179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6">
        <f t="shared" si="236"/>
        <v>0</v>
      </c>
      <c r="AW383" s="1796">
        <f t="shared" si="237"/>
        <v>0</v>
      </c>
      <c r="AX383" s="179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6">
        <f t="shared" si="236"/>
        <v>0</v>
      </c>
      <c r="AW384" s="1796">
        <f t="shared" si="237"/>
        <v>0</v>
      </c>
      <c r="AX384" s="179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6">
        <f t="shared" si="236"/>
        <v>0</v>
      </c>
      <c r="AW385" s="1796">
        <f t="shared" si="237"/>
        <v>0</v>
      </c>
      <c r="AX385" s="179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6">
        <f t="shared" si="236"/>
        <v>0</v>
      </c>
      <c r="AW386" s="1796">
        <f t="shared" si="237"/>
        <v>0</v>
      </c>
      <c r="AX386" s="179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6">
        <f t="shared" si="236"/>
        <v>0</v>
      </c>
      <c r="AW387" s="1796">
        <f t="shared" si="237"/>
        <v>0</v>
      </c>
      <c r="AX387" s="179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6">
        <f t="shared" si="236"/>
        <v>0</v>
      </c>
      <c r="AW388" s="1796">
        <f t="shared" si="237"/>
        <v>0</v>
      </c>
      <c r="AX388" s="179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6">
        <f t="shared" si="236"/>
        <v>0</v>
      </c>
      <c r="AW389" s="1796">
        <f t="shared" si="237"/>
        <v>0</v>
      </c>
      <c r="AX389" s="179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6">
        <f t="shared" si="236"/>
        <v>0</v>
      </c>
      <c r="AW390" s="1796">
        <f t="shared" si="237"/>
        <v>0</v>
      </c>
      <c r="AX390" s="179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6">
        <f t="shared" si="236"/>
        <v>0</v>
      </c>
      <c r="AW391" s="1796">
        <f t="shared" si="237"/>
        <v>0</v>
      </c>
      <c r="AX391" s="179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6">
        <f t="shared" si="236"/>
        <v>0</v>
      </c>
      <c r="AW392" s="1796">
        <f t="shared" si="237"/>
        <v>0</v>
      </c>
      <c r="AX392" s="179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6">
        <f t="shared" si="236"/>
        <v>0</v>
      </c>
      <c r="AW393" s="1796">
        <f t="shared" si="237"/>
        <v>0</v>
      </c>
      <c r="AX393" s="179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6">
        <f t="shared" si="236"/>
        <v>0</v>
      </c>
      <c r="AW394" s="1796">
        <f t="shared" si="237"/>
        <v>0</v>
      </c>
      <c r="AX394" s="179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6">
        <f t="shared" si="236"/>
        <v>0</v>
      </c>
      <c r="AW395" s="1796">
        <f t="shared" si="237"/>
        <v>0</v>
      </c>
      <c r="AX395" s="179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6">
        <f t="shared" si="236"/>
        <v>0</v>
      </c>
      <c r="AW396" s="1796">
        <f t="shared" si="237"/>
        <v>0</v>
      </c>
      <c r="AX396" s="179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6">
        <f t="shared" si="236"/>
        <v>0</v>
      </c>
      <c r="AW397" s="1796">
        <f t="shared" si="237"/>
        <v>0</v>
      </c>
      <c r="AX397" s="179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6">
        <f t="shared" ref="AV398:AV492" si="243">A398</f>
        <v>0</v>
      </c>
      <c r="AW398" s="1796">
        <f t="shared" ref="AW398:AW492" si="244">B398</f>
        <v>0</v>
      </c>
      <c r="AX398" s="179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6">
        <f t="shared" si="243"/>
        <v>0</v>
      </c>
      <c r="AW399" s="1796">
        <f t="shared" si="244"/>
        <v>0</v>
      </c>
      <c r="AX399" s="179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6">
        <f t="shared" si="243"/>
        <v>0</v>
      </c>
      <c r="AW400" s="1796">
        <f t="shared" si="244"/>
        <v>0</v>
      </c>
      <c r="AX400" s="179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6">
        <f t="shared" si="243"/>
        <v>0</v>
      </c>
      <c r="AW401" s="1796">
        <f t="shared" si="244"/>
        <v>0</v>
      </c>
      <c r="AX401" s="179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6">
        <f t="shared" si="243"/>
        <v>0</v>
      </c>
      <c r="AW402" s="1796">
        <f t="shared" si="244"/>
        <v>0</v>
      </c>
      <c r="AX402" s="179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6">
        <f t="shared" si="243"/>
        <v>0</v>
      </c>
      <c r="AW403" s="1796">
        <f t="shared" si="244"/>
        <v>0</v>
      </c>
      <c r="AX403" s="179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6">
        <f t="shared" si="243"/>
        <v>0</v>
      </c>
      <c r="AW404" s="1796">
        <f t="shared" si="244"/>
        <v>0</v>
      </c>
      <c r="AX404" s="179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6">
        <f t="shared" si="243"/>
        <v>0</v>
      </c>
      <c r="AW405" s="1796">
        <f t="shared" si="244"/>
        <v>0</v>
      </c>
      <c r="AX405" s="179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6">
        <f t="shared" si="243"/>
        <v>0</v>
      </c>
      <c r="AW406" s="1796">
        <f t="shared" si="244"/>
        <v>0</v>
      </c>
      <c r="AX406" s="179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6">
        <f t="shared" si="243"/>
        <v>0</v>
      </c>
      <c r="AW407" s="1796">
        <f t="shared" si="244"/>
        <v>0</v>
      </c>
      <c r="AX407" s="179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6">
        <f t="shared" si="243"/>
        <v>0</v>
      </c>
      <c r="AW408" s="1796">
        <f t="shared" si="244"/>
        <v>0</v>
      </c>
      <c r="AX408" s="179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6">
        <f t="shared" si="243"/>
        <v>0</v>
      </c>
      <c r="AW409" s="1796">
        <f t="shared" si="244"/>
        <v>0</v>
      </c>
      <c r="AX409" s="179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6">
        <f t="shared" si="243"/>
        <v>0</v>
      </c>
      <c r="AW410" s="1796">
        <f t="shared" si="244"/>
        <v>0</v>
      </c>
      <c r="AX410" s="179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6">
        <f t="shared" si="243"/>
        <v>0</v>
      </c>
      <c r="AW411" s="1796">
        <f t="shared" si="244"/>
        <v>0</v>
      </c>
      <c r="AX411" s="179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6">
        <f t="shared" si="243"/>
        <v>0</v>
      </c>
      <c r="AW412" s="1796">
        <f t="shared" si="244"/>
        <v>0</v>
      </c>
      <c r="AX412" s="179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6">
        <f t="shared" si="243"/>
        <v>0</v>
      </c>
      <c r="AW413" s="1796">
        <f t="shared" si="244"/>
        <v>0</v>
      </c>
      <c r="AX413" s="179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6">
        <f t="shared" si="243"/>
        <v>0</v>
      </c>
      <c r="AW414" s="1796">
        <f t="shared" si="244"/>
        <v>0</v>
      </c>
      <c r="AX414" s="179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6">
        <f t="shared" si="243"/>
        <v>0</v>
      </c>
      <c r="AW415" s="1796">
        <f t="shared" si="244"/>
        <v>0</v>
      </c>
      <c r="AX415" s="179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6">
        <f t="shared" si="243"/>
        <v>0</v>
      </c>
      <c r="AW416" s="1796">
        <f t="shared" si="244"/>
        <v>0</v>
      </c>
      <c r="AX416" s="179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6">
        <f t="shared" si="243"/>
        <v>0</v>
      </c>
      <c r="AW417" s="1796">
        <f t="shared" si="244"/>
        <v>0</v>
      </c>
      <c r="AX417" s="179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6">
        <f t="shared" si="243"/>
        <v>0</v>
      </c>
      <c r="AW418" s="1796">
        <f t="shared" si="244"/>
        <v>0</v>
      </c>
      <c r="AX418" s="179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6">
        <f t="shared" si="243"/>
        <v>0</v>
      </c>
      <c r="AW419" s="1796">
        <f t="shared" si="244"/>
        <v>0</v>
      </c>
      <c r="AX419" s="179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6">
        <f t="shared" si="243"/>
        <v>0</v>
      </c>
      <c r="AW420" s="1796">
        <f t="shared" si="244"/>
        <v>0</v>
      </c>
      <c r="AX420" s="179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6">
        <f t="shared" si="243"/>
        <v>0</v>
      </c>
      <c r="AW421" s="1796">
        <f t="shared" si="244"/>
        <v>0</v>
      </c>
      <c r="AX421" s="179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6">
        <f t="shared" si="243"/>
        <v>0</v>
      </c>
      <c r="AW422" s="1796">
        <f t="shared" si="244"/>
        <v>0</v>
      </c>
      <c r="AX422" s="179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6">
        <f t="shared" si="243"/>
        <v>0</v>
      </c>
      <c r="AW423" s="1796">
        <f t="shared" si="244"/>
        <v>0</v>
      </c>
      <c r="AX423" s="179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6">
        <f t="shared" si="243"/>
        <v>0</v>
      </c>
      <c r="AW424" s="1796">
        <f t="shared" si="244"/>
        <v>0</v>
      </c>
      <c r="AX424" s="179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6">
        <f t="shared" si="243"/>
        <v>0</v>
      </c>
      <c r="AW425" s="1796">
        <f t="shared" si="244"/>
        <v>0</v>
      </c>
      <c r="AX425" s="179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6">
        <f t="shared" si="243"/>
        <v>0</v>
      </c>
      <c r="AW426" s="1796">
        <f t="shared" si="244"/>
        <v>0</v>
      </c>
      <c r="AX426" s="179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6">
        <f t="shared" si="243"/>
        <v>0</v>
      </c>
      <c r="AW427" s="1796">
        <f t="shared" si="244"/>
        <v>0</v>
      </c>
      <c r="AX427" s="179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6">
        <f t="shared" si="243"/>
        <v>0</v>
      </c>
      <c r="AW428" s="1796">
        <f t="shared" si="244"/>
        <v>0</v>
      </c>
      <c r="AX428" s="179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6">
        <f t="shared" si="243"/>
        <v>0</v>
      </c>
      <c r="AW429" s="1796">
        <f t="shared" si="244"/>
        <v>0</v>
      </c>
      <c r="AX429" s="179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6">
        <f t="shared" si="243"/>
        <v>0</v>
      </c>
      <c r="AW430" s="1796">
        <f t="shared" si="244"/>
        <v>0</v>
      </c>
      <c r="AX430" s="179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6">
        <f t="shared" si="243"/>
        <v>0</v>
      </c>
      <c r="AW431" s="1796">
        <f t="shared" si="244"/>
        <v>0</v>
      </c>
      <c r="AX431" s="179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6">
        <f t="shared" si="243"/>
        <v>0</v>
      </c>
      <c r="AW432" s="1796">
        <f t="shared" si="244"/>
        <v>0</v>
      </c>
      <c r="AX432" s="179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6">
        <f t="shared" si="243"/>
        <v>0</v>
      </c>
      <c r="AW433" s="1796">
        <f t="shared" si="244"/>
        <v>0</v>
      </c>
      <c r="AX433" s="179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6">
        <f t="shared" si="243"/>
        <v>0</v>
      </c>
      <c r="AW434" s="1796">
        <f t="shared" si="244"/>
        <v>0</v>
      </c>
      <c r="AX434" s="179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6">
        <f t="shared" si="243"/>
        <v>0</v>
      </c>
      <c r="AW435" s="1796">
        <f t="shared" si="244"/>
        <v>0</v>
      </c>
      <c r="AX435" s="179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6">
        <f t="shared" si="243"/>
        <v>0</v>
      </c>
      <c r="AW436" s="1796">
        <f t="shared" si="244"/>
        <v>0</v>
      </c>
      <c r="AX436" s="179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6">
        <f t="shared" si="243"/>
        <v>0</v>
      </c>
      <c r="AW437" s="1796">
        <f t="shared" si="244"/>
        <v>0</v>
      </c>
      <c r="AX437" s="179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6">
        <f t="shared" si="243"/>
        <v>0</v>
      </c>
      <c r="AW438" s="1796">
        <f t="shared" si="244"/>
        <v>0</v>
      </c>
      <c r="AX438" s="179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6">
        <f t="shared" si="243"/>
        <v>0</v>
      </c>
      <c r="AW439" s="1796">
        <f t="shared" si="244"/>
        <v>0</v>
      </c>
      <c r="AX439" s="179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6">
        <f t="shared" si="243"/>
        <v>0</v>
      </c>
      <c r="AW440" s="1796">
        <f t="shared" si="244"/>
        <v>0</v>
      </c>
      <c r="AX440" s="179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6">
        <f t="shared" si="243"/>
        <v>0</v>
      </c>
      <c r="AW441" s="1796">
        <f t="shared" si="244"/>
        <v>0</v>
      </c>
      <c r="AX441" s="179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6">
        <f t="shared" si="243"/>
        <v>0</v>
      </c>
      <c r="AW442" s="1796">
        <f t="shared" si="244"/>
        <v>0</v>
      </c>
      <c r="AX442" s="179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6">
        <f t="shared" si="243"/>
        <v>0</v>
      </c>
      <c r="AW443" s="1796">
        <f t="shared" si="244"/>
        <v>0</v>
      </c>
      <c r="AX443" s="179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6">
        <f t="shared" si="243"/>
        <v>0</v>
      </c>
      <c r="AW444" s="1796">
        <f t="shared" si="244"/>
        <v>0</v>
      </c>
      <c r="AX444" s="179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6">
        <f t="shared" si="243"/>
        <v>0</v>
      </c>
      <c r="AW445" s="1796">
        <f t="shared" si="244"/>
        <v>0</v>
      </c>
      <c r="AX445" s="179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6">
        <f t="shared" si="243"/>
        <v>0</v>
      </c>
      <c r="AW446" s="1796">
        <f t="shared" si="244"/>
        <v>0</v>
      </c>
      <c r="AX446" s="179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6">
        <f t="shared" si="243"/>
        <v>0</v>
      </c>
      <c r="AW447" s="1796">
        <f t="shared" si="244"/>
        <v>0</v>
      </c>
      <c r="AX447" s="179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6">
        <f t="shared" si="243"/>
        <v>0</v>
      </c>
      <c r="AW448" s="1796">
        <f t="shared" si="244"/>
        <v>0</v>
      </c>
      <c r="AX448" s="179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6">
        <f t="shared" si="243"/>
        <v>0</v>
      </c>
      <c r="AW449" s="1796">
        <f t="shared" si="244"/>
        <v>0</v>
      </c>
      <c r="AX449" s="179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6">
        <f t="shared" si="243"/>
        <v>0</v>
      </c>
      <c r="AW450" s="1796">
        <f t="shared" si="244"/>
        <v>0</v>
      </c>
      <c r="AX450" s="179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6">
        <f t="shared" si="243"/>
        <v>0</v>
      </c>
      <c r="AW451" s="1796">
        <f t="shared" si="244"/>
        <v>0</v>
      </c>
      <c r="AX451" s="179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6">
        <f t="shared" si="243"/>
        <v>0</v>
      </c>
      <c r="AW452" s="1796">
        <f t="shared" si="244"/>
        <v>0</v>
      </c>
      <c r="AX452" s="179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6">
        <f t="shared" si="243"/>
        <v>0</v>
      </c>
      <c r="AW453" s="1796">
        <f t="shared" si="244"/>
        <v>0</v>
      </c>
      <c r="AX453" s="179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6">
        <f t="shared" si="243"/>
        <v>0</v>
      </c>
      <c r="AW454" s="1796">
        <f t="shared" si="244"/>
        <v>0</v>
      </c>
      <c r="AX454" s="179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6">
        <f t="shared" si="243"/>
        <v>0</v>
      </c>
      <c r="AW455" s="1796">
        <f t="shared" si="244"/>
        <v>0</v>
      </c>
      <c r="AX455" s="179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6">
        <f t="shared" si="243"/>
        <v>0</v>
      </c>
      <c r="AW456" s="1796">
        <f t="shared" si="244"/>
        <v>0</v>
      </c>
      <c r="AX456" s="179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6">
        <f t="shared" si="243"/>
        <v>0</v>
      </c>
      <c r="AW457" s="1796">
        <f t="shared" si="244"/>
        <v>0</v>
      </c>
      <c r="AX457" s="179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6">
        <f t="shared" si="243"/>
        <v>0</v>
      </c>
      <c r="AW458" s="1796">
        <f t="shared" si="244"/>
        <v>0</v>
      </c>
      <c r="AX458" s="179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6">
        <f t="shared" si="243"/>
        <v>0</v>
      </c>
      <c r="AW459" s="1796">
        <f t="shared" si="244"/>
        <v>0</v>
      </c>
      <c r="AX459" s="179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6">
        <f t="shared" si="243"/>
        <v>0</v>
      </c>
      <c r="AW460" s="1796">
        <f t="shared" si="244"/>
        <v>0</v>
      </c>
      <c r="AX460" s="179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6">
        <f t="shared" si="243"/>
        <v>0</v>
      </c>
      <c r="AW461" s="1796">
        <f t="shared" si="244"/>
        <v>0</v>
      </c>
      <c r="AX461" s="179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6">
        <f t="shared" si="243"/>
        <v>0</v>
      </c>
      <c r="AW462" s="1796">
        <f t="shared" si="244"/>
        <v>0</v>
      </c>
      <c r="AX462" s="179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6">
        <f t="shared" si="243"/>
        <v>0</v>
      </c>
      <c r="AW463" s="1796">
        <f t="shared" si="244"/>
        <v>0</v>
      </c>
      <c r="AX463" s="179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6">
        <f t="shared" si="243"/>
        <v>0</v>
      </c>
      <c r="AW464" s="1796">
        <f t="shared" si="244"/>
        <v>0</v>
      </c>
      <c r="AX464" s="179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6">
        <f t="shared" si="243"/>
        <v>0</v>
      </c>
      <c r="AW465" s="1796">
        <f t="shared" si="244"/>
        <v>0</v>
      </c>
      <c r="AX465" s="179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6">
        <f t="shared" si="243"/>
        <v>0</v>
      </c>
      <c r="AW466" s="1796">
        <f t="shared" si="244"/>
        <v>0</v>
      </c>
      <c r="AX466" s="179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6">
        <f t="shared" si="243"/>
        <v>0</v>
      </c>
      <c r="AW467" s="1796">
        <f t="shared" si="244"/>
        <v>0</v>
      </c>
      <c r="AX467" s="179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6">
        <f t="shared" si="243"/>
        <v>0</v>
      </c>
      <c r="AW468" s="1796">
        <f t="shared" si="244"/>
        <v>0</v>
      </c>
      <c r="AX468" s="179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6">
        <f t="shared" si="243"/>
        <v>0</v>
      </c>
      <c r="AW469" s="1796">
        <f t="shared" si="244"/>
        <v>0</v>
      </c>
      <c r="AX469" s="179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6">
        <f t="shared" si="243"/>
        <v>0</v>
      </c>
      <c r="AW470" s="1796">
        <f t="shared" si="244"/>
        <v>0</v>
      </c>
      <c r="AX470" s="179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6">
        <f t="shared" si="243"/>
        <v>0</v>
      </c>
      <c r="AW471" s="1796">
        <f t="shared" si="244"/>
        <v>0</v>
      </c>
      <c r="AX471" s="179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6">
        <f t="shared" si="243"/>
        <v>0</v>
      </c>
      <c r="AW472" s="1796">
        <f t="shared" si="244"/>
        <v>0</v>
      </c>
      <c r="AX472" s="179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6">
        <f t="shared" si="243"/>
        <v>0</v>
      </c>
      <c r="AW473" s="1796">
        <f t="shared" si="244"/>
        <v>0</v>
      </c>
      <c r="AX473" s="179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6">
        <f t="shared" si="243"/>
        <v>0</v>
      </c>
      <c r="AW474" s="1796">
        <f t="shared" si="244"/>
        <v>0</v>
      </c>
      <c r="AX474" s="179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6">
        <f t="shared" si="243"/>
        <v>0</v>
      </c>
      <c r="AW475" s="1796">
        <f t="shared" si="244"/>
        <v>0</v>
      </c>
      <c r="AX475" s="179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6">
        <f t="shared" si="243"/>
        <v>0</v>
      </c>
      <c r="AW476" s="1796">
        <f t="shared" si="244"/>
        <v>0</v>
      </c>
      <c r="AX476" s="179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6">
        <f t="shared" si="243"/>
        <v>0</v>
      </c>
      <c r="AW477" s="1796">
        <f t="shared" si="244"/>
        <v>0</v>
      </c>
      <c r="AX477" s="179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6">
        <f t="shared" si="243"/>
        <v>0</v>
      </c>
      <c r="AW478" s="1796">
        <f t="shared" si="244"/>
        <v>0</v>
      </c>
      <c r="AX478" s="179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6">
        <f t="shared" si="243"/>
        <v>0</v>
      </c>
      <c r="AW479" s="1796">
        <f t="shared" si="244"/>
        <v>0</v>
      </c>
      <c r="AX479" s="179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6">
        <f t="shared" si="243"/>
        <v>0</v>
      </c>
      <c r="AW480" s="1796">
        <f t="shared" si="244"/>
        <v>0</v>
      </c>
      <c r="AX480" s="179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6">
        <f t="shared" si="243"/>
        <v>0</v>
      </c>
      <c r="AW481" s="1796">
        <f t="shared" si="244"/>
        <v>0</v>
      </c>
      <c r="AX481" s="179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6">
        <f t="shared" si="243"/>
        <v>0</v>
      </c>
      <c r="AW482" s="1796">
        <f t="shared" si="244"/>
        <v>0</v>
      </c>
      <c r="AX482" s="179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6">
        <f t="shared" si="243"/>
        <v>0</v>
      </c>
      <c r="AW483" s="1796">
        <f t="shared" si="244"/>
        <v>0</v>
      </c>
      <c r="AX483" s="179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6">
        <f t="shared" si="243"/>
        <v>0</v>
      </c>
      <c r="AW484" s="1796">
        <f t="shared" si="244"/>
        <v>0</v>
      </c>
      <c r="AX484" s="179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6">
        <f t="shared" si="243"/>
        <v>0</v>
      </c>
      <c r="AW485" s="1796">
        <f t="shared" si="244"/>
        <v>0</v>
      </c>
      <c r="AX485" s="179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6">
        <f t="shared" si="243"/>
        <v>0</v>
      </c>
      <c r="AW486" s="1796">
        <f t="shared" si="244"/>
        <v>0</v>
      </c>
      <c r="AX486" s="179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6">
        <f t="shared" si="243"/>
        <v>0</v>
      </c>
      <c r="AW487" s="1796">
        <f t="shared" si="244"/>
        <v>0</v>
      </c>
      <c r="AX487" s="179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6">
        <f t="shared" si="243"/>
        <v>0</v>
      </c>
      <c r="AW488" s="1796">
        <f t="shared" si="244"/>
        <v>0</v>
      </c>
      <c r="AX488" s="179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6">
        <f t="shared" si="243"/>
        <v>0</v>
      </c>
      <c r="AW489" s="1796">
        <f t="shared" si="244"/>
        <v>0</v>
      </c>
      <c r="AX489" s="179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6">
        <f t="shared" si="243"/>
        <v>0</v>
      </c>
      <c r="AW490" s="1796">
        <f t="shared" si="244"/>
        <v>0</v>
      </c>
      <c r="AX490" s="179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6">
        <f t="shared" si="243"/>
        <v>0</v>
      </c>
      <c r="AW491" s="1796">
        <f t="shared" si="244"/>
        <v>0</v>
      </c>
      <c r="AX491" s="179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6">
        <f t="shared" si="243"/>
        <v>0</v>
      </c>
      <c r="AW492" s="1796">
        <f t="shared" si="244"/>
        <v>0</v>
      </c>
      <c r="AX492" s="179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6">
        <f t="shared" ref="AV493:AV520" si="294">A493</f>
        <v>0</v>
      </c>
      <c r="AW493" s="1796">
        <f t="shared" ref="AW493:AW520" si="295">B493</f>
        <v>0</v>
      </c>
      <c r="AX493" s="179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6">
        <f t="shared" si="294"/>
        <v>0</v>
      </c>
      <c r="AW494" s="1796">
        <f t="shared" si="295"/>
        <v>0</v>
      </c>
      <c r="AX494" s="179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6">
        <f t="shared" si="294"/>
        <v>0</v>
      </c>
      <c r="AW495" s="1796">
        <f t="shared" si="295"/>
        <v>0</v>
      </c>
      <c r="AX495" s="179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6">
        <f t="shared" si="294"/>
        <v>0</v>
      </c>
      <c r="AW496" s="1796">
        <f t="shared" si="295"/>
        <v>0</v>
      </c>
      <c r="AX496" s="179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6">
        <f t="shared" si="294"/>
        <v>0</v>
      </c>
      <c r="AW497" s="1796">
        <f t="shared" si="295"/>
        <v>0</v>
      </c>
      <c r="AX497" s="179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6">
        <f t="shared" si="294"/>
        <v>0</v>
      </c>
      <c r="AW498" s="1796">
        <f t="shared" si="295"/>
        <v>0</v>
      </c>
      <c r="AX498" s="179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6">
        <f t="shared" si="294"/>
        <v>0</v>
      </c>
      <c r="AW499" s="1796">
        <f t="shared" si="295"/>
        <v>0</v>
      </c>
      <c r="AX499" s="179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6">
        <f t="shared" si="294"/>
        <v>0</v>
      </c>
      <c r="AW500" s="1796">
        <f t="shared" si="295"/>
        <v>0</v>
      </c>
      <c r="AX500" s="179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6">
        <f t="shared" si="294"/>
        <v>0</v>
      </c>
      <c r="AW501" s="1796">
        <f t="shared" si="295"/>
        <v>0</v>
      </c>
      <c r="AX501" s="179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6">
        <f t="shared" si="294"/>
        <v>0</v>
      </c>
      <c r="AW502" s="1796">
        <f t="shared" si="295"/>
        <v>0</v>
      </c>
      <c r="AX502" s="179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6">
        <f t="shared" si="294"/>
        <v>0</v>
      </c>
      <c r="AW503" s="1796">
        <f t="shared" si="295"/>
        <v>0</v>
      </c>
      <c r="AX503" s="179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6">
        <f t="shared" si="294"/>
        <v>0</v>
      </c>
      <c r="AW504" s="1796">
        <f t="shared" si="295"/>
        <v>0</v>
      </c>
      <c r="AX504" s="179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6">
        <f t="shared" si="294"/>
        <v>0</v>
      </c>
      <c r="AW505" s="1796">
        <f t="shared" si="295"/>
        <v>0</v>
      </c>
      <c r="AX505" s="179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6">
        <f t="shared" si="294"/>
        <v>0</v>
      </c>
      <c r="AW506" s="1796">
        <f t="shared" si="295"/>
        <v>0</v>
      </c>
      <c r="AX506" s="179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6">
        <f t="shared" si="294"/>
        <v>0</v>
      </c>
      <c r="AW507" s="1796">
        <f t="shared" si="295"/>
        <v>0</v>
      </c>
      <c r="AX507" s="179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6">
        <f t="shared" si="294"/>
        <v>0</v>
      </c>
      <c r="AW508" s="1796">
        <f t="shared" si="295"/>
        <v>0</v>
      </c>
      <c r="AX508" s="179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6">
        <f t="shared" si="294"/>
        <v>0</v>
      </c>
      <c r="AW509" s="1796">
        <f t="shared" si="295"/>
        <v>0</v>
      </c>
      <c r="AX509" s="179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6">
        <f t="shared" si="294"/>
        <v>0</v>
      </c>
      <c r="AW510" s="1796">
        <f t="shared" si="295"/>
        <v>0</v>
      </c>
      <c r="AX510" s="179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6">
        <f t="shared" si="294"/>
        <v>0</v>
      </c>
      <c r="AW511" s="1796">
        <f t="shared" si="295"/>
        <v>0</v>
      </c>
      <c r="AX511" s="179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6">
        <f t="shared" si="294"/>
        <v>0</v>
      </c>
      <c r="AW512" s="1796">
        <f t="shared" si="295"/>
        <v>0</v>
      </c>
      <c r="AX512" s="179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6">
        <f t="shared" si="294"/>
        <v>0</v>
      </c>
      <c r="AW513" s="1796">
        <f t="shared" si="295"/>
        <v>0</v>
      </c>
      <c r="AX513" s="179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6">
        <f t="shared" si="294"/>
        <v>0</v>
      </c>
      <c r="AW514" s="1796">
        <f t="shared" si="295"/>
        <v>0</v>
      </c>
      <c r="AX514" s="179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6">
        <f t="shared" si="294"/>
        <v>0</v>
      </c>
      <c r="AW515" s="1796">
        <f t="shared" si="295"/>
        <v>0</v>
      </c>
      <c r="AX515" s="179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6">
        <f t="shared" si="294"/>
        <v>0</v>
      </c>
      <c r="AW516" s="1796">
        <f t="shared" si="295"/>
        <v>0</v>
      </c>
      <c r="AX516" s="179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6">
        <f t="shared" si="294"/>
        <v>0</v>
      </c>
      <c r="AW517" s="1796">
        <f t="shared" si="295"/>
        <v>0</v>
      </c>
      <c r="AX517" s="179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6">
        <f t="shared" si="294"/>
        <v>0</v>
      </c>
      <c r="AW518" s="1796">
        <f t="shared" si="295"/>
        <v>0</v>
      </c>
      <c r="AX518" s="179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6">
        <f t="shared" si="294"/>
        <v>0</v>
      </c>
      <c r="AW519" s="1796">
        <f t="shared" si="295"/>
        <v>0</v>
      </c>
      <c r="AX519" s="179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6">
        <f t="shared" si="294"/>
        <v>0</v>
      </c>
      <c r="AW520" s="1796">
        <f t="shared" si="295"/>
        <v>0</v>
      </c>
      <c r="AX520" s="179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6">
        <f t="shared" ref="AV521:AV552" si="298">A521</f>
        <v>0</v>
      </c>
      <c r="AW521" s="1796">
        <f t="shared" ref="AW521:AW552" si="299">B521</f>
        <v>0</v>
      </c>
      <c r="AX521" s="179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6">
        <f t="shared" si="298"/>
        <v>0</v>
      </c>
      <c r="AW522" s="1796">
        <f t="shared" si="299"/>
        <v>0</v>
      </c>
      <c r="AX522" s="179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6">
        <f t="shared" si="298"/>
        <v>0</v>
      </c>
      <c r="AW523" s="1796">
        <f t="shared" si="299"/>
        <v>0</v>
      </c>
      <c r="AX523" s="179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6">
        <f t="shared" si="298"/>
        <v>0</v>
      </c>
      <c r="AW524" s="1796">
        <f t="shared" si="299"/>
        <v>0</v>
      </c>
      <c r="AX524" s="179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6">
        <f t="shared" si="298"/>
        <v>0</v>
      </c>
      <c r="AW525" s="1796">
        <f t="shared" si="299"/>
        <v>0</v>
      </c>
      <c r="AX525" s="179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6">
        <f t="shared" si="298"/>
        <v>0</v>
      </c>
      <c r="AW526" s="1796">
        <f t="shared" si="299"/>
        <v>0</v>
      </c>
      <c r="AX526" s="179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6">
        <f t="shared" si="298"/>
        <v>0</v>
      </c>
      <c r="AW527" s="1796">
        <f t="shared" si="299"/>
        <v>0</v>
      </c>
      <c r="AX527" s="179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6">
        <f t="shared" si="298"/>
        <v>0</v>
      </c>
      <c r="AW528" s="1796">
        <f t="shared" si="299"/>
        <v>0</v>
      </c>
      <c r="AX528" s="179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6">
        <f t="shared" si="298"/>
        <v>0</v>
      </c>
      <c r="AW529" s="1796">
        <f t="shared" si="299"/>
        <v>0</v>
      </c>
      <c r="AX529" s="179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6">
        <f t="shared" si="298"/>
        <v>0</v>
      </c>
      <c r="AW530" s="1796">
        <f t="shared" si="299"/>
        <v>0</v>
      </c>
      <c r="AX530" s="179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6">
        <f t="shared" si="298"/>
        <v>0</v>
      </c>
      <c r="AW531" s="1796">
        <f t="shared" si="299"/>
        <v>0</v>
      </c>
      <c r="AX531" s="179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6">
        <f t="shared" si="298"/>
        <v>0</v>
      </c>
      <c r="AW532" s="1796">
        <f t="shared" si="299"/>
        <v>0</v>
      </c>
      <c r="AX532" s="179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6">
        <f t="shared" si="298"/>
        <v>0</v>
      </c>
      <c r="AW533" s="1796">
        <f t="shared" si="299"/>
        <v>0</v>
      </c>
      <c r="AX533" s="179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6">
        <f t="shared" si="298"/>
        <v>0</v>
      </c>
      <c r="AW534" s="1796">
        <f t="shared" si="299"/>
        <v>0</v>
      </c>
      <c r="AX534" s="179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6">
        <f t="shared" si="298"/>
        <v>0</v>
      </c>
      <c r="AW535" s="1796">
        <f t="shared" si="299"/>
        <v>0</v>
      </c>
      <c r="AX535" s="179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6">
        <f t="shared" si="298"/>
        <v>0</v>
      </c>
      <c r="AW536" s="1796">
        <f t="shared" si="299"/>
        <v>0</v>
      </c>
      <c r="AX536" s="179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6">
        <f t="shared" si="298"/>
        <v>0</v>
      </c>
      <c r="AW537" s="1796">
        <f t="shared" si="299"/>
        <v>0</v>
      </c>
      <c r="AX537" s="179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6">
        <f t="shared" si="298"/>
        <v>0</v>
      </c>
      <c r="AW538" s="1796">
        <f t="shared" si="299"/>
        <v>0</v>
      </c>
      <c r="AX538" s="179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6">
        <f t="shared" si="298"/>
        <v>0</v>
      </c>
      <c r="AW539" s="1796">
        <f t="shared" si="299"/>
        <v>0</v>
      </c>
      <c r="AX539" s="179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6">
        <f t="shared" si="298"/>
        <v>0</v>
      </c>
      <c r="AW540" s="1796">
        <f t="shared" si="299"/>
        <v>0</v>
      </c>
      <c r="AX540" s="179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6">
        <f t="shared" si="298"/>
        <v>0</v>
      </c>
      <c r="AW541" s="1796">
        <f t="shared" si="299"/>
        <v>0</v>
      </c>
      <c r="AX541" s="179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6">
        <f t="shared" si="298"/>
        <v>0</v>
      </c>
      <c r="AW542" s="1796">
        <f t="shared" si="299"/>
        <v>0</v>
      </c>
      <c r="AX542" s="179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6">
        <f t="shared" si="298"/>
        <v>0</v>
      </c>
      <c r="AW543" s="1796">
        <f t="shared" si="299"/>
        <v>0</v>
      </c>
      <c r="AX543" s="179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6">
        <f t="shared" si="298"/>
        <v>0</v>
      </c>
      <c r="AW544" s="1796">
        <f t="shared" si="299"/>
        <v>0</v>
      </c>
      <c r="AX544" s="179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6">
        <f t="shared" si="298"/>
        <v>0</v>
      </c>
      <c r="AW545" s="1796">
        <f t="shared" si="299"/>
        <v>0</v>
      </c>
      <c r="AX545" s="179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6">
        <f t="shared" si="298"/>
        <v>0</v>
      </c>
      <c r="AW546" s="1796">
        <f t="shared" si="299"/>
        <v>0</v>
      </c>
      <c r="AX546" s="179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6">
        <f t="shared" si="298"/>
        <v>0</v>
      </c>
      <c r="AW547" s="1796">
        <f t="shared" si="299"/>
        <v>0</v>
      </c>
      <c r="AX547" s="179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6">
        <f t="shared" si="298"/>
        <v>0</v>
      </c>
      <c r="AW548" s="1796">
        <f t="shared" si="299"/>
        <v>0</v>
      </c>
      <c r="AX548" s="179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6">
        <f t="shared" si="298"/>
        <v>0</v>
      </c>
      <c r="AW549" s="1796">
        <f t="shared" si="299"/>
        <v>0</v>
      </c>
      <c r="AX549" s="179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6">
        <f t="shared" si="298"/>
        <v>0</v>
      </c>
      <c r="AW550" s="1796">
        <f t="shared" si="299"/>
        <v>0</v>
      </c>
      <c r="AX550" s="179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6">
        <f t="shared" si="298"/>
        <v>0</v>
      </c>
      <c r="AW551" s="1796">
        <f t="shared" si="299"/>
        <v>0</v>
      </c>
      <c r="AX551" s="179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6">
        <f t="shared" si="298"/>
        <v>0</v>
      </c>
      <c r="AW552" s="1796">
        <f t="shared" si="299"/>
        <v>0</v>
      </c>
      <c r="AX552" s="179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6">
        <f t="shared" ref="AV553:AV587" si="330">A553</f>
        <v>0</v>
      </c>
      <c r="AW553" s="1796">
        <f t="shared" ref="AW553:AW587" si="331">B553</f>
        <v>0</v>
      </c>
      <c r="AX553" s="179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6">
        <f t="shared" si="330"/>
        <v>0</v>
      </c>
      <c r="AW554" s="1796">
        <f t="shared" si="331"/>
        <v>0</v>
      </c>
      <c r="AX554" s="179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6">
        <f t="shared" si="330"/>
        <v>0</v>
      </c>
      <c r="AW555" s="1796">
        <f t="shared" si="331"/>
        <v>0</v>
      </c>
      <c r="AX555" s="179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6">
        <f t="shared" si="330"/>
        <v>0</v>
      </c>
      <c r="AW556" s="1796">
        <f t="shared" si="331"/>
        <v>0</v>
      </c>
      <c r="AX556" s="179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6">
        <f t="shared" si="330"/>
        <v>0</v>
      </c>
      <c r="AW557" s="1796">
        <f t="shared" si="331"/>
        <v>0</v>
      </c>
      <c r="AX557" s="179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6">
        <f t="shared" si="330"/>
        <v>0</v>
      </c>
      <c r="AW558" s="1796">
        <f t="shared" si="331"/>
        <v>0</v>
      </c>
      <c r="AX558" s="179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6">
        <f t="shared" si="330"/>
        <v>0</v>
      </c>
      <c r="AW559" s="1796">
        <f t="shared" si="331"/>
        <v>0</v>
      </c>
      <c r="AX559" s="179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6">
        <f t="shared" si="330"/>
        <v>0</v>
      </c>
      <c r="AW560" s="1796">
        <f t="shared" si="331"/>
        <v>0</v>
      </c>
      <c r="AX560" s="179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6">
        <f t="shared" si="330"/>
        <v>0</v>
      </c>
      <c r="AW561" s="1796">
        <f t="shared" si="331"/>
        <v>0</v>
      </c>
      <c r="AX561" s="179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6">
        <f t="shared" si="330"/>
        <v>0</v>
      </c>
      <c r="AW562" s="1796">
        <f t="shared" si="331"/>
        <v>0</v>
      </c>
      <c r="AX562" s="179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6">
        <f t="shared" si="330"/>
        <v>0</v>
      </c>
      <c r="AW563" s="1796">
        <f t="shared" si="331"/>
        <v>0</v>
      </c>
      <c r="AX563" s="179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6">
        <f t="shared" si="330"/>
        <v>0</v>
      </c>
      <c r="AW564" s="1796">
        <f t="shared" si="331"/>
        <v>0</v>
      </c>
      <c r="AX564" s="179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6">
        <f t="shared" si="330"/>
        <v>0</v>
      </c>
      <c r="AW565" s="1796">
        <f t="shared" si="331"/>
        <v>0</v>
      </c>
      <c r="AX565" s="179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6">
        <f t="shared" si="330"/>
        <v>0</v>
      </c>
      <c r="AW566" s="1796">
        <f t="shared" si="331"/>
        <v>0</v>
      </c>
      <c r="AX566" s="179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6">
        <f t="shared" si="330"/>
        <v>0</v>
      </c>
      <c r="AW567" s="1796">
        <f t="shared" si="331"/>
        <v>0</v>
      </c>
      <c r="AX567" s="179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6">
        <f t="shared" si="330"/>
        <v>0</v>
      </c>
      <c r="AW568" s="1796">
        <f t="shared" si="331"/>
        <v>0</v>
      </c>
      <c r="AX568" s="179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6">
        <f t="shared" si="330"/>
        <v>0</v>
      </c>
      <c r="AW569" s="1796">
        <f t="shared" si="331"/>
        <v>0</v>
      </c>
      <c r="AX569" s="179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6">
        <f t="shared" si="330"/>
        <v>0</v>
      </c>
      <c r="AW570" s="1796">
        <f t="shared" si="331"/>
        <v>0</v>
      </c>
      <c r="AX570" s="179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6">
        <f t="shared" si="330"/>
        <v>0</v>
      </c>
      <c r="AW571" s="1796">
        <f t="shared" si="331"/>
        <v>0</v>
      </c>
      <c r="AX571" s="179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6">
        <f t="shared" si="330"/>
        <v>0</v>
      </c>
      <c r="AW572" s="1796">
        <f t="shared" si="331"/>
        <v>0</v>
      </c>
      <c r="AX572" s="179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6">
        <f t="shared" si="330"/>
        <v>0</v>
      </c>
      <c r="AW573" s="1796">
        <f t="shared" si="331"/>
        <v>0</v>
      </c>
      <c r="AX573" s="179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6">
        <f t="shared" si="330"/>
        <v>0</v>
      </c>
      <c r="AW574" s="1796">
        <f t="shared" si="331"/>
        <v>0</v>
      </c>
      <c r="AX574" s="179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6">
        <f t="shared" si="330"/>
        <v>0</v>
      </c>
      <c r="AW575" s="1796">
        <f t="shared" si="331"/>
        <v>0</v>
      </c>
      <c r="AX575" s="179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6">
        <f t="shared" si="330"/>
        <v>0</v>
      </c>
      <c r="AW576" s="1796">
        <f t="shared" si="331"/>
        <v>0</v>
      </c>
      <c r="AX576" s="179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6">
        <f t="shared" si="330"/>
        <v>0</v>
      </c>
      <c r="AW577" s="1796">
        <f t="shared" si="331"/>
        <v>0</v>
      </c>
      <c r="AX577" s="179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6">
        <f t="shared" si="330"/>
        <v>0</v>
      </c>
      <c r="AW578" s="1796">
        <f t="shared" si="331"/>
        <v>0</v>
      </c>
      <c r="AX578" s="179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6">
        <f t="shared" si="330"/>
        <v>0</v>
      </c>
      <c r="AW579" s="1796">
        <f t="shared" si="331"/>
        <v>0</v>
      </c>
      <c r="AX579" s="179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6">
        <f t="shared" si="330"/>
        <v>0</v>
      </c>
      <c r="AW580" s="1796">
        <f t="shared" si="331"/>
        <v>0</v>
      </c>
      <c r="AX580" s="179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6">
        <f t="shared" si="330"/>
        <v>0</v>
      </c>
      <c r="AW581" s="1796">
        <f t="shared" si="331"/>
        <v>0</v>
      </c>
      <c r="AX581" s="179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6">
        <f t="shared" si="330"/>
        <v>0</v>
      </c>
      <c r="AW582" s="1796">
        <f t="shared" si="331"/>
        <v>0</v>
      </c>
      <c r="AX582" s="179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6">
        <f t="shared" si="330"/>
        <v>0</v>
      </c>
      <c r="AW583" s="1796">
        <f t="shared" si="331"/>
        <v>0</v>
      </c>
      <c r="AX583" s="179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6">
        <f t="shared" si="330"/>
        <v>0</v>
      </c>
      <c r="AW584" s="1796">
        <f t="shared" si="331"/>
        <v>0</v>
      </c>
      <c r="AX584" s="179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6">
        <f t="shared" si="330"/>
        <v>0</v>
      </c>
      <c r="AW585" s="1796">
        <f t="shared" si="331"/>
        <v>0</v>
      </c>
      <c r="AX585" s="179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6">
        <f t="shared" si="330"/>
        <v>0</v>
      </c>
      <c r="AW586" s="1796">
        <f t="shared" si="331"/>
        <v>0</v>
      </c>
      <c r="AX586" s="179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6">
        <f t="shared" si="330"/>
        <v>0</v>
      </c>
      <c r="AW587" s="1796">
        <f t="shared" si="331"/>
        <v>0</v>
      </c>
      <c r="AX587" s="179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2"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0" t="s">
        <v>0</v>
      </c>
      <c r="B1" s="3020" t="s">
        <v>4</v>
      </c>
      <c r="C1" s="3020" t="s">
        <v>5</v>
      </c>
      <c r="D1" s="3021" t="s">
        <v>53</v>
      </c>
      <c r="E1" s="3021" t="s">
        <v>54</v>
      </c>
      <c r="F1" s="3021"/>
      <c r="G1" s="3021"/>
      <c r="H1" s="3021"/>
      <c r="I1" s="3021"/>
      <c r="J1" s="3021"/>
      <c r="K1" s="3021"/>
      <c r="L1" s="3021"/>
      <c r="M1" s="3021"/>
    </row>
    <row r="2" spans="1:13" ht="27" customHeight="1">
      <c r="A2" s="3020"/>
      <c r="B2" s="3020"/>
      <c r="C2" s="3020"/>
      <c r="D2" s="3021"/>
      <c r="E2" s="3021" t="s">
        <v>37</v>
      </c>
      <c r="F2" s="3021" t="s">
        <v>38</v>
      </c>
      <c r="G2" s="3021"/>
      <c r="H2" s="3021"/>
      <c r="I2" s="3021"/>
      <c r="J2" s="3021" t="s">
        <v>39</v>
      </c>
      <c r="K2" s="3021"/>
      <c r="L2" s="3021"/>
      <c r="M2" s="3021"/>
    </row>
    <row r="3" spans="1:13" ht="28.5">
      <c r="A3" s="3020"/>
      <c r="B3" s="3020"/>
      <c r="C3" s="3020"/>
      <c r="D3" s="3021"/>
      <c r="E3" s="302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1" t="s">
        <v>55</v>
      </c>
      <c r="B9" s="3021"/>
      <c r="C9" s="302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0000"/>
    <pageSetUpPr fitToPage="1"/>
  </sheetPr>
  <dimension ref="A1:S33"/>
  <sheetViews>
    <sheetView view="pageBreakPreview" zoomScale="90" zoomScaleSheetLayoutView="90" workbookViewId="0">
      <selection activeCell="D26" sqref="D26"/>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1936</v>
      </c>
      <c r="B1" s="1392"/>
      <c r="C1" s="1392"/>
      <c r="D1" s="1392"/>
      <c r="E1" s="1392"/>
      <c r="F1" s="1392"/>
      <c r="G1" s="1392"/>
      <c r="H1" s="1392"/>
      <c r="I1" s="1392"/>
      <c r="J1" s="1392"/>
      <c r="K1" s="1392"/>
      <c r="L1" s="1392"/>
      <c r="M1" s="1392"/>
      <c r="N1" s="1392"/>
      <c r="O1" s="1392"/>
      <c r="P1" s="1392"/>
    </row>
    <row r="2" spans="1:16" ht="15">
      <c r="A2" s="3031" t="s">
        <v>1937</v>
      </c>
      <c r="B2" s="3031"/>
      <c r="C2" s="3031"/>
      <c r="D2" s="969" t="s">
        <v>1913</v>
      </c>
      <c r="E2" s="2223" t="s">
        <v>1914</v>
      </c>
      <c r="F2" s="1392"/>
      <c r="G2" s="2224"/>
      <c r="H2" s="2225"/>
      <c r="I2" s="2226" t="s">
        <v>1938</v>
      </c>
      <c r="J2" s="1392"/>
      <c r="K2" s="1392"/>
      <c r="L2" s="1392"/>
      <c r="M2" s="1392"/>
      <c r="N2" s="1427"/>
      <c r="O2" s="1392"/>
      <c r="P2" s="1392"/>
    </row>
    <row r="3" spans="1:16" ht="15.75" thickBot="1">
      <c r="A3" s="3032" t="s">
        <v>1911</v>
      </c>
      <c r="B3" s="3032"/>
      <c r="C3" s="3032"/>
      <c r="D3" s="46">
        <f>'数据-基础表'!AY6</f>
        <v>60943.28</v>
      </c>
      <c r="E3" s="46">
        <f>'数据-基础表'!AZ5</f>
        <v>210018.96</v>
      </c>
      <c r="F3" s="1392"/>
      <c r="G3" s="1399"/>
      <c r="H3" s="1247" t="s">
        <v>1912</v>
      </c>
      <c r="I3" s="55">
        <f>ROUND('数据-基础表'!B3/'数据-基础表'!A3,2)</f>
        <v>3.45</v>
      </c>
      <c r="J3" s="1392"/>
      <c r="K3" s="1392"/>
      <c r="L3" s="1392"/>
      <c r="M3" s="1392"/>
      <c r="N3" s="1427"/>
      <c r="O3" s="1392"/>
      <c r="P3" s="1392"/>
    </row>
    <row r="4" spans="1:16" ht="15">
      <c r="A4" s="3033"/>
      <c r="B4" s="3034"/>
      <c r="C4" s="3035"/>
      <c r="D4" s="2227" t="s">
        <v>1913</v>
      </c>
      <c r="E4" s="2228" t="s">
        <v>1914</v>
      </c>
      <c r="F4" s="1392"/>
      <c r="G4" s="2229" t="s">
        <v>1939</v>
      </c>
      <c r="H4" s="1247" t="s">
        <v>1919</v>
      </c>
      <c r="I4" s="55">
        <f>ROUND(SUMIF('数据-基础表'!I9:AS9,"地上",'数据-基础表'!I5:AS5)/'数据-基础表'!A3,2)</f>
        <v>2.39</v>
      </c>
      <c r="J4" s="1392"/>
      <c r="K4" s="1392"/>
      <c r="L4" s="1392"/>
      <c r="M4" s="1392"/>
      <c r="N4" s="1427"/>
      <c r="O4" s="1392"/>
      <c r="P4" s="1392"/>
    </row>
    <row r="5" spans="1:16">
      <c r="A5" s="47" t="s">
        <v>1915</v>
      </c>
      <c r="B5" s="3036" t="s">
        <v>1916</v>
      </c>
      <c r="C5" s="3036"/>
      <c r="D5" s="48">
        <f>ROUND($D$3*E5/$E$3,2)</f>
        <v>39384.370000000003</v>
      </c>
      <c r="E5" s="49">
        <f>SUMIF('数据-基础表'!$11:$11,"住宅",'数据-基础表'!$5:$5)</f>
        <v>135723.97</v>
      </c>
      <c r="F5" s="1392"/>
      <c r="G5" s="1399"/>
      <c r="H5" s="1247" t="s">
        <v>1912</v>
      </c>
      <c r="I5" s="55">
        <f>ROUND(E31/D31,2)</f>
        <v>3.45</v>
      </c>
      <c r="J5" s="1392"/>
      <c r="K5" s="1392"/>
      <c r="L5" s="1392"/>
      <c r="M5" s="1392"/>
      <c r="N5" s="1392"/>
      <c r="O5" s="1392"/>
      <c r="P5" s="1392"/>
    </row>
    <row r="6" spans="1:16" ht="15" thickBot="1">
      <c r="A6" s="2230"/>
      <c r="B6" s="3036" t="s">
        <v>1917</v>
      </c>
      <c r="C6" s="3036"/>
      <c r="D6" s="48">
        <f>ROUND($D$3*E6/$E$3,2)</f>
        <v>21558.91</v>
      </c>
      <c r="E6" s="49">
        <f>E3-E5</f>
        <v>74294.989999999991</v>
      </c>
      <c r="F6" s="1392"/>
      <c r="G6" s="2231" t="s">
        <v>1918</v>
      </c>
      <c r="H6" s="1399" t="s">
        <v>1919</v>
      </c>
      <c r="I6" s="941">
        <f>ROUND(F31/D31,2)</f>
        <v>2.23</v>
      </c>
      <c r="J6" s="1392"/>
      <c r="K6" s="1392"/>
      <c r="L6" s="1392"/>
      <c r="M6" s="1392"/>
      <c r="N6" s="1392"/>
      <c r="O6" s="1392"/>
      <c r="P6" s="1392"/>
    </row>
    <row r="7" spans="1:16" ht="15">
      <c r="A7" s="3028"/>
      <c r="B7" s="3029"/>
      <c r="C7" s="3030"/>
      <c r="D7" s="2227" t="s">
        <v>1913</v>
      </c>
      <c r="E7" s="2232" t="s">
        <v>1920</v>
      </c>
      <c r="F7" s="1392"/>
      <c r="G7" s="2224" t="s">
        <v>1921</v>
      </c>
      <c r="H7" s="63"/>
      <c r="I7" s="419"/>
      <c r="J7" s="1392"/>
      <c r="K7" s="1392"/>
      <c r="L7" s="1392"/>
      <c r="M7" s="1392"/>
      <c r="N7" s="1392"/>
      <c r="O7" s="1392"/>
      <c r="P7" s="1392"/>
    </row>
    <row r="8" spans="1:16">
      <c r="A8" s="47" t="s">
        <v>1922</v>
      </c>
      <c r="B8" s="50" t="s">
        <v>1923</v>
      </c>
      <c r="C8" s="48" t="s">
        <v>1924</v>
      </c>
      <c r="D8" s="48">
        <f t="shared" ref="D8:D15" si="0">ROUND($D$3*E8/$E$3,2)</f>
        <v>39384.370000000003</v>
      </c>
      <c r="E8" s="51">
        <f>SUMIF('数据-基础表'!BB10:BK10,"地上",'数据-基础表'!BB5:BK5)</f>
        <v>135723.97</v>
      </c>
      <c r="F8" s="1392"/>
      <c r="G8" s="2233"/>
      <c r="H8" s="2233"/>
      <c r="I8" s="1392"/>
      <c r="J8" s="1392"/>
      <c r="K8" s="1392"/>
      <c r="L8" s="1392"/>
      <c r="M8" s="1392"/>
      <c r="N8" s="1392"/>
      <c r="O8" s="1392"/>
      <c r="P8" s="1392"/>
    </row>
    <row r="9" spans="1:16">
      <c r="A9" s="2234"/>
      <c r="B9" s="2235"/>
      <c r="C9" s="48" t="s">
        <v>1925</v>
      </c>
      <c r="D9" s="48">
        <f t="shared" si="0"/>
        <v>0</v>
      </c>
      <c r="E9" s="52">
        <v>0</v>
      </c>
      <c r="F9" s="1392"/>
      <c r="G9" s="2233"/>
      <c r="H9" s="2233"/>
      <c r="I9" s="1392"/>
      <c r="J9" s="1392"/>
      <c r="K9" s="1392"/>
      <c r="L9" s="1392"/>
      <c r="M9" s="1392"/>
      <c r="N9" s="1392"/>
      <c r="O9" s="1392"/>
      <c r="P9" s="1392"/>
    </row>
    <row r="10" spans="1:16">
      <c r="A10" s="2234"/>
      <c r="B10" s="2235"/>
      <c r="C10" s="48" t="s">
        <v>1934</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1926</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1927</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1928</v>
      </c>
      <c r="D13" s="48">
        <f t="shared" si="0"/>
        <v>21493.919999999998</v>
      </c>
      <c r="E13" s="51">
        <f>SUMPRODUCT(('数据-基础表'!BB10:BK10="地下")*('数据-基础表'!BB11:BK11="车库")*('数据-基础表'!BB5:BK5))</f>
        <v>74071</v>
      </c>
      <c r="F13" s="1392"/>
      <c r="G13" s="2233"/>
      <c r="H13" s="2233"/>
      <c r="I13" s="1392"/>
      <c r="J13" s="1392"/>
      <c r="K13" s="1392"/>
      <c r="L13" s="1392"/>
      <c r="M13" s="1392"/>
      <c r="N13" s="1392"/>
      <c r="O13" s="1392"/>
      <c r="P13" s="1392"/>
    </row>
    <row r="14" spans="1:16">
      <c r="A14" s="2234"/>
      <c r="B14" s="2235"/>
      <c r="C14" s="48" t="s">
        <v>1940</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1935</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1929</v>
      </c>
      <c r="D16" s="50">
        <f>SUM(D8:D15)</f>
        <v>60878.29</v>
      </c>
      <c r="E16" s="53">
        <f>SUM(E8:E15)</f>
        <v>209794.97</v>
      </c>
      <c r="F16" s="1392"/>
      <c r="G16" s="2233"/>
      <c r="H16" s="2236" t="s">
        <v>1941</v>
      </c>
      <c r="I16" s="2237"/>
      <c r="J16" s="1392"/>
      <c r="K16" s="3025" t="s">
        <v>1941</v>
      </c>
      <c r="L16" s="3026"/>
      <c r="M16" s="3026"/>
      <c r="N16" s="3026"/>
      <c r="O16" s="3026"/>
      <c r="P16" s="3027"/>
    </row>
    <row r="17" spans="1:19" ht="15">
      <c r="A17" s="2238" t="s">
        <v>1942</v>
      </c>
      <c r="B17" s="2239" t="s">
        <v>1943</v>
      </c>
      <c r="C17" s="2240" t="s">
        <v>1944</v>
      </c>
      <c r="D17" s="2241" t="s">
        <v>1932</v>
      </c>
      <c r="E17" s="2242" t="s">
        <v>1933</v>
      </c>
      <c r="F17" s="2243"/>
      <c r="G17" s="2244"/>
      <c r="H17" s="2245" t="s">
        <v>1945</v>
      </c>
      <c r="I17" s="2246" t="s">
        <v>1930</v>
      </c>
      <c r="J17" s="1392"/>
      <c r="K17" s="3022" t="s">
        <v>1946</v>
      </c>
      <c r="L17" s="3023"/>
      <c r="M17" s="3024"/>
      <c r="N17" s="3022" t="s">
        <v>1947</v>
      </c>
      <c r="O17" s="3023"/>
      <c r="P17" s="3024"/>
      <c r="R17" s="2224" t="s">
        <v>1948</v>
      </c>
      <c r="S17" s="63"/>
    </row>
    <row r="18" spans="1:19" ht="15">
      <c r="A18" s="2234"/>
      <c r="B18" s="2247"/>
      <c r="C18" s="2248"/>
      <c r="D18" s="2249"/>
      <c r="E18" s="2250" t="s">
        <v>1949</v>
      </c>
      <c r="F18" s="2251" t="s">
        <v>1950</v>
      </c>
      <c r="G18" s="2252" t="s">
        <v>1951</v>
      </c>
      <c r="H18" s="1262" t="s">
        <v>1952</v>
      </c>
      <c r="I18" s="2253" t="s">
        <v>1953</v>
      </c>
      <c r="J18" s="1392"/>
      <c r="K18" s="1262" t="s">
        <v>1954</v>
      </c>
      <c r="L18" s="2254" t="s">
        <v>1955</v>
      </c>
      <c r="M18" s="1047" t="s">
        <v>1956</v>
      </c>
      <c r="N18" s="1262" t="s">
        <v>1954</v>
      </c>
      <c r="O18" s="2254" t="s">
        <v>1955</v>
      </c>
      <c r="P18" s="1047" t="s">
        <v>1956</v>
      </c>
      <c r="R18" s="1247" t="s">
        <v>1957</v>
      </c>
      <c r="S18" s="1247" t="s">
        <v>1958</v>
      </c>
    </row>
    <row r="19" spans="1:19">
      <c r="A19" s="2255"/>
      <c r="B19" s="50" t="s">
        <v>1931</v>
      </c>
      <c r="C19" s="2931" t="s">
        <v>3094</v>
      </c>
      <c r="D19" s="48">
        <f>ROUND($D$3*E19/$E$3,2)</f>
        <v>7203.78</v>
      </c>
      <c r="E19" s="56">
        <f t="shared" ref="E19:E25" si="1">SUM(F19:G19)</f>
        <v>24825.22</v>
      </c>
      <c r="F19" s="57">
        <f>'数据-基础表'!I14</f>
        <v>24825.22</v>
      </c>
      <c r="G19" s="58"/>
      <c r="H19" s="722">
        <f>ROUND($D$3*I19/$E$3,2)</f>
        <v>0</v>
      </c>
      <c r="I19" s="51">
        <f t="shared" ref="I19:I26" si="2">IF($I$17="自定义",P19,M19)</f>
        <v>0</v>
      </c>
      <c r="J19" s="1392"/>
      <c r="K19" s="1391">
        <f t="shared" ref="K19:K26" si="3">ROUND(E$28*E19/E$27,2)</f>
        <v>0</v>
      </c>
      <c r="L19" s="1247">
        <f t="shared" ref="L19:L26" si="4">ROUND(IF(COUNTIF(C19,"*住宅*")&gt;0,E$29*E19/E$32,0),2)</f>
        <v>0</v>
      </c>
      <c r="M19" s="1403">
        <f>K19+L19</f>
        <v>0</v>
      </c>
      <c r="N19" s="2257"/>
      <c r="O19" s="2258"/>
      <c r="P19" s="1403">
        <f>N19+O19</f>
        <v>0</v>
      </c>
      <c r="R19" s="1247">
        <f t="shared" ref="R19:S26" si="5">D19+H19</f>
        <v>7203.78</v>
      </c>
      <c r="S19" s="1248">
        <f t="shared" si="5"/>
        <v>24825.22</v>
      </c>
    </row>
    <row r="20" spans="1:19">
      <c r="A20" s="2259"/>
      <c r="B20" s="50" t="s">
        <v>1959</v>
      </c>
      <c r="C20" s="2931" t="s">
        <v>3098</v>
      </c>
      <c r="D20" s="48">
        <f t="shared" ref="D20:D26" si="6">ROUND($D$3*E20/$E$3,2)</f>
        <v>5917.42</v>
      </c>
      <c r="E20" s="56">
        <f t="shared" si="1"/>
        <v>20392.240000000002</v>
      </c>
      <c r="F20" s="57">
        <f>'数据-基础表'!I15</f>
        <v>20392.240000000002</v>
      </c>
      <c r="H20" s="722">
        <f t="shared" ref="H20:H26" si="7">ROUND($D$3*I20/$E$3,2)</f>
        <v>0</v>
      </c>
      <c r="I20" s="51">
        <f t="shared" si="2"/>
        <v>0</v>
      </c>
      <c r="J20" s="1392"/>
      <c r="K20" s="1391">
        <f t="shared" si="3"/>
        <v>0</v>
      </c>
      <c r="L20" s="1247">
        <f t="shared" si="4"/>
        <v>0</v>
      </c>
      <c r="M20" s="1403">
        <f t="shared" ref="M20:M26" si="8">K20+L20</f>
        <v>0</v>
      </c>
      <c r="N20" s="2257"/>
      <c r="O20" s="2258"/>
      <c r="P20" s="1403">
        <f t="shared" ref="P20:P26" si="9">N20+O20</f>
        <v>0</v>
      </c>
      <c r="R20" s="1247">
        <f t="shared" si="5"/>
        <v>5917.42</v>
      </c>
      <c r="S20" s="1248">
        <f t="shared" si="5"/>
        <v>20392.240000000002</v>
      </c>
    </row>
    <row r="21" spans="1:19">
      <c r="A21" s="2259"/>
      <c r="B21" s="50" t="s">
        <v>1959</v>
      </c>
      <c r="C21" s="2256" t="s">
        <v>3099</v>
      </c>
      <c r="D21" s="48">
        <f t="shared" si="6"/>
        <v>4173.95</v>
      </c>
      <c r="E21" s="56">
        <f t="shared" si="1"/>
        <v>14384</v>
      </c>
      <c r="F21" s="57">
        <f>'数据-基础表'!I16</f>
        <v>14384</v>
      </c>
      <c r="G21" s="58"/>
      <c r="H21" s="722">
        <f t="shared" si="7"/>
        <v>0</v>
      </c>
      <c r="I21" s="51">
        <f t="shared" si="2"/>
        <v>0</v>
      </c>
      <c r="J21" s="1392"/>
      <c r="K21" s="1391">
        <f t="shared" si="3"/>
        <v>0</v>
      </c>
      <c r="L21" s="1247">
        <f t="shared" si="4"/>
        <v>0</v>
      </c>
      <c r="M21" s="1403">
        <f t="shared" si="8"/>
        <v>0</v>
      </c>
      <c r="N21" s="2257"/>
      <c r="O21" s="2258"/>
      <c r="P21" s="1403">
        <f t="shared" si="9"/>
        <v>0</v>
      </c>
      <c r="R21" s="1247">
        <f t="shared" si="5"/>
        <v>4173.95</v>
      </c>
      <c r="S21" s="1248">
        <f t="shared" si="5"/>
        <v>14384</v>
      </c>
    </row>
    <row r="22" spans="1:19">
      <c r="A22" s="2259"/>
      <c r="B22" s="50" t="s">
        <v>1959</v>
      </c>
      <c r="C22" s="60" t="s">
        <v>3095</v>
      </c>
      <c r="D22" s="48">
        <f t="shared" si="6"/>
        <v>4173.95</v>
      </c>
      <c r="E22" s="56">
        <f t="shared" si="1"/>
        <v>14384</v>
      </c>
      <c r="F22" s="61">
        <f>'数据-基础表'!I17</f>
        <v>14384</v>
      </c>
      <c r="G22" s="62"/>
      <c r="H22" s="722">
        <f t="shared" si="7"/>
        <v>0</v>
      </c>
      <c r="I22" s="51">
        <f t="shared" si="2"/>
        <v>0</v>
      </c>
      <c r="J22" s="1392"/>
      <c r="K22" s="1391">
        <f t="shared" si="3"/>
        <v>0</v>
      </c>
      <c r="L22" s="1247">
        <f t="shared" si="4"/>
        <v>0</v>
      </c>
      <c r="M22" s="1403">
        <f t="shared" si="8"/>
        <v>0</v>
      </c>
      <c r="N22" s="2257"/>
      <c r="O22" s="2258"/>
      <c r="P22" s="1403">
        <f t="shared" si="9"/>
        <v>0</v>
      </c>
      <c r="R22" s="1247">
        <f t="shared" si="5"/>
        <v>4173.95</v>
      </c>
      <c r="S22" s="1248">
        <f t="shared" si="5"/>
        <v>14384</v>
      </c>
    </row>
    <row r="23" spans="1:19">
      <c r="A23" s="2259"/>
      <c r="B23" s="50" t="s">
        <v>1959</v>
      </c>
      <c r="C23" s="60" t="s">
        <v>3096</v>
      </c>
      <c r="D23" s="48">
        <f>ROUND($D$3*E23/$E$3,2)</f>
        <v>4229.6000000000004</v>
      </c>
      <c r="E23" s="56">
        <f>SUM(F23:G23)</f>
        <v>14575.77</v>
      </c>
      <c r="F23" s="61">
        <f>'数据-基础表'!I18</f>
        <v>14575.77</v>
      </c>
      <c r="G23" s="62"/>
      <c r="H23" s="722">
        <f>ROUND($D$3*I23/$E$3,2)</f>
        <v>0</v>
      </c>
      <c r="I23" s="51">
        <f t="shared" si="2"/>
        <v>0</v>
      </c>
      <c r="J23" s="1392"/>
      <c r="K23" s="1391">
        <f t="shared" si="3"/>
        <v>0</v>
      </c>
      <c r="L23" s="1247">
        <f t="shared" si="4"/>
        <v>0</v>
      </c>
      <c r="M23" s="1403">
        <f t="shared" si="8"/>
        <v>0</v>
      </c>
      <c r="N23" s="2257"/>
      <c r="O23" s="2258"/>
      <c r="P23" s="1403">
        <f t="shared" si="9"/>
        <v>0</v>
      </c>
      <c r="R23" s="1247">
        <f t="shared" si="5"/>
        <v>4229.6000000000004</v>
      </c>
      <c r="S23" s="1248">
        <f t="shared" si="5"/>
        <v>14575.77</v>
      </c>
    </row>
    <row r="24" spans="1:19">
      <c r="A24" s="2259"/>
      <c r="B24" s="50" t="s">
        <v>1959</v>
      </c>
      <c r="C24" s="60" t="s">
        <v>3100</v>
      </c>
      <c r="D24" s="48">
        <f>ROUND($D$3*E24/$E$3,2)</f>
        <v>6842.84</v>
      </c>
      <c r="E24" s="56">
        <f>SUM(F24:G24)</f>
        <v>23581.37</v>
      </c>
      <c r="F24" s="61">
        <f>'数据-基础表'!I19</f>
        <v>23581.37</v>
      </c>
      <c r="G24" s="62"/>
      <c r="H24" s="722">
        <f>ROUND($D$3*I24/$E$3,2)</f>
        <v>0</v>
      </c>
      <c r="I24" s="51">
        <f t="shared" si="2"/>
        <v>0</v>
      </c>
      <c r="J24" s="1392"/>
      <c r="K24" s="1391">
        <f t="shared" si="3"/>
        <v>0</v>
      </c>
      <c r="L24" s="1247">
        <f t="shared" si="4"/>
        <v>0</v>
      </c>
      <c r="M24" s="1403">
        <f t="shared" si="8"/>
        <v>0</v>
      </c>
      <c r="N24" s="2257"/>
      <c r="O24" s="2258"/>
      <c r="P24" s="1403">
        <f t="shared" si="9"/>
        <v>0</v>
      </c>
      <c r="R24" s="1247">
        <f t="shared" si="5"/>
        <v>6842.84</v>
      </c>
      <c r="S24" s="1248">
        <f t="shared" si="5"/>
        <v>23581.37</v>
      </c>
    </row>
    <row r="25" spans="1:19">
      <c r="A25" s="2259"/>
      <c r="B25" s="50" t="s">
        <v>1959</v>
      </c>
      <c r="C25" s="60" t="s">
        <v>3101</v>
      </c>
      <c r="D25" s="48">
        <f t="shared" si="6"/>
        <v>6842.84</v>
      </c>
      <c r="E25" s="56">
        <f t="shared" si="1"/>
        <v>23581.37</v>
      </c>
      <c r="F25" s="61">
        <f>'数据-基础表'!I20</f>
        <v>23581.37</v>
      </c>
      <c r="G25" s="62"/>
      <c r="H25" s="47">
        <f t="shared" si="7"/>
        <v>0</v>
      </c>
      <c r="I25" s="51">
        <f t="shared" si="2"/>
        <v>0</v>
      </c>
      <c r="J25" s="1392"/>
      <c r="K25" s="1391">
        <f t="shared" si="3"/>
        <v>0</v>
      </c>
      <c r="L25" s="1247">
        <f t="shared" si="4"/>
        <v>0</v>
      </c>
      <c r="M25" s="1403">
        <f t="shared" si="8"/>
        <v>0</v>
      </c>
      <c r="N25" s="2257"/>
      <c r="O25" s="2258"/>
      <c r="P25" s="1403">
        <f t="shared" si="9"/>
        <v>0</v>
      </c>
      <c r="R25" s="1247">
        <f t="shared" si="5"/>
        <v>6842.84</v>
      </c>
      <c r="S25" s="1248">
        <f t="shared" si="5"/>
        <v>23581.37</v>
      </c>
    </row>
    <row r="26" spans="1:19">
      <c r="A26" s="2259"/>
      <c r="B26" s="50" t="s">
        <v>1959</v>
      </c>
      <c r="C26" s="2933" t="s">
        <v>3092</v>
      </c>
      <c r="D26" s="48">
        <f t="shared" si="6"/>
        <v>21493.919999999998</v>
      </c>
      <c r="E26" s="56">
        <f>SUM(F26:G26)</f>
        <v>74071</v>
      </c>
      <c r="F26" s="61"/>
      <c r="G26" s="58">
        <f>'数据-基础表'!K25</f>
        <v>74071</v>
      </c>
      <c r="H26" s="47">
        <f t="shared" si="7"/>
        <v>0</v>
      </c>
      <c r="I26" s="51">
        <f t="shared" si="2"/>
        <v>0</v>
      </c>
      <c r="J26" s="1392"/>
      <c r="K26" s="1398">
        <f t="shared" si="3"/>
        <v>0</v>
      </c>
      <c r="L26" s="1399">
        <f t="shared" si="4"/>
        <v>0</v>
      </c>
      <c r="M26" s="66">
        <f t="shared" si="8"/>
        <v>0</v>
      </c>
      <c r="N26" s="2260"/>
      <c r="O26" s="2261"/>
      <c r="P26" s="66">
        <f t="shared" si="9"/>
        <v>0</v>
      </c>
      <c r="R26" s="1247">
        <f t="shared" si="5"/>
        <v>21493.919999999998</v>
      </c>
      <c r="S26" s="1248">
        <f t="shared" si="5"/>
        <v>74071</v>
      </c>
    </row>
    <row r="27" spans="1:19" ht="43.5" thickBot="1">
      <c r="A27" s="2259"/>
      <c r="B27" s="48"/>
      <c r="C27" s="2262" t="s">
        <v>1960</v>
      </c>
      <c r="D27" s="1393">
        <f>SUM(D19:D26)</f>
        <v>60878.3</v>
      </c>
      <c r="E27" s="1394">
        <f>IF(SUM(E19:E26)='数据-基础表'!BA5,SUM(E19:E26),IF(F27="地上面积有误","面积有误","地下面积有误"))</f>
        <v>209794.97</v>
      </c>
      <c r="F27" s="1393">
        <f>IF(SUM(F19:F26)=E8,SUM(F19:F26),"地上面积有误")</f>
        <v>135723.97</v>
      </c>
      <c r="G27" s="1395">
        <f>SUM(G19:G26)</f>
        <v>74071</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t="str">
        <f>IF(SUM(R19:R26)=$D$3,SUM(R19:R26),SUM(R19:R26)&amp;"误差"&amp;ROUND(SUM(R19:R26)-$D$3,2))</f>
        <v>60878.3误差-64.98</v>
      </c>
      <c r="S27" s="1247" t="str">
        <f>IF(SUM(S19:S26)=$E$3,SUM(S19:S26),SUM(S19:S26)&amp;"误差"&amp;ROUND(SUM(S19:S26)-E3,2))</f>
        <v>209794.97误差-223.99</v>
      </c>
    </row>
    <row r="28" spans="1:19">
      <c r="A28" s="2259"/>
      <c r="B28" s="50" t="s">
        <v>1961</v>
      </c>
      <c r="C28" s="1259" t="s">
        <v>1962</v>
      </c>
      <c r="D28" s="48">
        <f>ROUND($D$3*E28/$E$3,2)</f>
        <v>0</v>
      </c>
      <c r="E28" s="56">
        <f>SUM(F28:G28)</f>
        <v>0</v>
      </c>
      <c r="F28" s="63">
        <f>'数据-基础表'!BQ5+'数据-基础表'!BS5</f>
        <v>0</v>
      </c>
      <c r="G28" s="64">
        <f>'数据-基础表'!BR5+'数据-基础表'!BT5</f>
        <v>0</v>
      </c>
      <c r="H28" s="1392"/>
      <c r="I28" s="1392"/>
      <c r="J28" s="1392"/>
      <c r="K28" s="1392"/>
      <c r="L28" s="1392"/>
      <c r="M28" s="1392"/>
      <c r="N28" s="1392"/>
      <c r="O28" s="1392"/>
      <c r="P28" s="1392"/>
    </row>
    <row r="29" spans="1:19">
      <c r="A29" s="2259"/>
      <c r="B29" s="50" t="s">
        <v>1961</v>
      </c>
      <c r="C29" s="2263" t="s">
        <v>1963</v>
      </c>
      <c r="D29" s="48">
        <f>ROUND($D$3*E29/$E$3,2)</f>
        <v>65</v>
      </c>
      <c r="E29" s="56">
        <f>SUM(F29:G29)</f>
        <v>223.99</v>
      </c>
      <c r="F29" s="65">
        <f>'数据-基础表'!BM5+'数据-基础表'!BO5</f>
        <v>223.99</v>
      </c>
      <c r="G29" s="66">
        <f>'数据-基础表'!BN5+'数据-基础表'!BP5</f>
        <v>0</v>
      </c>
      <c r="H29" s="1392"/>
      <c r="I29" s="1392"/>
      <c r="J29" s="1392"/>
      <c r="K29" s="1392"/>
      <c r="L29" s="1392"/>
      <c r="M29" s="1392"/>
      <c r="N29" s="1392"/>
      <c r="O29" s="1392"/>
      <c r="P29" s="1392"/>
    </row>
    <row r="30" spans="1:19" ht="15">
      <c r="A30" s="2259"/>
      <c r="B30" s="50"/>
      <c r="C30" s="2264" t="s">
        <v>1960</v>
      </c>
      <c r="D30" s="1393">
        <f>SUM(D28:D29)</f>
        <v>65</v>
      </c>
      <c r="E30" s="1393">
        <f>SUM(E28:E29)</f>
        <v>223.99</v>
      </c>
      <c r="F30" s="1393">
        <f>SUM(F28:F29)</f>
        <v>223.99</v>
      </c>
      <c r="G30" s="1395">
        <f>SUM(G28:G29)</f>
        <v>0</v>
      </c>
      <c r="H30" s="1392"/>
      <c r="I30" s="1392"/>
      <c r="J30" s="1392"/>
      <c r="K30" s="1392"/>
      <c r="L30" s="1392"/>
      <c r="M30" s="1392"/>
      <c r="N30" s="1392"/>
      <c r="O30" s="1392"/>
      <c r="P30" s="1392"/>
    </row>
    <row r="31" spans="1:19" ht="15.75" thickBot="1">
      <c r="A31" s="2265"/>
      <c r="B31" s="2266"/>
      <c r="C31" s="1008" t="s">
        <v>1964</v>
      </c>
      <c r="D31" s="728">
        <f>D27+D30</f>
        <v>60943.3</v>
      </c>
      <c r="E31" s="728">
        <f>E27+E30</f>
        <v>210018.96</v>
      </c>
      <c r="F31" s="729">
        <f>F27+F30</f>
        <v>135947.96</v>
      </c>
      <c r="G31" s="730">
        <f>G27+G30</f>
        <v>74071</v>
      </c>
      <c r="H31" s="1392"/>
      <c r="I31" s="1392"/>
      <c r="J31" s="1392"/>
      <c r="K31" s="1392"/>
      <c r="L31" s="1392"/>
      <c r="M31" s="1392"/>
      <c r="N31" s="1392"/>
      <c r="O31" s="1392"/>
      <c r="P31" s="1392"/>
    </row>
    <row r="32" spans="1:19">
      <c r="A32" s="2229"/>
      <c r="B32" s="2229" t="s">
        <v>1965</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8" sqref="E28"/>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1966</v>
      </c>
      <c r="B1" s="731"/>
      <c r="C1" s="1582"/>
      <c r="D1" s="2269"/>
      <c r="E1" s="1582"/>
      <c r="F1" s="1582"/>
      <c r="G1" s="1582"/>
      <c r="H1" s="1582"/>
      <c r="I1" s="1582"/>
      <c r="J1" s="1582"/>
      <c r="K1" s="167"/>
      <c r="L1" s="167"/>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2" t="s">
        <v>1967</v>
      </c>
      <c r="B2" s="1266">
        <f>项目基本情况!D3</f>
        <v>43025</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2" customFormat="1" ht="15" thickBot="1">
      <c r="A3" s="2030"/>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2" customFormat="1" ht="15" thickBot="1">
      <c r="A4" s="67" t="s">
        <v>1968</v>
      </c>
      <c r="B4" s="2277"/>
      <c r="C4" s="2278"/>
      <c r="D4" s="2279"/>
      <c r="E4" s="2278" t="s">
        <v>1969</v>
      </c>
      <c r="F4" s="2278"/>
      <c r="G4" s="2278"/>
      <c r="H4" s="2278"/>
      <c r="I4" s="2278"/>
      <c r="J4" s="2280"/>
      <c r="K4" s="2281"/>
      <c r="L4" s="2282"/>
      <c r="M4" s="2278"/>
      <c r="N4" s="2278" t="s">
        <v>1970</v>
      </c>
      <c r="O4" s="2278"/>
      <c r="P4" s="2278"/>
      <c r="Q4" s="2278"/>
      <c r="R4" s="2278"/>
      <c r="S4" s="2280"/>
      <c r="T4" s="2283" t="str">
        <f>'数据-汇总表'!I17</f>
        <v>按面积比例</v>
      </c>
      <c r="U4" s="2277" t="s">
        <v>1971</v>
      </c>
      <c r="V4" s="2278"/>
      <c r="W4" s="2278"/>
      <c r="X4" s="2278"/>
      <c r="Y4" s="2280"/>
      <c r="Z4" s="2240" t="s">
        <v>1972</v>
      </c>
      <c r="AA4" s="2240"/>
      <c r="AB4" s="2240"/>
      <c r="AC4" s="2240"/>
      <c r="AD4" s="2240"/>
      <c r="AE4" s="2238" t="s">
        <v>1973</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3" customFormat="1" ht="42">
      <c r="A5" s="2285" t="s">
        <v>1974</v>
      </c>
      <c r="B5" s="2286" t="s">
        <v>1975</v>
      </c>
      <c r="C5" s="2287" t="s">
        <v>1976</v>
      </c>
      <c r="D5" s="2288" t="s">
        <v>1977</v>
      </c>
      <c r="E5" s="1268" t="s">
        <v>1978</v>
      </c>
      <c r="F5" s="2289" t="s">
        <v>1979</v>
      </c>
      <c r="G5" s="1268" t="s">
        <v>1980</v>
      </c>
      <c r="H5" s="1268" t="s">
        <v>1981</v>
      </c>
      <c r="I5" s="1268" t="s">
        <v>1982</v>
      </c>
      <c r="J5" s="2290" t="s">
        <v>1983</v>
      </c>
      <c r="K5" s="2291" t="s">
        <v>1984</v>
      </c>
      <c r="L5" s="2292" t="s">
        <v>1985</v>
      </c>
      <c r="M5" s="2293" t="s">
        <v>1986</v>
      </c>
      <c r="N5" s="2294" t="s">
        <v>1987</v>
      </c>
      <c r="O5" s="2292" t="s">
        <v>1988</v>
      </c>
      <c r="P5" s="2295" t="s">
        <v>1989</v>
      </c>
      <c r="Q5" s="68" t="s">
        <v>1990</v>
      </c>
      <c r="R5" s="2296" t="s">
        <v>1991</v>
      </c>
      <c r="S5" s="2297" t="s">
        <v>1992</v>
      </c>
      <c r="T5" s="2298" t="s">
        <v>1993</v>
      </c>
      <c r="U5" s="1267" t="s">
        <v>1994</v>
      </c>
      <c r="V5" s="1268" t="s">
        <v>1995</v>
      </c>
      <c r="W5" s="1268" t="s">
        <v>1996</v>
      </c>
      <c r="X5" s="70"/>
      <c r="Y5" s="69" t="s">
        <v>1997</v>
      </c>
      <c r="Z5" s="2299" t="s">
        <v>1994</v>
      </c>
      <c r="AA5" s="1268" t="s">
        <v>1995</v>
      </c>
      <c r="AB5" s="1268" t="s">
        <v>1996</v>
      </c>
      <c r="AC5" s="70"/>
      <c r="AD5" s="70" t="s">
        <v>1997</v>
      </c>
      <c r="AE5" s="1267" t="s">
        <v>1998</v>
      </c>
      <c r="AF5" s="1268" t="s">
        <v>1999</v>
      </c>
      <c r="AG5" s="69" t="s">
        <v>2000</v>
      </c>
      <c r="AH5" s="1267" t="s">
        <v>2001</v>
      </c>
      <c r="AI5" s="2299" t="s">
        <v>2002</v>
      </c>
      <c r="AJ5" s="2299" t="s">
        <v>2003</v>
      </c>
      <c r="AK5" s="1268" t="s">
        <v>2004</v>
      </c>
      <c r="AL5" s="1268" t="s">
        <v>2005</v>
      </c>
      <c r="AM5" s="69" t="s">
        <v>2006</v>
      </c>
      <c r="AN5" s="2300" t="s">
        <v>2007</v>
      </c>
      <c r="AO5" s="2071" t="s">
        <v>2008</v>
      </c>
      <c r="AP5" s="1249" t="s">
        <v>2009</v>
      </c>
      <c r="AQ5" s="2301" t="s">
        <v>2010</v>
      </c>
      <c r="AR5" s="2301" t="s">
        <v>2011</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2" customFormat="1" ht="14.25">
      <c r="A6" s="2302" t="str">
        <f>'数据-汇总表'!C19</f>
        <v>2号楼</v>
      </c>
      <c r="B6" s="2303" t="str">
        <f>IF(A6=0,"","经营性")</f>
        <v>经营性</v>
      </c>
      <c r="C6" s="2304" t="s">
        <v>3076</v>
      </c>
      <c r="D6" s="1052">
        <f>SUMIF(项目基本情况!D$12:I$12,C6,项目基本情况!D$14:I$14)</f>
        <v>70</v>
      </c>
      <c r="E6" s="1049">
        <f>IF(B6="","",SUMIF(项目基本情况!D$12:I$12,C6,项目基本情况!D$13:I$13))</f>
        <v>68293</v>
      </c>
      <c r="F6" s="71">
        <f>SUMIF(项目基本情况!D$12:I$12,C6,项目基本情况!D$15:I$15)</f>
        <v>69.22</v>
      </c>
      <c r="G6" s="72">
        <f>IF(ISERROR(ROUND(POWER(1+H6,D6-F6)*(POWER(1+H6,F6)-1)/(POWER(1+H6,D6)-1),3)),0,ROUND(POWER(1+H6,D6-F6)*(POWER(1+H6,F6)-1)/(POWER(1+H6,D6)-1),3))</f>
        <v>0.998</v>
      </c>
      <c r="H6" s="2932">
        <v>0.04</v>
      </c>
      <c r="I6" s="801">
        <v>0.05</v>
      </c>
      <c r="J6" s="73">
        <v>8.5000000000000006E-2</v>
      </c>
      <c r="K6" s="1251">
        <f>SUMIF('数据-汇总表'!C$19:C$33,A6,'数据-汇总表'!E$19:E$33)</f>
        <v>24825.22</v>
      </c>
      <c r="L6" s="802">
        <v>3000</v>
      </c>
      <c r="M6" s="74">
        <f t="shared" ref="M6:M14" si="0">ROUND(K6*L6/10000,0)</f>
        <v>7448</v>
      </c>
      <c r="N6" s="800">
        <v>0.05</v>
      </c>
      <c r="O6" s="74">
        <f>IF($N$5="成新度","——",ROUND(M6*N6,0))</f>
        <v>372</v>
      </c>
      <c r="P6" s="75">
        <f>IF($N$5="成新度","——",M6-O6)</f>
        <v>7076</v>
      </c>
      <c r="Q6" s="803">
        <v>0.1</v>
      </c>
      <c r="R6" s="76">
        <f ca="1">SUMIF('数据-汇总表'!C$19:C$33,A6,'数据-汇总表'!R$19:R$27)</f>
        <v>7203.78</v>
      </c>
      <c r="S6" s="54">
        <f>IF('数据-汇总表'!$I$17="按面积比例",SUMIF('数据-汇总表'!C$19:C$33,A6,'数据-汇总表'!K$19:K$33),SUMIF('数据-汇总表'!C$19:C$33,A6,'数据-汇总表'!N$19:N$33))</f>
        <v>0</v>
      </c>
      <c r="T6" s="1443">
        <f>ROUND($L$14*S6/10000,0)</f>
        <v>0</v>
      </c>
      <c r="U6" s="77"/>
      <c r="V6" s="78"/>
      <c r="W6" s="78"/>
      <c r="X6" s="1261"/>
      <c r="Y6" s="79"/>
      <c r="Z6" s="80"/>
      <c r="AA6" s="73"/>
      <c r="AB6" s="73"/>
      <c r="AC6" s="1261"/>
      <c r="AD6" s="81"/>
      <c r="AE6" s="1262">
        <f ca="1">IF(AN6="",0,SUMIF(INDIRECT("'"&amp;AN6&amp;"'"&amp;"!E:E"),$AE$5,INDIRECT("'"&amp;AN6&amp;"'"&amp;"!F:F")))</f>
        <v>0</v>
      </c>
      <c r="AF6" s="1805"/>
      <c r="AG6" s="145">
        <f>IF(AF6="",0,AE6-AF6)</f>
        <v>0</v>
      </c>
      <c r="AH6" s="82"/>
      <c r="AI6" s="84"/>
      <c r="AJ6" s="85"/>
      <c r="AK6" s="86"/>
      <c r="AL6" s="87"/>
      <c r="AM6" s="88"/>
      <c r="AN6" s="2305"/>
      <c r="AO6" s="55" t="e">
        <f ca="1">SUMIF(INDIRECT("'"&amp;AN6&amp;"'"&amp;"!A:A"),"总价",INDIRECT("'"&amp;AN6&amp;"'"&amp;"!B:B"))</f>
        <v>#REF!</v>
      </c>
      <c r="AP6" s="2306">
        <f>IF(C6="住宅",K6*L6,0)</f>
        <v>74475660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2" customFormat="1" ht="14.25">
      <c r="A7" s="2302" t="str">
        <f>'数据-汇总表'!C20</f>
        <v>3号楼</v>
      </c>
      <c r="B7" s="2303" t="str">
        <f t="shared" ref="B7:B13" si="1">IF(A7=0,"","经营性")</f>
        <v>经营性</v>
      </c>
      <c r="C7" s="2304" t="s">
        <v>3076</v>
      </c>
      <c r="D7" s="1052">
        <f>SUMIF(项目基本情况!D$12:I$12,C7,项目基本情况!D$14:I$14)</f>
        <v>70</v>
      </c>
      <c r="E7" s="1049">
        <f>IF(B7="","",SUMIF(项目基本情况!D$12:I$12,C7,项目基本情况!D$13:I$13))</f>
        <v>68293</v>
      </c>
      <c r="F7" s="71">
        <f>SUMIF(项目基本情况!D$12:I$12,C7,项目基本情况!D$15:I$15)</f>
        <v>69.22</v>
      </c>
      <c r="G7" s="72">
        <f t="shared" ref="G7:G11" si="2">IF(ISERROR(ROUND(POWER(1+H7,D7-F7)*(POWER(1+H7,F7)-1)/(POWER(1+H7,D7)-1),3)),0,ROUND(POWER(1+H7,D7-F7)*(POWER(1+H7,F7)-1)/(POWER(1+H7,D7)-1),3))</f>
        <v>0.998</v>
      </c>
      <c r="H7" s="2932">
        <v>0.04</v>
      </c>
      <c r="I7" s="801">
        <v>0.05</v>
      </c>
      <c r="J7" s="73">
        <v>8.5000000000000006E-2</v>
      </c>
      <c r="K7" s="1251">
        <f>SUMIF('数据-汇总表'!C$19:C$33,A7,'数据-汇总表'!E$19:E$33)</f>
        <v>20392.240000000002</v>
      </c>
      <c r="L7" s="802">
        <v>3000</v>
      </c>
      <c r="M7" s="74">
        <f t="shared" si="0"/>
        <v>6118</v>
      </c>
      <c r="N7" s="800">
        <v>0.05</v>
      </c>
      <c r="O7" s="74">
        <f t="shared" ref="O7:O14" si="3">IF($N$5="成新度","——",ROUND(M7*N7,0))</f>
        <v>306</v>
      </c>
      <c r="P7" s="75">
        <f t="shared" ref="P7:P14" si="4">IF($N$5="成新度","——",M7-O7)</f>
        <v>5812</v>
      </c>
      <c r="Q7" s="803">
        <v>0.1</v>
      </c>
      <c r="R7" s="76">
        <f ca="1">SUMIF('数据-汇总表'!C$19:C$33,A7,'数据-汇总表'!R$19:R$27)</f>
        <v>5917.42</v>
      </c>
      <c r="S7" s="54">
        <f>IF('数据-汇总表'!$I$17="按面积比例",SUMIF('数据-汇总表'!C$19:C$33,A7,'数据-汇总表'!K$19:K$33),SUMIF('数据-汇总表'!C$19:C$33,A7,'数据-汇总表'!N$19:N$33))</f>
        <v>0</v>
      </c>
      <c r="T7" s="1443">
        <f t="shared" ref="T7:T13" si="5">ROUND($L$14*S7/10000,0)</f>
        <v>0</v>
      </c>
      <c r="U7" s="77"/>
      <c r="V7" s="78"/>
      <c r="W7" s="78"/>
      <c r="X7" s="1261"/>
      <c r="Y7" s="79"/>
      <c r="Z7" s="80"/>
      <c r="AA7" s="73"/>
      <c r="AB7" s="73"/>
      <c r="AC7" s="1261"/>
      <c r="AD7" s="81"/>
      <c r="AE7" s="1262">
        <f t="shared" ref="AE7:AE13" ca="1" si="6">IF(AN7="",0,SUMIF(INDIRECT("'"&amp;AN7&amp;"'"&amp;"!E:E"),$AE$5,INDIRECT("'"&amp;AN7&amp;"'"&amp;"!F:F")))</f>
        <v>0</v>
      </c>
      <c r="AF7" s="1805"/>
      <c r="AG7" s="145">
        <f t="shared" ref="AG7:AG13" si="7">IF(AF7="",0,AE7-AF7)</f>
        <v>0</v>
      </c>
      <c r="AH7" s="82"/>
      <c r="AI7" s="84"/>
      <c r="AJ7" s="85"/>
      <c r="AK7" s="86"/>
      <c r="AL7" s="87"/>
      <c r="AM7" s="88"/>
      <c r="AN7" s="2305"/>
      <c r="AO7" s="55" t="e">
        <f t="shared" ref="AO7:AO13" ca="1" si="8">SUMIF(INDIRECT("'"&amp;AN7&amp;"'"&amp;"!A:A"),"总价",INDIRECT("'"&amp;AN7&amp;"'"&amp;"!B:B"))</f>
        <v>#REF!</v>
      </c>
      <c r="AP7" s="2306">
        <f t="shared" ref="AP7:AP13" si="9">IF(C7="住宅",K7*L7,0)</f>
        <v>61176720.000000007</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2" customFormat="1" ht="14.25">
      <c r="A8" s="2302" t="str">
        <f>'数据-汇总表'!C21</f>
        <v>4号楼</v>
      </c>
      <c r="B8" s="2303" t="str">
        <f t="shared" si="1"/>
        <v>经营性</v>
      </c>
      <c r="C8" s="2304" t="s">
        <v>3076</v>
      </c>
      <c r="D8" s="1052">
        <f>SUMIF(项目基本情况!D$12:I$12,C8,项目基本情况!D$14:I$14)</f>
        <v>70</v>
      </c>
      <c r="E8" s="1049">
        <f>IF(B8="","",SUMIF(项目基本情况!D$12:I$12,C8,项目基本情况!D$13:I$13))</f>
        <v>68293</v>
      </c>
      <c r="F8" s="71">
        <f>SUMIF(项目基本情况!D$12:I$12,C8,项目基本情况!D$15:I$15)</f>
        <v>69.22</v>
      </c>
      <c r="G8" s="72">
        <f t="shared" si="2"/>
        <v>0.998</v>
      </c>
      <c r="H8" s="2932">
        <v>0.04</v>
      </c>
      <c r="I8" s="801">
        <v>0.05</v>
      </c>
      <c r="J8" s="73">
        <v>8.5000000000000006E-2</v>
      </c>
      <c r="K8" s="1251">
        <f>SUMIF('数据-汇总表'!C$19:C$33,A8,'数据-汇总表'!E$19:E$33)</f>
        <v>14384</v>
      </c>
      <c r="L8" s="802">
        <v>3000</v>
      </c>
      <c r="M8" s="74">
        <f>ROUND(K8*L8/10000,0)</f>
        <v>4315</v>
      </c>
      <c r="N8" s="800">
        <v>0.15</v>
      </c>
      <c r="O8" s="74">
        <f t="shared" si="3"/>
        <v>647</v>
      </c>
      <c r="P8" s="75">
        <f t="shared" si="4"/>
        <v>3668</v>
      </c>
      <c r="Q8" s="803">
        <v>0.1</v>
      </c>
      <c r="R8" s="76">
        <f ca="1">SUMIF('数据-汇总表'!C$19:C$33,A8,'数据-汇总表'!R$19:R$27)</f>
        <v>4173.95</v>
      </c>
      <c r="S8" s="54">
        <f>IF('数据-汇总表'!$I$17="按面积比例",SUMIF('数据-汇总表'!C$19:C$33,A8,'数据-汇总表'!K$19:K$33),SUMIF('数据-汇总表'!C$19:C$33,A8,'数据-汇总表'!N$19:N$33))</f>
        <v>0</v>
      </c>
      <c r="T8" s="1443">
        <f t="shared" si="5"/>
        <v>0</v>
      </c>
      <c r="U8" s="804"/>
      <c r="V8" s="805"/>
      <c r="W8" s="805"/>
      <c r="X8" s="1261"/>
      <c r="Y8" s="806"/>
      <c r="Z8" s="80"/>
      <c r="AA8" s="73"/>
      <c r="AB8" s="73"/>
      <c r="AC8" s="1261"/>
      <c r="AD8" s="81"/>
      <c r="AE8" s="1262">
        <f t="shared" ca="1" si="6"/>
        <v>0</v>
      </c>
      <c r="AF8" s="1805"/>
      <c r="AG8" s="145">
        <f t="shared" si="7"/>
        <v>0</v>
      </c>
      <c r="AH8" s="807"/>
      <c r="AI8" s="84"/>
      <c r="AJ8" s="85"/>
      <c r="AK8" s="808"/>
      <c r="AL8" s="809"/>
      <c r="AM8" s="810"/>
      <c r="AN8" s="2305"/>
      <c r="AO8" s="55" t="e">
        <f t="shared" ca="1" si="8"/>
        <v>#REF!</v>
      </c>
      <c r="AP8" s="2306">
        <f t="shared" si="9"/>
        <v>43152000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2" customFormat="1" ht="14.25">
      <c r="A9" s="2302" t="str">
        <f>'数据-汇总表'!C22</f>
        <v>5号楼</v>
      </c>
      <c r="B9" s="2303" t="str">
        <f t="shared" si="1"/>
        <v>经营性</v>
      </c>
      <c r="C9" s="2304" t="s">
        <v>3076</v>
      </c>
      <c r="D9" s="1052">
        <f>SUMIF(项目基本情况!D$12:I$12,C9,项目基本情况!D$14:I$14)</f>
        <v>70</v>
      </c>
      <c r="E9" s="1049">
        <f>IF(B9="","",SUMIF(项目基本情况!D$12:I$12,C9,项目基本情况!D$13:I$13))</f>
        <v>68293</v>
      </c>
      <c r="F9" s="71">
        <f>SUMIF(项目基本情况!D$12:I$12,C9,项目基本情况!D$15:I$15)</f>
        <v>69.22</v>
      </c>
      <c r="G9" s="72">
        <f t="shared" si="2"/>
        <v>0.998</v>
      </c>
      <c r="H9" s="2932">
        <v>0.04</v>
      </c>
      <c r="I9" s="801">
        <v>0.05</v>
      </c>
      <c r="J9" s="73">
        <v>8.5000000000000006E-2</v>
      </c>
      <c r="K9" s="1251">
        <f>SUMIF('数据-汇总表'!C$19:C$33,A9,'数据-汇总表'!E$19:E$33)</f>
        <v>14384</v>
      </c>
      <c r="L9" s="802">
        <v>3000</v>
      </c>
      <c r="M9" s="74">
        <f t="shared" si="0"/>
        <v>4315</v>
      </c>
      <c r="N9" s="800">
        <v>0.2</v>
      </c>
      <c r="O9" s="74">
        <f t="shared" si="3"/>
        <v>863</v>
      </c>
      <c r="P9" s="75">
        <f t="shared" si="4"/>
        <v>3452</v>
      </c>
      <c r="Q9" s="803">
        <v>0.1</v>
      </c>
      <c r="R9" s="76">
        <f ca="1">SUMIF('数据-汇总表'!C$19:C$33,A9,'数据-汇总表'!R$19:R$27)</f>
        <v>4173.95</v>
      </c>
      <c r="S9" s="54">
        <f>IF('数据-汇总表'!$I$17="按面积比例",SUMIF('数据-汇总表'!C$19:C$33,A9,'数据-汇总表'!K$19:K$33),SUMIF('数据-汇总表'!C$19:C$33,A9,'数据-汇总表'!N$19:N$33))</f>
        <v>0</v>
      </c>
      <c r="T9" s="1443">
        <f t="shared" si="5"/>
        <v>0</v>
      </c>
      <c r="U9" s="77"/>
      <c r="V9" s="78"/>
      <c r="W9" s="78"/>
      <c r="X9" s="1261"/>
      <c r="Y9" s="79"/>
      <c r="Z9" s="80"/>
      <c r="AA9" s="73"/>
      <c r="AB9" s="73"/>
      <c r="AC9" s="1261"/>
      <c r="AD9" s="81"/>
      <c r="AE9" s="1262">
        <f t="shared" ca="1" si="6"/>
        <v>0</v>
      </c>
      <c r="AF9" s="1805"/>
      <c r="AG9" s="145">
        <f t="shared" si="7"/>
        <v>0</v>
      </c>
      <c r="AH9" s="82"/>
      <c r="AI9" s="84"/>
      <c r="AJ9" s="85"/>
      <c r="AK9" s="86"/>
      <c r="AL9" s="87"/>
      <c r="AM9" s="88"/>
      <c r="AN9" s="2305"/>
      <c r="AO9" s="55" t="e">
        <f t="shared" ca="1" si="8"/>
        <v>#REF!</v>
      </c>
      <c r="AP9" s="2306">
        <f t="shared" si="9"/>
        <v>43152000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2" customFormat="1" ht="14.25">
      <c r="A10" s="2302" t="str">
        <f>'数据-汇总表'!C23</f>
        <v>6号楼</v>
      </c>
      <c r="B10" s="2303" t="str">
        <f t="shared" si="1"/>
        <v>经营性</v>
      </c>
      <c r="C10" s="2304" t="s">
        <v>3076</v>
      </c>
      <c r="D10" s="1052">
        <f>SUMIF(项目基本情况!D$12:I$12,C10,项目基本情况!D$14:I$14)</f>
        <v>70</v>
      </c>
      <c r="E10" s="1049">
        <f>IF(B10="","",SUMIF(项目基本情况!D$12:I$12,C10,项目基本情况!D$13:I$13))</f>
        <v>68293</v>
      </c>
      <c r="F10" s="71">
        <f>SUMIF(项目基本情况!D$12:I$12,C10,项目基本情况!D$15:I$15)</f>
        <v>69.22</v>
      </c>
      <c r="G10" s="72">
        <f t="shared" si="2"/>
        <v>0.998</v>
      </c>
      <c r="H10" s="2932">
        <v>0.04</v>
      </c>
      <c r="I10" s="801">
        <v>0.05</v>
      </c>
      <c r="J10" s="73">
        <v>8.5000000000000006E-2</v>
      </c>
      <c r="K10" s="1251">
        <f>SUMIF('数据-汇总表'!C$19:C$33,A10,'数据-汇总表'!E$19:E$33)</f>
        <v>14575.77</v>
      </c>
      <c r="L10" s="802">
        <v>3000</v>
      </c>
      <c r="M10" s="74">
        <f t="shared" si="0"/>
        <v>4373</v>
      </c>
      <c r="N10" s="800">
        <v>0.05</v>
      </c>
      <c r="O10" s="74">
        <f t="shared" si="3"/>
        <v>219</v>
      </c>
      <c r="P10" s="75">
        <f t="shared" si="4"/>
        <v>4154</v>
      </c>
      <c r="Q10" s="803">
        <v>0.1</v>
      </c>
      <c r="R10" s="76">
        <f ca="1">SUMIF('数据-汇总表'!C$19:C$33,A10,'数据-汇总表'!R$19:R$27)</f>
        <v>4229.6000000000004</v>
      </c>
      <c r="S10" s="54">
        <f>IF('数据-汇总表'!$I$17="按面积比例",SUMIF('数据-汇总表'!C$19:C$33,A10,'数据-汇总表'!K$19:K$33),SUMIF('数据-汇总表'!C$19:C$33,A10,'数据-汇总表'!N$19:N$33))</f>
        <v>0</v>
      </c>
      <c r="T10" s="1443">
        <f t="shared" si="5"/>
        <v>0</v>
      </c>
      <c r="U10" s="77"/>
      <c r="V10" s="78"/>
      <c r="W10" s="78"/>
      <c r="X10" s="1261"/>
      <c r="Y10" s="79"/>
      <c r="Z10" s="80"/>
      <c r="AA10" s="73"/>
      <c r="AB10" s="73"/>
      <c r="AC10" s="1261"/>
      <c r="AD10" s="81"/>
      <c r="AE10" s="1262">
        <f t="shared" ca="1" si="6"/>
        <v>0</v>
      </c>
      <c r="AF10" s="1805"/>
      <c r="AG10" s="145">
        <f t="shared" si="7"/>
        <v>0</v>
      </c>
      <c r="AH10" s="82"/>
      <c r="AI10" s="84"/>
      <c r="AJ10" s="85"/>
      <c r="AK10" s="86"/>
      <c r="AL10" s="87"/>
      <c r="AM10" s="88"/>
      <c r="AN10" s="2305"/>
      <c r="AO10" s="55" t="e">
        <f t="shared" ca="1" si="8"/>
        <v>#REF!</v>
      </c>
      <c r="AP10" s="2306">
        <f t="shared" si="9"/>
        <v>43727310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2" customFormat="1" ht="14.25">
      <c r="A11" s="2302" t="str">
        <f>'数据-汇总表'!C24</f>
        <v>7号楼</v>
      </c>
      <c r="B11" s="2303" t="str">
        <f t="shared" si="1"/>
        <v>经营性</v>
      </c>
      <c r="C11" s="2304" t="s">
        <v>3076</v>
      </c>
      <c r="D11" s="1052">
        <f>SUMIF(项目基本情况!D$12:I$12,C11,项目基本情况!D$14:I$14)</f>
        <v>70</v>
      </c>
      <c r="E11" s="1049">
        <f>IF(B11="","",SUMIF(项目基本情况!D$12:I$12,C11,项目基本情况!D$13:I$13))</f>
        <v>68293</v>
      </c>
      <c r="F11" s="71">
        <f>SUMIF(项目基本情况!D$12:I$12,C11,项目基本情况!D$15:I$15)</f>
        <v>69.22</v>
      </c>
      <c r="G11" s="72">
        <f t="shared" si="2"/>
        <v>0.998</v>
      </c>
      <c r="H11" s="2932">
        <v>0.04</v>
      </c>
      <c r="I11" s="801">
        <v>0.05</v>
      </c>
      <c r="J11" s="73">
        <v>8.5000000000000006E-2</v>
      </c>
      <c r="K11" s="1251">
        <f>SUMIF('数据-汇总表'!C$19:C$33,A11,'数据-汇总表'!E$19:E$33)</f>
        <v>23581.37</v>
      </c>
      <c r="L11" s="802">
        <v>3000</v>
      </c>
      <c r="M11" s="74">
        <f t="shared" si="0"/>
        <v>7074</v>
      </c>
      <c r="N11" s="91">
        <v>0.05</v>
      </c>
      <c r="O11" s="74">
        <f t="shared" si="3"/>
        <v>354</v>
      </c>
      <c r="P11" s="75">
        <f t="shared" si="4"/>
        <v>6720</v>
      </c>
      <c r="Q11" s="803">
        <v>0.1</v>
      </c>
      <c r="R11" s="76">
        <f ca="1">SUMIF('数据-汇总表'!C$19:C$33,A11,'数据-汇总表'!R$19:R$27)</f>
        <v>6842.84</v>
      </c>
      <c r="S11" s="54">
        <f>IF('数据-汇总表'!$I$17="按面积比例",SUMIF('数据-汇总表'!C$19:C$33,A11,'数据-汇总表'!K$19:K$33),SUMIF('数据-汇总表'!C$19:C$33,A11,'数据-汇总表'!N$19:N$33))</f>
        <v>0</v>
      </c>
      <c r="T11" s="1443">
        <f t="shared" si="5"/>
        <v>0</v>
      </c>
      <c r="U11" s="82"/>
      <c r="V11" s="73"/>
      <c r="W11" s="73"/>
      <c r="X11" s="1261"/>
      <c r="Y11" s="79"/>
      <c r="Z11" s="92"/>
      <c r="AA11" s="73"/>
      <c r="AB11" s="73"/>
      <c r="AC11" s="1261"/>
      <c r="AD11" s="81"/>
      <c r="AE11" s="1262">
        <f t="shared" ca="1" si="6"/>
        <v>0</v>
      </c>
      <c r="AF11" s="1805"/>
      <c r="AG11" s="145">
        <f t="shared" si="7"/>
        <v>0</v>
      </c>
      <c r="AH11" s="82"/>
      <c r="AI11" s="84"/>
      <c r="AJ11" s="85"/>
      <c r="AK11" s="93"/>
      <c r="AL11" s="94"/>
      <c r="AM11" s="95"/>
      <c r="AN11" s="2305"/>
      <c r="AO11" s="55" t="e">
        <f t="shared" ca="1" si="8"/>
        <v>#REF!</v>
      </c>
      <c r="AP11" s="2306">
        <f t="shared" si="9"/>
        <v>70744110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2" customFormat="1" ht="14.25">
      <c r="A12" s="2302" t="str">
        <f>'数据-汇总表'!C25</f>
        <v>8号楼</v>
      </c>
      <c r="B12" s="2303" t="str">
        <f t="shared" si="1"/>
        <v>经营性</v>
      </c>
      <c r="C12" s="2304" t="s">
        <v>3076</v>
      </c>
      <c r="D12" s="1052">
        <f>SUMIF(项目基本情况!D$12:I$12,C12,项目基本情况!D$14:I$14)</f>
        <v>70</v>
      </c>
      <c r="E12" s="1049">
        <f>IF(B12="","",SUMIF(项目基本情况!D$12:I$12,C12,项目基本情况!D$13:I$13))</f>
        <v>68293</v>
      </c>
      <c r="F12" s="71">
        <f>SUMIF(项目基本情况!D$12:I$12,C12,项目基本情况!D$15:I$15)</f>
        <v>69.22</v>
      </c>
      <c r="G12" s="72">
        <f>IF(ISERROR(ROUND(POWER(1+H12,D12-F12)*(POWER(1+H12,F12)-1)/(POWER(1+H12,D12)-1),3)),0,ROUND(POWER(1+H12,D12-F12)*(POWER(1+H12,F12)-1)/(POWER(1+H12,D12)-1),3))</f>
        <v>0.998</v>
      </c>
      <c r="H12" s="2932">
        <v>0.04</v>
      </c>
      <c r="I12" s="801">
        <v>0.05</v>
      </c>
      <c r="J12" s="73">
        <v>8.5000000000000006E-2</v>
      </c>
      <c r="K12" s="1251">
        <f>SUMIF('数据-汇总表'!C$19:C$33,A12,'数据-汇总表'!E$19:E$33)</f>
        <v>23581.37</v>
      </c>
      <c r="L12" s="802">
        <v>3000</v>
      </c>
      <c r="M12" s="74">
        <f>ROUND(K12*L12/10000,0)</f>
        <v>7074</v>
      </c>
      <c r="N12" s="91">
        <v>0.05</v>
      </c>
      <c r="O12" s="74">
        <f t="shared" si="3"/>
        <v>354</v>
      </c>
      <c r="P12" s="75">
        <f t="shared" si="4"/>
        <v>6720</v>
      </c>
      <c r="Q12" s="803">
        <v>0.1</v>
      </c>
      <c r="R12" s="76">
        <f ca="1">SUMIF('数据-汇总表'!C$19:C$33,A12,'数据-汇总表'!R$19:R$27)</f>
        <v>6842.84</v>
      </c>
      <c r="S12" s="54">
        <f>IF('数据-汇总表'!$I$17="按面积比例",SUMIF('数据-汇总表'!C$19:C$33,A12,'数据-汇总表'!K$19:K$33),SUMIF('数据-汇总表'!C$19:C$33,A12,'数据-汇总表'!N$19:N$33))</f>
        <v>0</v>
      </c>
      <c r="T12" s="1443">
        <f t="shared" si="5"/>
        <v>0</v>
      </c>
      <c r="U12" s="82"/>
      <c r="V12" s="73"/>
      <c r="W12" s="73"/>
      <c r="X12" s="1261"/>
      <c r="Y12" s="79"/>
      <c r="Z12" s="92"/>
      <c r="AA12" s="73"/>
      <c r="AB12" s="73"/>
      <c r="AC12" s="1261"/>
      <c r="AD12" s="81"/>
      <c r="AE12" s="1262">
        <f t="shared" ca="1" si="6"/>
        <v>0</v>
      </c>
      <c r="AF12" s="1805"/>
      <c r="AG12" s="145">
        <f t="shared" si="7"/>
        <v>0</v>
      </c>
      <c r="AH12" s="82"/>
      <c r="AI12" s="84"/>
      <c r="AJ12" s="85"/>
      <c r="AK12" s="93"/>
      <c r="AL12" s="94"/>
      <c r="AM12" s="95"/>
      <c r="AN12" s="2305"/>
      <c r="AO12" s="55" t="e">
        <f t="shared" ca="1" si="8"/>
        <v>#REF!</v>
      </c>
      <c r="AP12" s="2306">
        <f t="shared" si="9"/>
        <v>70744110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2" customFormat="1" ht="14.25">
      <c r="A13" s="2302" t="str">
        <f>'数据-汇总表'!C26</f>
        <v>地下车库</v>
      </c>
      <c r="B13" s="2303" t="str">
        <f t="shared" si="1"/>
        <v>经营性</v>
      </c>
      <c r="C13" s="2304" t="s">
        <v>3079</v>
      </c>
      <c r="D13" s="1052">
        <f>SUMIF(项目基本情况!D$12:I$12,C13,项目基本情况!D$14:I$14)</f>
        <v>50</v>
      </c>
      <c r="E13" s="1049">
        <f>IF(B13="","",SUMIF(项目基本情况!D$12:I$12,C13,项目基本情况!D$13:I$13))</f>
        <v>60988</v>
      </c>
      <c r="F13" s="71">
        <f>SUMIF(项目基本情况!D$12:I$12,C13,项目基本情况!D$15:I$15)</f>
        <v>49.21</v>
      </c>
      <c r="G13" s="72">
        <f>IF(ISERROR(ROUND(POWER(1+H13,D13-F13)*(POWER(1+H13,F13)-1)/(POWER(1+H13,D13)-1),3)),0,ROUND(POWER(1+H13,D13-F13)*(POWER(1+H13,F13)-1)/(POWER(1+H13,D13)-1),3))</f>
        <v>0.995</v>
      </c>
      <c r="H13" s="2932">
        <v>0.04</v>
      </c>
      <c r="I13" s="801">
        <v>4.4999999999999998E-2</v>
      </c>
      <c r="J13" s="73">
        <v>0.08</v>
      </c>
      <c r="K13" s="1251">
        <f>SUMIF('数据-汇总表'!C$19:C$33,A13,'数据-汇总表'!E$19:E$33)</f>
        <v>74071</v>
      </c>
      <c r="L13" s="90">
        <v>2000</v>
      </c>
      <c r="M13" s="74">
        <f>ROUND(K13*L13/10000,0)</f>
        <v>14814</v>
      </c>
      <c r="N13" s="91">
        <v>0.1</v>
      </c>
      <c r="O13" s="74">
        <f t="shared" si="3"/>
        <v>1481</v>
      </c>
      <c r="P13" s="75">
        <f t="shared" si="4"/>
        <v>13333</v>
      </c>
      <c r="Q13" s="89">
        <v>0.03</v>
      </c>
      <c r="R13" s="76">
        <f ca="1">SUMIF('数据-汇总表'!C$19:C$33,A13,'数据-汇总表'!R$19:R$27)</f>
        <v>21493.919999999998</v>
      </c>
      <c r="S13" s="54">
        <f>IF('数据-汇总表'!$I$17="按面积比例",SUMIF('数据-汇总表'!C$19:C$33,A13,'数据-汇总表'!K$19:K$33),SUMIF('数据-汇总表'!C$19:C$33,A13,'数据-汇总表'!N$19:N$33))</f>
        <v>0</v>
      </c>
      <c r="T13" s="1443">
        <f t="shared" si="5"/>
        <v>0</v>
      </c>
      <c r="U13" s="77"/>
      <c r="V13" s="78"/>
      <c r="W13" s="78"/>
      <c r="X13" s="1261"/>
      <c r="Y13" s="79"/>
      <c r="Z13" s="80"/>
      <c r="AA13" s="73"/>
      <c r="AB13" s="73"/>
      <c r="AC13" s="1261"/>
      <c r="AD13" s="81"/>
      <c r="AE13" s="1262">
        <f t="shared" ca="1" si="6"/>
        <v>0</v>
      </c>
      <c r="AF13" s="1805"/>
      <c r="AG13" s="145">
        <f t="shared" si="7"/>
        <v>0</v>
      </c>
      <c r="AH13" s="82"/>
      <c r="AI13" s="84"/>
      <c r="AJ13" s="85"/>
      <c r="AK13" s="86"/>
      <c r="AL13" s="87"/>
      <c r="AM13" s="88"/>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2" customFormat="1" ht="14.25">
      <c r="A14" s="2307" t="s">
        <v>2012</v>
      </c>
      <c r="B14" s="2303" t="s">
        <v>2013</v>
      </c>
      <c r="C14" s="2308" t="s">
        <v>2012</v>
      </c>
      <c r="D14" s="1052"/>
      <c r="E14" s="1049"/>
      <c r="F14" s="71"/>
      <c r="G14" s="72"/>
      <c r="H14" s="1250"/>
      <c r="I14" s="1250"/>
      <c r="J14" s="1250"/>
      <c r="K14" s="1251">
        <f>SUMIF('数据-汇总表'!C$19:C$33,A14,'数据-汇总表'!E$19:E$33)</f>
        <v>0</v>
      </c>
      <c r="L14" s="90"/>
      <c r="M14" s="74">
        <f t="shared" si="0"/>
        <v>0</v>
      </c>
      <c r="N14" s="91"/>
      <c r="O14" s="74">
        <f t="shared" si="3"/>
        <v>0</v>
      </c>
      <c r="P14" s="75">
        <f t="shared" si="4"/>
        <v>0</v>
      </c>
      <c r="Q14" s="1254"/>
      <c r="R14" s="76"/>
      <c r="S14" s="54"/>
      <c r="T14" s="1443"/>
      <c r="U14" s="722"/>
      <c r="V14" s="1256"/>
      <c r="W14" s="1256"/>
      <c r="X14" s="1257"/>
      <c r="Y14" s="1258"/>
      <c r="Z14" s="1259"/>
      <c r="AA14" s="1260"/>
      <c r="AB14" s="1260"/>
      <c r="AC14" s="1261"/>
      <c r="AD14" s="1257"/>
      <c r="AE14" s="1262"/>
      <c r="AF14" s="55"/>
      <c r="AG14" s="145"/>
      <c r="AH14" s="1262"/>
      <c r="AI14" s="1816"/>
      <c r="AJ14" s="772"/>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2" customFormat="1" ht="27">
      <c r="A15" s="2307" t="s">
        <v>2014</v>
      </c>
      <c r="B15" s="2303" t="s">
        <v>2013</v>
      </c>
      <c r="C15" s="2308" t="s">
        <v>2015</v>
      </c>
      <c r="D15" s="1052"/>
      <c r="E15" s="1049"/>
      <c r="F15" s="71"/>
      <c r="G15" s="72"/>
      <c r="H15" s="1250"/>
      <c r="I15" s="1250"/>
      <c r="J15" s="1250"/>
      <c r="K15" s="1251">
        <f>SUMIF('数据-汇总表'!C$19:C$33,A15,'数据-汇总表'!E$19:E$33)</f>
        <v>223.99</v>
      </c>
      <c r="L15" s="1252"/>
      <c r="M15" s="74"/>
      <c r="N15" s="1253"/>
      <c r="O15" s="74"/>
      <c r="P15" s="75"/>
      <c r="Q15" s="1254"/>
      <c r="R15" s="76"/>
      <c r="S15" s="54"/>
      <c r="T15" s="1443"/>
      <c r="U15" s="722"/>
      <c r="V15" s="1256"/>
      <c r="W15" s="1256"/>
      <c r="X15" s="1257"/>
      <c r="Y15" s="1258"/>
      <c r="Z15" s="1259"/>
      <c r="AA15" s="1260"/>
      <c r="AB15" s="1260"/>
      <c r="AC15" s="1261"/>
      <c r="AD15" s="1257"/>
      <c r="AE15" s="1262"/>
      <c r="AF15" s="55"/>
      <c r="AG15" s="145"/>
      <c r="AH15" s="1262"/>
      <c r="AI15" s="1816"/>
      <c r="AJ15" s="772"/>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2" customFormat="1" ht="15.75" thickBot="1">
      <c r="A16" s="2309" t="s">
        <v>2016</v>
      </c>
      <c r="B16" s="96"/>
      <c r="C16" s="1006"/>
      <c r="D16" s="2310"/>
      <c r="E16" s="96"/>
      <c r="F16" s="96"/>
      <c r="G16" s="97">
        <f>ROUND(SUMPRODUCT(G6:G13,K6:K13)/SUMPRODUCT((G6:G13&gt;0)*(K6:K13)),3)</f>
        <v>0.997</v>
      </c>
      <c r="H16" s="98">
        <f>ROUND(SUMPRODUCT(H6:H13,K6:K13)/SUMPRODUCT((H6:H13&gt;0)*(K6:K13)),3)</f>
        <v>0.04</v>
      </c>
      <c r="I16" s="99"/>
      <c r="J16" s="99"/>
      <c r="K16" s="100">
        <f>SUM(K6:K15)</f>
        <v>210018.96</v>
      </c>
      <c r="L16" s="101">
        <f>ROUND(M16*10000/SUM(K6:K14),0)</f>
        <v>2647</v>
      </c>
      <c r="M16" s="101">
        <f>SUM(M6:M14)</f>
        <v>55531</v>
      </c>
      <c r="N16" s="102">
        <f>ROUND(SUMPRODUCT(M6:M14,N6:N14)/M16,3)</f>
        <v>8.3000000000000004E-2</v>
      </c>
      <c r="O16" s="101">
        <f>SUM(O6:O14)</f>
        <v>4596</v>
      </c>
      <c r="P16" s="101">
        <f>SUM(P6:P14)</f>
        <v>50935</v>
      </c>
      <c r="Q16" s="103">
        <f>ROUND(SUMPRODUCT(Q6:Q13,K6:K13)/SUMPRODUCT((Q6:Q13&gt;0)*(K6:K13)),2)</f>
        <v>0.08</v>
      </c>
      <c r="R16" s="1255">
        <f ca="1">SUM(R6:R13)</f>
        <v>60878.3</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1"/>
      <c r="C17" s="1582"/>
      <c r="D17" s="2269"/>
      <c r="E17" s="2269"/>
      <c r="F17" s="1582"/>
      <c r="G17" s="1582"/>
      <c r="H17" s="1582"/>
      <c r="I17" s="1582"/>
      <c r="J17" s="1582"/>
      <c r="K17" s="167"/>
      <c r="L17" s="167"/>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7" t="s">
        <v>2017</v>
      </c>
      <c r="B18" s="2276"/>
      <c r="C18" s="2273"/>
      <c r="D18" s="2274"/>
      <c r="E18" s="2273"/>
      <c r="F18" s="2273"/>
      <c r="G18" s="2273"/>
      <c r="H18" s="2273"/>
      <c r="I18" s="2273"/>
      <c r="J18" s="2273"/>
      <c r="K18" s="167"/>
      <c r="L18" s="167"/>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2" t="s">
        <v>2018</v>
      </c>
      <c r="B19" s="111">
        <v>0</v>
      </c>
      <c r="C19" s="2273" t="s">
        <v>2019</v>
      </c>
      <c r="D19" s="2274"/>
      <c r="E19" s="2273"/>
      <c r="F19" s="2273"/>
      <c r="G19" s="2273"/>
      <c r="H19" s="2273"/>
      <c r="I19" s="2273"/>
      <c r="J19" s="2273"/>
      <c r="K19" s="167"/>
      <c r="L19" s="167"/>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3" t="s">
        <v>2020</v>
      </c>
      <c r="B20" s="112">
        <v>2</v>
      </c>
      <c r="C20" s="2273" t="s">
        <v>2021</v>
      </c>
      <c r="D20" s="2274"/>
      <c r="E20" s="2273"/>
      <c r="F20" s="2273"/>
      <c r="G20" s="2273"/>
      <c r="H20" s="2273"/>
      <c r="I20" s="2273"/>
      <c r="J20" s="2273"/>
      <c r="K20" s="167"/>
      <c r="L20" s="167"/>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4" t="s">
        <v>2022</v>
      </c>
      <c r="B21" s="112">
        <v>0.5</v>
      </c>
      <c r="C21" s="2273"/>
      <c r="D21" s="2274"/>
      <c r="E21" s="2273"/>
      <c r="F21" s="2273"/>
      <c r="G21" s="2273"/>
      <c r="H21" s="2273"/>
      <c r="I21" s="2273"/>
      <c r="J21" s="2273"/>
      <c r="K21" s="167"/>
      <c r="L21" s="167"/>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3" t="s">
        <v>2023</v>
      </c>
      <c r="B22" s="113">
        <f>B19+B20</f>
        <v>2</v>
      </c>
      <c r="C22" s="2273"/>
      <c r="D22" s="2274"/>
      <c r="E22" s="2273"/>
      <c r="F22" s="2273"/>
      <c r="G22" s="2273"/>
      <c r="H22" s="2273"/>
      <c r="I22" s="2273"/>
      <c r="J22" s="2273"/>
      <c r="K22" s="167"/>
      <c r="L22" s="167"/>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4" t="s">
        <v>2024</v>
      </c>
      <c r="B23" s="113">
        <f>B19+B21</f>
        <v>0.5</v>
      </c>
      <c r="C23" s="2273"/>
      <c r="D23" s="2274"/>
      <c r="E23" s="2273"/>
      <c r="F23" s="2273"/>
      <c r="G23" s="2273"/>
      <c r="H23" s="2273"/>
      <c r="I23" s="2273"/>
      <c r="J23" s="2273"/>
      <c r="K23" s="167"/>
      <c r="L23" s="167"/>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5" t="s">
        <v>2025</v>
      </c>
      <c r="B24" s="114">
        <f>B20-B21</f>
        <v>1.5</v>
      </c>
      <c r="C24" s="2273"/>
      <c r="D24" s="2274"/>
      <c r="E24" s="2273"/>
      <c r="F24" s="2273"/>
      <c r="G24" s="2273"/>
      <c r="H24" s="2273"/>
      <c r="I24" s="2273"/>
      <c r="J24" s="2273"/>
      <c r="K24" s="167"/>
      <c r="L24" s="167"/>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76"/>
      <c r="C25" s="2273"/>
      <c r="D25" s="2274"/>
      <c r="E25" s="2273"/>
      <c r="F25" s="2273"/>
      <c r="G25" s="2273"/>
      <c r="H25" s="2273"/>
      <c r="I25" s="2273"/>
      <c r="J25" s="2273"/>
      <c r="K25" s="167"/>
      <c r="L25" s="167"/>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2" t="s">
        <v>2026</v>
      </c>
      <c r="B26" s="2316" t="s">
        <v>2027</v>
      </c>
      <c r="C26" s="2317" t="s">
        <v>2028</v>
      </c>
      <c r="D26" s="2274"/>
      <c r="E26" s="2273"/>
      <c r="F26" s="2273"/>
      <c r="G26" s="2273"/>
      <c r="H26" s="2273"/>
      <c r="I26" s="2273"/>
      <c r="J26" s="2273"/>
      <c r="K26" s="167"/>
      <c r="L26" s="167"/>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20" customFormat="1" ht="27.75">
      <c r="A27" s="2318" t="s">
        <v>2029</v>
      </c>
      <c r="B27" s="115">
        <v>0</v>
      </c>
      <c r="C27" s="1765" t="s">
        <v>2030</v>
      </c>
      <c r="D27" s="2319"/>
      <c r="E27" s="1427"/>
      <c r="F27" s="1427"/>
      <c r="G27" s="2273"/>
      <c r="H27" s="2273"/>
      <c r="I27" s="2273"/>
      <c r="J27" s="2273"/>
      <c r="K27" s="167"/>
      <c r="L27" s="167"/>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20" customFormat="1" ht="27.75">
      <c r="A28" s="2321" t="s">
        <v>2031</v>
      </c>
      <c r="B28" s="2941">
        <f ca="1">ROUND(B29*10000/假设开发法!D20,2)</f>
        <v>749.85</v>
      </c>
      <c r="C28" s="2322"/>
      <c r="D28" s="2319"/>
      <c r="E28" s="1427"/>
      <c r="F28" s="1427"/>
      <c r="G28" s="2273"/>
      <c r="H28" s="2273"/>
      <c r="I28" s="2273"/>
      <c r="J28" s="2273"/>
      <c r="K28" s="167"/>
      <c r="L28" s="167"/>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c r="AL28" s="1582"/>
      <c r="AM28" s="1582"/>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20" customFormat="1" ht="28.5" thickBot="1">
      <c r="A29" s="2323" t="s">
        <v>2032</v>
      </c>
      <c r="B29" s="2942">
        <v>5571</v>
      </c>
      <c r="C29" s="1765" t="s">
        <v>2033</v>
      </c>
      <c r="D29" s="2319"/>
      <c r="E29" s="1427"/>
      <c r="F29" s="1427"/>
      <c r="G29" s="2273"/>
      <c r="H29" s="2273"/>
      <c r="I29" s="2273"/>
      <c r="J29" s="2273"/>
      <c r="K29" s="167"/>
      <c r="L29" s="167"/>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20" customFormat="1" ht="27">
      <c r="A30" s="2324" t="s">
        <v>2034</v>
      </c>
      <c r="B30" s="723">
        <v>200</v>
      </c>
      <c r="C30" s="2322"/>
      <c r="D30" s="2319"/>
      <c r="E30" s="1427"/>
      <c r="F30" s="1427"/>
      <c r="G30" s="2273"/>
      <c r="H30" s="2273"/>
      <c r="I30" s="2273"/>
      <c r="J30" s="2273"/>
      <c r="K30" s="167"/>
      <c r="L30" s="167"/>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20" customFormat="1" ht="27">
      <c r="A31" s="2321" t="s">
        <v>2035</v>
      </c>
      <c r="B31" s="119">
        <f>B30-B32</f>
        <v>200</v>
      </c>
      <c r="C31" s="1765"/>
      <c r="D31" s="2319"/>
      <c r="E31" s="1427"/>
      <c r="F31" s="1427"/>
      <c r="G31" s="2273"/>
      <c r="H31" s="2273"/>
      <c r="I31" s="2273"/>
      <c r="J31" s="2273"/>
      <c r="K31" s="167"/>
      <c r="L31" s="167"/>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20" customFormat="1" ht="27.75" thickBot="1">
      <c r="A32" s="2325" t="s">
        <v>2036</v>
      </c>
      <c r="B32" s="724">
        <v>0</v>
      </c>
      <c r="C32" s="2322"/>
      <c r="D32" s="2274"/>
      <c r="E32" s="2273"/>
      <c r="F32" s="2273"/>
      <c r="G32" s="2273"/>
      <c r="H32" s="2273"/>
      <c r="I32" s="2273"/>
      <c r="J32" s="2273"/>
      <c r="K32" s="167"/>
      <c r="L32" s="167"/>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20" customFormat="1" ht="14.25">
      <c r="A33" s="2318" t="s">
        <v>2037</v>
      </c>
      <c r="B33" s="725">
        <v>0.05</v>
      </c>
      <c r="C33" s="1764" t="s">
        <v>2038</v>
      </c>
      <c r="D33" s="2274"/>
      <c r="E33" s="2273"/>
      <c r="F33" s="2273"/>
      <c r="G33" s="2273"/>
      <c r="H33" s="2273"/>
      <c r="I33" s="2273"/>
      <c r="J33" s="2273"/>
      <c r="K33" s="167"/>
      <c r="L33" s="167"/>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20" customFormat="1" ht="14.25">
      <c r="A34" s="2321" t="s">
        <v>2039</v>
      </c>
      <c r="B34" s="120">
        <v>0.05</v>
      </c>
      <c r="C34" s="1764" t="s">
        <v>2040</v>
      </c>
      <c r="D34" s="2274" t="s">
        <v>2041</v>
      </c>
      <c r="E34" s="731"/>
      <c r="F34" s="2273"/>
      <c r="G34" s="2273"/>
      <c r="H34" s="2273"/>
      <c r="I34" s="2273"/>
      <c r="J34" s="2273"/>
      <c r="K34" s="167"/>
      <c r="L34" s="167"/>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20" customFormat="1" ht="14.25">
      <c r="A35" s="2321" t="s">
        <v>2042</v>
      </c>
      <c r="B35" s="118">
        <v>200</v>
      </c>
      <c r="C35" s="1764" t="s">
        <v>2043</v>
      </c>
      <c r="D35" s="2319"/>
      <c r="E35" s="1427"/>
      <c r="F35" s="1427"/>
      <c r="G35" s="2273"/>
      <c r="H35" s="2273"/>
      <c r="I35" s="2273"/>
      <c r="J35" s="2273"/>
      <c r="K35" s="167"/>
      <c r="L35" s="167"/>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3" t="s">
        <v>2044</v>
      </c>
      <c r="B36" s="121">
        <v>1.4999999999999999E-2</v>
      </c>
      <c r="C36" s="1764" t="s">
        <v>2045</v>
      </c>
      <c r="D36" s="2274"/>
      <c r="E36" s="2273"/>
      <c r="F36" s="2273"/>
      <c r="G36" s="2273"/>
      <c r="H36" s="2273"/>
      <c r="I36" s="2273"/>
      <c r="J36" s="2273"/>
      <c r="K36" s="167"/>
      <c r="L36" s="167"/>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4" t="s">
        <v>2046</v>
      </c>
      <c r="B37" s="122">
        <v>0.02</v>
      </c>
      <c r="C37" s="1764" t="s">
        <v>2047</v>
      </c>
      <c r="D37" s="2274"/>
      <c r="E37" s="2273"/>
      <c r="F37" s="2273"/>
      <c r="G37" s="2273"/>
      <c r="H37" s="2273"/>
      <c r="I37" s="2273"/>
      <c r="J37" s="2273"/>
      <c r="K37" s="167"/>
      <c r="L37" s="167"/>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1" t="s">
        <v>2048</v>
      </c>
      <c r="B38" s="120">
        <v>0.03</v>
      </c>
      <c r="C38" s="1764" t="s">
        <v>2047</v>
      </c>
      <c r="D38" s="2274"/>
      <c r="E38" s="2273"/>
      <c r="F38" s="2273"/>
      <c r="G38" s="2273"/>
      <c r="H38" s="2273"/>
      <c r="I38" s="2273"/>
      <c r="J38" s="2273"/>
      <c r="K38" s="167"/>
      <c r="L38" s="167"/>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5" t="s">
        <v>2049</v>
      </c>
      <c r="B39" s="361">
        <f ca="1">存贷款利率!I1</f>
        <v>1.4999999999999999E-2</v>
      </c>
      <c r="C39" s="1764"/>
      <c r="D39" s="2274"/>
      <c r="E39" s="2273"/>
      <c r="F39" s="2273"/>
      <c r="G39" s="2273"/>
      <c r="H39" s="2273"/>
      <c r="I39" s="2273"/>
      <c r="J39" s="2273"/>
      <c r="K39" s="167"/>
      <c r="L39" s="167"/>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5" t="s">
        <v>2050</v>
      </c>
      <c r="B40" s="1300">
        <f ca="1">存贷款利率!G1</f>
        <v>4.7500000000000001E-2</v>
      </c>
      <c r="C40" s="1764" t="s">
        <v>2051</v>
      </c>
      <c r="D40" s="1582"/>
      <c r="E40" s="2274"/>
      <c r="F40" s="2273"/>
      <c r="G40" s="2273"/>
      <c r="H40" s="2273"/>
      <c r="I40" s="2273"/>
      <c r="J40" s="2273"/>
      <c r="K40" s="167"/>
      <c r="L40" s="167"/>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18" t="s">
        <v>2052</v>
      </c>
      <c r="B41" s="123">
        <f>B42+B43</f>
        <v>6.2719999999999998E-2</v>
      </c>
      <c r="C41" s="1765"/>
      <c r="D41" s="1582"/>
      <c r="E41" s="2274"/>
      <c r="F41" s="2273"/>
      <c r="G41" s="2273"/>
      <c r="H41" s="2273"/>
      <c r="I41" s="2273"/>
      <c r="J41" s="2273"/>
      <c r="K41" s="167"/>
      <c r="L41" s="167"/>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26" t="s">
        <v>2053</v>
      </c>
      <c r="B42" s="124">
        <v>5.6000000000000001E-2</v>
      </c>
      <c r="C42" s="2327">
        <f>IF(B2&lt;DATE(2016,5,1),0,B42)</f>
        <v>5.6000000000000001E-2</v>
      </c>
      <c r="D42" s="2274"/>
      <c r="E42" s="2273"/>
      <c r="F42" s="2273"/>
      <c r="G42" s="2273"/>
      <c r="H42" s="2273"/>
      <c r="I42" s="2273"/>
      <c r="J42" s="2273"/>
      <c r="K42" s="167"/>
      <c r="L42" s="167"/>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26" t="s">
        <v>2054</v>
      </c>
      <c r="B43" s="125">
        <f>B42*(B44+B45+B46)+B47</f>
        <v>6.7200000000000003E-3</v>
      </c>
      <c r="C43" s="1765"/>
      <c r="D43" s="2274"/>
      <c r="E43" s="2273"/>
      <c r="F43" s="2273"/>
      <c r="G43" s="2273"/>
      <c r="H43" s="2273"/>
      <c r="I43" s="2273"/>
      <c r="J43" s="2273"/>
      <c r="K43" s="167"/>
      <c r="L43" s="167"/>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28" t="s">
        <v>2055</v>
      </c>
      <c r="B44" s="126">
        <v>7.0000000000000007E-2</v>
      </c>
      <c r="C44" s="1764" t="s">
        <v>2056</v>
      </c>
      <c r="D44" s="2274"/>
      <c r="E44" s="2273"/>
      <c r="F44" s="2273"/>
      <c r="G44" s="2273"/>
      <c r="H44" s="2273"/>
      <c r="I44" s="2273"/>
      <c r="J44" s="2273"/>
      <c r="K44" s="167"/>
      <c r="L44" s="167"/>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28" t="s">
        <v>2057</v>
      </c>
      <c r="B45" s="124">
        <v>0.03</v>
      </c>
      <c r="C45" s="1765" t="s">
        <v>2058</v>
      </c>
      <c r="D45" s="2274"/>
      <c r="E45" s="2273"/>
      <c r="F45" s="2273"/>
      <c r="G45" s="2273"/>
      <c r="H45" s="2273"/>
      <c r="I45" s="2273"/>
      <c r="J45" s="2273"/>
      <c r="K45" s="167"/>
      <c r="L45" s="167"/>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28" t="s">
        <v>2059</v>
      </c>
      <c r="B46" s="124">
        <v>0.02</v>
      </c>
      <c r="C46" s="1765" t="s">
        <v>2060</v>
      </c>
      <c r="D46" s="2274"/>
      <c r="E46" s="2273"/>
      <c r="F46" s="2273"/>
      <c r="G46" s="2273"/>
      <c r="H46" s="2273"/>
      <c r="I46" s="2273"/>
      <c r="J46" s="2273"/>
      <c r="K46" s="167"/>
      <c r="L46" s="167"/>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29" t="s">
        <v>2061</v>
      </c>
      <c r="B47" s="127"/>
      <c r="C47" s="1765" t="s">
        <v>2062</v>
      </c>
      <c r="D47" s="2274"/>
      <c r="E47" s="2273"/>
      <c r="F47" s="2273"/>
      <c r="G47" s="2273"/>
      <c r="H47" s="2273"/>
      <c r="I47" s="2273"/>
      <c r="J47" s="2273"/>
      <c r="K47" s="167"/>
      <c r="L47" s="167"/>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30" t="s">
        <v>2063</v>
      </c>
      <c r="B48" s="128">
        <v>0.03</v>
      </c>
      <c r="C48" s="1772" t="s">
        <v>2064</v>
      </c>
      <c r="D48" s="2274"/>
      <c r="E48" s="2273"/>
      <c r="F48" s="2273"/>
      <c r="G48" s="2273"/>
      <c r="H48" s="2273"/>
      <c r="I48" s="2273"/>
      <c r="J48" s="2273"/>
      <c r="K48" s="167"/>
      <c r="L48" s="167"/>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5" t="s">
        <v>2065</v>
      </c>
      <c r="B49" s="124">
        <v>5.0000000000000001E-4</v>
      </c>
      <c r="C49" s="1772" t="s">
        <v>2066</v>
      </c>
      <c r="D49" s="2274"/>
      <c r="E49" s="2273"/>
      <c r="F49" s="2273"/>
      <c r="G49" s="2273"/>
      <c r="H49" s="2273"/>
      <c r="I49" s="2273"/>
      <c r="J49" s="2273"/>
      <c r="K49" s="167"/>
      <c r="L49" s="167"/>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1" t="s">
        <v>2067</v>
      </c>
      <c r="B50" s="129">
        <v>1.2E-2</v>
      </c>
      <c r="C50" s="1427"/>
      <c r="D50" s="2274"/>
      <c r="E50" s="2273"/>
      <c r="F50" s="2273"/>
      <c r="G50" s="2273"/>
      <c r="H50" s="2273"/>
      <c r="I50" s="2273"/>
      <c r="J50" s="2273"/>
      <c r="K50" s="167"/>
      <c r="L50" s="167"/>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3" t="s">
        <v>2068</v>
      </c>
      <c r="B51" s="130">
        <v>0.12</v>
      </c>
      <c r="C51" s="1427"/>
      <c r="D51" s="2274"/>
      <c r="E51" s="2273"/>
      <c r="F51" s="2273"/>
      <c r="G51" s="2273"/>
      <c r="H51" s="2273"/>
      <c r="I51" s="2273"/>
      <c r="J51" s="2273"/>
      <c r="K51" s="167"/>
      <c r="L51" s="167"/>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1" t="s">
        <v>2069</v>
      </c>
      <c r="B52" s="131">
        <f>SUMIF(A54:A63,B53,B54:B63)</f>
        <v>20</v>
      </c>
      <c r="C52" s="1427"/>
      <c r="D52" s="2274"/>
      <c r="E52" s="2273"/>
      <c r="F52" s="2273"/>
      <c r="G52" s="2273"/>
      <c r="H52" s="2273"/>
      <c r="I52" s="2273"/>
      <c r="J52" s="2273"/>
      <c r="K52" s="167"/>
      <c r="L52" s="167"/>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1" t="s">
        <v>2070</v>
      </c>
      <c r="B53" s="2332" t="s">
        <v>442</v>
      </c>
      <c r="C53" s="1427" t="s">
        <v>2071</v>
      </c>
      <c r="D53" s="2333" t="s">
        <v>2072</v>
      </c>
      <c r="E53" s="2273"/>
      <c r="F53" s="2273"/>
      <c r="G53" s="2273"/>
      <c r="H53" s="2273"/>
      <c r="I53" s="2273"/>
      <c r="J53" s="2273"/>
      <c r="K53" s="167"/>
      <c r="L53" s="167"/>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4" t="s">
        <v>2073</v>
      </c>
      <c r="B54" s="83"/>
      <c r="C54" s="1427">
        <v>30</v>
      </c>
      <c r="D54" s="2274"/>
      <c r="E54" s="2273"/>
      <c r="F54" s="2273"/>
      <c r="G54" s="2273"/>
      <c r="H54" s="2273"/>
      <c r="I54" s="2273"/>
      <c r="J54" s="2273"/>
      <c r="K54" s="167"/>
      <c r="L54" s="167"/>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4" t="s">
        <v>2074</v>
      </c>
      <c r="B55" s="83"/>
      <c r="C55" s="1427">
        <v>24</v>
      </c>
      <c r="D55" s="2274"/>
      <c r="E55" s="2273"/>
      <c r="F55" s="2273"/>
      <c r="G55" s="2273"/>
      <c r="H55" s="2273"/>
      <c r="I55" s="2335"/>
      <c r="J55" s="2273"/>
      <c r="K55" s="167"/>
      <c r="L55" s="167"/>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4" t="s">
        <v>2075</v>
      </c>
      <c r="B56" s="83">
        <v>20</v>
      </c>
      <c r="C56" s="1427">
        <v>18</v>
      </c>
      <c r="D56" s="2274"/>
      <c r="E56" s="2273"/>
      <c r="F56" s="2273"/>
      <c r="G56" s="2273"/>
      <c r="H56" s="2273"/>
      <c r="I56" s="2273"/>
      <c r="J56" s="2273"/>
      <c r="K56" s="167"/>
      <c r="L56" s="167"/>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4" t="s">
        <v>2076</v>
      </c>
      <c r="B57" s="83"/>
      <c r="C57" s="1427">
        <v>12</v>
      </c>
      <c r="D57" s="2274"/>
      <c r="E57" s="2273"/>
      <c r="F57" s="2273"/>
      <c r="G57" s="2273"/>
      <c r="H57" s="2273"/>
      <c r="I57" s="2273"/>
      <c r="J57" s="2273"/>
      <c r="K57" s="167"/>
      <c r="L57" s="167"/>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4" t="s">
        <v>2077</v>
      </c>
      <c r="B58" s="83"/>
      <c r="C58" s="1427">
        <v>3</v>
      </c>
      <c r="D58" s="2274"/>
      <c r="E58" s="2273"/>
      <c r="F58" s="2273"/>
      <c r="G58" s="2273"/>
      <c r="H58" s="2273"/>
      <c r="I58" s="2273"/>
      <c r="J58" s="2273"/>
      <c r="K58" s="167"/>
      <c r="L58" s="167"/>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4" t="s">
        <v>2078</v>
      </c>
      <c r="B59" s="83"/>
      <c r="C59" s="1427">
        <v>1.5</v>
      </c>
      <c r="D59" s="2274"/>
      <c r="E59" s="2273"/>
      <c r="F59" s="2273"/>
      <c r="G59" s="2273"/>
      <c r="H59" s="2273"/>
      <c r="I59" s="2273"/>
      <c r="J59" s="2273"/>
      <c r="K59" s="167"/>
      <c r="L59" s="167"/>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4" t="s">
        <v>2079</v>
      </c>
      <c r="B60" s="83"/>
      <c r="C60" s="2273"/>
      <c r="D60" s="2274"/>
      <c r="E60" s="2273"/>
      <c r="F60" s="2273"/>
      <c r="G60" s="2273"/>
      <c r="H60" s="2273"/>
      <c r="I60" s="2273"/>
      <c r="J60" s="2273"/>
      <c r="K60" s="167"/>
      <c r="L60" s="167"/>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4" t="s">
        <v>2080</v>
      </c>
      <c r="B61" s="83"/>
      <c r="C61" s="2273"/>
      <c r="D61" s="2274"/>
      <c r="E61" s="2273"/>
      <c r="F61" s="2273"/>
      <c r="G61" s="2273"/>
      <c r="H61" s="2273"/>
      <c r="I61" s="2273"/>
      <c r="J61" s="2273"/>
      <c r="K61" s="167"/>
      <c r="L61" s="167"/>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4" t="s">
        <v>2081</v>
      </c>
      <c r="B62" s="83"/>
      <c r="C62" s="2273"/>
      <c r="D62" s="2274"/>
      <c r="E62" s="2273"/>
      <c r="F62" s="2273"/>
      <c r="G62" s="2273"/>
      <c r="H62" s="2273"/>
      <c r="I62" s="2273"/>
      <c r="J62" s="2273"/>
      <c r="K62" s="167"/>
      <c r="L62" s="167"/>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36" t="s">
        <v>2082</v>
      </c>
      <c r="B63" s="132"/>
      <c r="C63" s="2273"/>
      <c r="D63" s="2274"/>
      <c r="E63" s="2273"/>
      <c r="F63" s="2273"/>
      <c r="G63" s="2273"/>
      <c r="H63" s="2273"/>
      <c r="I63" s="2273"/>
      <c r="J63" s="2273"/>
      <c r="K63" s="167"/>
      <c r="L63" s="167"/>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6" customFormat="1">
      <c r="A64" s="2337"/>
      <c r="D64" s="2338"/>
      <c r="K64" s="797"/>
      <c r="L64" s="797"/>
    </row>
    <row r="65" spans="1:12" s="966" customFormat="1">
      <c r="A65" s="2337"/>
      <c r="D65" s="2338"/>
      <c r="K65" s="797"/>
      <c r="L65" s="797"/>
    </row>
    <row r="66" spans="1:12" s="966" customFormat="1">
      <c r="A66" s="2337"/>
      <c r="D66" s="2338"/>
      <c r="K66" s="797"/>
      <c r="L66" s="797"/>
    </row>
    <row r="67" spans="1:12" s="966" customFormat="1">
      <c r="A67" s="2337"/>
      <c r="D67" s="2338"/>
      <c r="K67" s="797"/>
      <c r="L67" s="797"/>
    </row>
    <row r="68" spans="1:12" s="966" customFormat="1">
      <c r="A68" s="2337"/>
      <c r="D68" s="2338"/>
      <c r="K68" s="797"/>
      <c r="L68" s="797"/>
    </row>
    <row r="69" spans="1:12" s="966" customFormat="1">
      <c r="A69" s="2337"/>
      <c r="D69" s="2338"/>
      <c r="K69" s="797"/>
      <c r="L69" s="797"/>
    </row>
    <row r="70" spans="1:12" s="966" customFormat="1">
      <c r="A70" s="2337"/>
      <c r="D70" s="2338"/>
      <c r="K70" s="797"/>
      <c r="L70" s="797"/>
    </row>
    <row r="71" spans="1:12" s="966" customFormat="1">
      <c r="A71" s="2337"/>
      <c r="D71" s="2338"/>
      <c r="K71" s="797"/>
      <c r="L71" s="797"/>
    </row>
    <row r="72" spans="1:12" s="966" customFormat="1">
      <c r="A72" s="2337"/>
      <c r="D72" s="2338"/>
      <c r="K72" s="797"/>
      <c r="L72" s="797"/>
    </row>
    <row r="73" spans="1:12" s="966" customFormat="1">
      <c r="A73" s="2337"/>
      <c r="D73" s="2338"/>
      <c r="K73" s="797"/>
      <c r="L73" s="797"/>
    </row>
    <row r="74" spans="1:12" s="966" customFormat="1">
      <c r="A74" s="2337"/>
      <c r="D74" s="2338"/>
      <c r="K74" s="797"/>
      <c r="L74" s="797"/>
    </row>
    <row r="75" spans="1:12" s="966" customFormat="1">
      <c r="A75" s="2337"/>
      <c r="D75" s="2338"/>
      <c r="K75" s="797"/>
      <c r="L75" s="797"/>
    </row>
    <row r="76" spans="1:12" s="966" customFormat="1">
      <c r="A76" s="2337"/>
      <c r="D76" s="2338"/>
      <c r="K76" s="797"/>
      <c r="L76" s="797"/>
    </row>
    <row r="77" spans="1:12" s="966" customFormat="1">
      <c r="A77" s="2337"/>
      <c r="D77" s="2338"/>
      <c r="K77" s="797"/>
      <c r="L77" s="797"/>
    </row>
    <row r="78" spans="1:12" s="966" customFormat="1">
      <c r="A78" s="2337"/>
      <c r="D78" s="2338"/>
      <c r="K78" s="797"/>
      <c r="L78" s="797"/>
    </row>
    <row r="79" spans="1:12" s="966" customFormat="1">
      <c r="A79" s="2337"/>
      <c r="D79" s="2338"/>
      <c r="K79" s="797"/>
      <c r="L79" s="797"/>
    </row>
    <row r="80" spans="1:12" s="966" customFormat="1">
      <c r="A80" s="2337"/>
      <c r="D80" s="2338"/>
      <c r="K80" s="797"/>
      <c r="L80" s="797"/>
    </row>
    <row r="81" spans="1:12" s="966" customFormat="1">
      <c r="A81" s="2337"/>
      <c r="D81" s="2338"/>
      <c r="K81" s="797"/>
      <c r="L81" s="797"/>
    </row>
    <row r="82" spans="1:12" s="966" customFormat="1">
      <c r="A82" s="2337"/>
      <c r="D82" s="2338"/>
      <c r="K82" s="797"/>
      <c r="L82" s="797"/>
    </row>
    <row r="83" spans="1:12" s="966" customFormat="1">
      <c r="A83" s="2337"/>
      <c r="D83" s="2338"/>
      <c r="K83" s="797"/>
      <c r="L83" s="797"/>
    </row>
    <row r="84" spans="1:12" s="966" customFormat="1">
      <c r="A84" s="2337"/>
      <c r="D84" s="2338"/>
      <c r="K84" s="797"/>
      <c r="L84" s="797"/>
    </row>
    <row r="85" spans="1:12" s="966" customFormat="1">
      <c r="A85" s="2337"/>
      <c r="D85" s="2338"/>
      <c r="K85" s="797"/>
      <c r="L85" s="797"/>
    </row>
    <row r="86" spans="1:12" s="966" customFormat="1">
      <c r="A86" s="2337"/>
      <c r="D86" s="2338"/>
      <c r="K86" s="797"/>
      <c r="L86" s="797"/>
    </row>
    <row r="87" spans="1:12" s="966" customFormat="1">
      <c r="A87" s="2337"/>
      <c r="D87" s="2338"/>
      <c r="K87" s="797"/>
      <c r="L87" s="797"/>
    </row>
    <row r="88" spans="1:12" s="966" customFormat="1">
      <c r="A88" s="2337"/>
      <c r="D88" s="2338"/>
      <c r="K88" s="797"/>
      <c r="L88" s="797"/>
    </row>
    <row r="89" spans="1:12" s="966" customFormat="1">
      <c r="A89" s="2337"/>
      <c r="D89" s="2338"/>
      <c r="K89" s="797"/>
      <c r="L89" s="797"/>
    </row>
    <row r="90" spans="1:12" s="966" customFormat="1">
      <c r="A90" s="2337"/>
      <c r="D90" s="2338"/>
      <c r="K90" s="797"/>
      <c r="L90" s="797"/>
    </row>
    <row r="91" spans="1:12" s="966" customFormat="1">
      <c r="A91" s="2337"/>
      <c r="D91" s="2338"/>
      <c r="K91" s="797"/>
      <c r="L91" s="797"/>
    </row>
    <row r="92" spans="1:12" s="966" customFormat="1">
      <c r="A92" s="2337"/>
      <c r="D92" s="2338"/>
      <c r="K92" s="797"/>
      <c r="L92" s="797"/>
    </row>
    <row r="93" spans="1:12" s="966" customFormat="1">
      <c r="A93" s="2337"/>
      <c r="D93" s="2338"/>
      <c r="K93" s="797"/>
      <c r="L93" s="797"/>
    </row>
    <row r="94" spans="1:12" s="966" customFormat="1">
      <c r="A94" s="2337"/>
      <c r="D94" s="2338"/>
      <c r="K94" s="797"/>
      <c r="L94" s="797"/>
    </row>
    <row r="95" spans="1:12" s="966" customFormat="1">
      <c r="A95" s="2337"/>
      <c r="D95" s="2338"/>
      <c r="K95" s="797"/>
      <c r="L95" s="797"/>
    </row>
    <row r="96" spans="1:12" s="966" customFormat="1">
      <c r="A96" s="2337"/>
      <c r="D96" s="2338"/>
      <c r="K96" s="797"/>
      <c r="L96" s="797"/>
    </row>
    <row r="97" spans="1:12" s="966" customFormat="1">
      <c r="A97" s="2337"/>
      <c r="D97" s="2338"/>
      <c r="K97" s="797"/>
      <c r="L97" s="797"/>
    </row>
    <row r="98" spans="1:12" s="966" customFormat="1">
      <c r="A98" s="2337"/>
      <c r="D98" s="2338"/>
      <c r="K98" s="797"/>
      <c r="L98" s="797"/>
    </row>
    <row r="99" spans="1:12" s="966" customFormat="1">
      <c r="A99" s="2337"/>
      <c r="D99" s="2338"/>
      <c r="K99" s="797"/>
      <c r="L99" s="797"/>
    </row>
    <row r="100" spans="1:12" s="966" customFormat="1">
      <c r="A100" s="2337"/>
      <c r="D100" s="2338"/>
      <c r="K100" s="797"/>
      <c r="L100" s="797"/>
    </row>
    <row r="101" spans="1:12" s="966" customFormat="1">
      <c r="A101" s="2337"/>
      <c r="D101" s="2338"/>
      <c r="K101" s="797"/>
      <c r="L101" s="797"/>
    </row>
    <row r="102" spans="1:12" s="966" customFormat="1">
      <c r="A102" s="2337"/>
      <c r="D102" s="2338"/>
      <c r="K102" s="797"/>
      <c r="L102" s="797"/>
    </row>
    <row r="103" spans="1:12" s="966" customFormat="1">
      <c r="A103" s="2337"/>
      <c r="D103" s="2338"/>
      <c r="K103" s="797"/>
      <c r="L103" s="797"/>
    </row>
    <row r="104" spans="1:12" s="966" customFormat="1">
      <c r="A104" s="2337"/>
      <c r="D104" s="2338"/>
      <c r="K104" s="797"/>
      <c r="L104" s="797"/>
    </row>
    <row r="105" spans="1:12" s="966" customFormat="1">
      <c r="A105" s="2337"/>
      <c r="D105" s="2338"/>
      <c r="K105" s="797"/>
      <c r="L105" s="797"/>
    </row>
    <row r="106" spans="1:12" s="966" customFormat="1">
      <c r="A106" s="2337"/>
      <c r="D106" s="2338"/>
      <c r="K106" s="797"/>
      <c r="L106" s="797"/>
    </row>
    <row r="107" spans="1:12" s="966" customFormat="1">
      <c r="A107" s="2337"/>
      <c r="D107" s="2338"/>
      <c r="K107" s="797"/>
      <c r="L107" s="797"/>
    </row>
    <row r="108" spans="1:12" s="966" customFormat="1">
      <c r="A108" s="2337"/>
      <c r="D108" s="2338"/>
      <c r="K108" s="797"/>
      <c r="L108" s="797"/>
    </row>
    <row r="109" spans="1:12" s="966" customFormat="1">
      <c r="A109" s="2337"/>
      <c r="D109" s="2338"/>
      <c r="K109" s="797"/>
      <c r="L109" s="797"/>
    </row>
    <row r="110" spans="1:12" s="966" customFormat="1">
      <c r="A110" s="2337"/>
      <c r="D110" s="2338"/>
      <c r="K110" s="797"/>
      <c r="L110" s="797"/>
    </row>
    <row r="111" spans="1:12" s="966" customFormat="1">
      <c r="A111" s="2337"/>
      <c r="D111" s="2338"/>
      <c r="K111" s="797"/>
      <c r="L111" s="797"/>
    </row>
    <row r="112" spans="1:12" s="966" customFormat="1">
      <c r="A112" s="2337"/>
      <c r="D112" s="2338"/>
      <c r="K112" s="797"/>
      <c r="L112" s="797"/>
    </row>
    <row r="113" spans="1:12" s="966" customFormat="1">
      <c r="A113" s="2337"/>
      <c r="D113" s="2338"/>
      <c r="K113" s="797"/>
      <c r="L113" s="797"/>
    </row>
    <row r="114" spans="1:12" s="966" customFormat="1">
      <c r="A114" s="2337"/>
      <c r="D114" s="2338"/>
      <c r="K114" s="797"/>
      <c r="L114" s="797"/>
    </row>
    <row r="115" spans="1:12" s="966" customFormat="1">
      <c r="A115" s="2337"/>
      <c r="D115" s="2338"/>
      <c r="K115" s="797"/>
      <c r="L115" s="797"/>
    </row>
    <row r="116" spans="1:12" s="966" customFormat="1">
      <c r="A116" s="2337"/>
      <c r="D116" s="2338"/>
      <c r="K116" s="797"/>
      <c r="L116" s="797"/>
    </row>
    <row r="117" spans="1:12" s="966" customFormat="1">
      <c r="A117" s="2337"/>
      <c r="D117" s="2338"/>
      <c r="K117" s="797"/>
      <c r="L117" s="797"/>
    </row>
    <row r="118" spans="1:12" s="966" customFormat="1">
      <c r="A118" s="2337"/>
      <c r="D118" s="2338"/>
      <c r="K118" s="797"/>
      <c r="L118" s="797"/>
    </row>
    <row r="119" spans="1:12" s="966" customFormat="1">
      <c r="A119" s="2337"/>
      <c r="D119" s="2338"/>
      <c r="K119" s="797"/>
      <c r="L119" s="797"/>
    </row>
    <row r="120" spans="1:12" s="966" customFormat="1">
      <c r="A120" s="2337"/>
      <c r="D120" s="2338"/>
      <c r="K120" s="797"/>
      <c r="L120" s="797"/>
    </row>
    <row r="121" spans="1:12" s="966" customFormat="1">
      <c r="A121" s="2337"/>
      <c r="D121" s="2338"/>
      <c r="K121" s="797"/>
      <c r="L121" s="797"/>
    </row>
    <row r="122" spans="1:12" s="966" customFormat="1">
      <c r="A122" s="2337"/>
      <c r="D122" s="2338"/>
      <c r="K122" s="797"/>
      <c r="L122" s="797"/>
    </row>
    <row r="123" spans="1:12" s="966" customFormat="1">
      <c r="A123" s="2337"/>
      <c r="D123" s="2338"/>
      <c r="K123" s="797"/>
      <c r="L123" s="797"/>
    </row>
    <row r="124" spans="1:12" s="966" customFormat="1">
      <c r="A124" s="2337"/>
      <c r="D124" s="2338"/>
      <c r="K124" s="797"/>
      <c r="L124" s="797"/>
    </row>
    <row r="125" spans="1:12" s="966" customFormat="1">
      <c r="A125" s="2337"/>
      <c r="D125" s="2338"/>
      <c r="K125" s="797"/>
      <c r="L125" s="797"/>
    </row>
    <row r="126" spans="1:12" s="966" customFormat="1">
      <c r="A126" s="2337"/>
      <c r="D126" s="2338"/>
      <c r="K126" s="797"/>
      <c r="L126" s="797"/>
    </row>
    <row r="127" spans="1:12" s="966" customFormat="1">
      <c r="A127" s="2337"/>
      <c r="D127" s="2338"/>
      <c r="K127" s="797"/>
      <c r="L127" s="797"/>
    </row>
    <row r="128" spans="1:12" s="966" customFormat="1">
      <c r="A128" s="2337"/>
      <c r="D128" s="2338"/>
      <c r="K128" s="797"/>
      <c r="L128" s="797"/>
    </row>
    <row r="129" spans="1:12" s="966" customFormat="1">
      <c r="A129" s="2337"/>
      <c r="D129" s="2338"/>
      <c r="K129" s="797"/>
      <c r="L129" s="797"/>
    </row>
    <row r="130" spans="1:12" s="966" customFormat="1">
      <c r="A130" s="2337"/>
      <c r="D130" s="2338"/>
      <c r="K130" s="797"/>
      <c r="L130" s="797"/>
    </row>
    <row r="131" spans="1:12" s="966" customFormat="1">
      <c r="A131" s="2337"/>
      <c r="D131" s="2338"/>
      <c r="K131" s="797"/>
      <c r="L131" s="797"/>
    </row>
    <row r="132" spans="1:12" s="966" customFormat="1">
      <c r="A132" s="2337"/>
      <c r="D132" s="2338"/>
      <c r="K132" s="797"/>
      <c r="L132" s="797"/>
    </row>
    <row r="133" spans="1:12" s="966" customFormat="1">
      <c r="A133" s="2337"/>
      <c r="D133" s="2338"/>
      <c r="K133" s="797"/>
      <c r="L133" s="797"/>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37" t="s">
        <v>2083</v>
      </c>
      <c r="B1" s="3038"/>
      <c r="C1" s="3038"/>
      <c r="D1" s="3038"/>
      <c r="E1" s="3038"/>
      <c r="F1" s="3038"/>
      <c r="G1" s="3038"/>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2084</v>
      </c>
      <c r="D2" s="2362"/>
      <c r="E2" s="2363"/>
      <c r="F2" s="2282"/>
      <c r="G2" s="2361" t="s">
        <v>2085</v>
      </c>
      <c r="H2" s="2364"/>
      <c r="I2" s="2364"/>
      <c r="J2" s="2364"/>
      <c r="K2" s="2364"/>
      <c r="L2" s="2364"/>
      <c r="M2" s="2364"/>
      <c r="N2" s="2364"/>
      <c r="O2" s="2364"/>
      <c r="P2" s="2364"/>
      <c r="Q2" s="2364"/>
      <c r="R2" s="2364"/>
    </row>
    <row r="3" spans="1:29" ht="54">
      <c r="A3" s="414" t="s">
        <v>2086</v>
      </c>
      <c r="B3" s="1268" t="s">
        <v>2087</v>
      </c>
      <c r="C3" s="2366" t="s">
        <v>2088</v>
      </c>
      <c r="D3" s="2367"/>
      <c r="E3" s="430" t="s">
        <v>2086</v>
      </c>
      <c r="F3" s="2368" t="s">
        <v>2089</v>
      </c>
      <c r="G3" s="2369" t="s">
        <v>2090</v>
      </c>
      <c r="H3" s="2364"/>
      <c r="I3" s="2364"/>
      <c r="J3" s="2364"/>
      <c r="K3" s="2364"/>
      <c r="L3" s="2364"/>
      <c r="M3" s="2364"/>
      <c r="N3" s="2364"/>
      <c r="O3" s="2364"/>
      <c r="P3" s="2364"/>
      <c r="Q3" s="2364"/>
      <c r="R3" s="2364"/>
    </row>
    <row r="4" spans="1:29" ht="41.25">
      <c r="A4" s="430"/>
      <c r="B4" s="1796" t="s">
        <v>2091</v>
      </c>
      <c r="C4" s="2370" t="s">
        <v>2092</v>
      </c>
      <c r="D4" s="2367"/>
      <c r="E4" s="2371"/>
      <c r="F4" s="42" t="s">
        <v>2093</v>
      </c>
      <c r="G4" s="2372" t="s">
        <v>2094</v>
      </c>
      <c r="H4" s="2364"/>
      <c r="I4" s="2364"/>
      <c r="J4" s="2364"/>
      <c r="K4" s="2364"/>
      <c r="L4" s="2364"/>
      <c r="M4" s="2364"/>
      <c r="N4" s="2364"/>
      <c r="O4" s="2364"/>
      <c r="P4" s="2364"/>
      <c r="Q4" s="2364"/>
      <c r="R4" s="2364"/>
    </row>
    <row r="5" spans="1:29" ht="41.25">
      <c r="A5" s="430"/>
      <c r="B5" s="1796" t="s">
        <v>2095</v>
      </c>
      <c r="C5" s="2370" t="s">
        <v>2096</v>
      </c>
      <c r="D5" s="2367"/>
      <c r="E5" s="2371"/>
      <c r="F5" s="1796" t="s">
        <v>2097</v>
      </c>
      <c r="G5" s="2372" t="s">
        <v>2098</v>
      </c>
      <c r="H5" s="2364"/>
      <c r="I5" s="2364"/>
      <c r="J5" s="2364"/>
      <c r="K5" s="2364"/>
      <c r="L5" s="2364"/>
      <c r="M5" s="2364"/>
      <c r="N5" s="2364"/>
      <c r="O5" s="2364"/>
      <c r="P5" s="2364"/>
      <c r="Q5" s="2364"/>
      <c r="R5" s="2364"/>
    </row>
    <row r="6" spans="1:29" ht="54">
      <c r="A6" s="430"/>
      <c r="B6" s="1796" t="s">
        <v>2099</v>
      </c>
      <c r="C6" s="2372" t="s">
        <v>2094</v>
      </c>
      <c r="D6" s="2367"/>
      <c r="E6" s="2371"/>
      <c r="F6" s="1796" t="s">
        <v>2100</v>
      </c>
      <c r="G6" s="2372" t="s">
        <v>2101</v>
      </c>
      <c r="H6" s="2364"/>
      <c r="I6" s="2364"/>
      <c r="J6" s="2364"/>
      <c r="K6" s="2364"/>
      <c r="L6" s="2364"/>
      <c r="M6" s="2364"/>
      <c r="N6" s="2364"/>
      <c r="O6" s="2364"/>
      <c r="P6" s="2364"/>
      <c r="Q6" s="2364"/>
      <c r="R6" s="2364"/>
    </row>
    <row r="7" spans="1:29" ht="41.25" thickBot="1">
      <c r="A7" s="430"/>
      <c r="B7" s="1796" t="s">
        <v>2097</v>
      </c>
      <c r="C7" s="2372" t="s">
        <v>2098</v>
      </c>
      <c r="D7" s="2373"/>
      <c r="E7" s="2374"/>
      <c r="F7" s="2375" t="s">
        <v>2102</v>
      </c>
      <c r="G7" s="2376" t="s">
        <v>2103</v>
      </c>
      <c r="H7" s="2364"/>
      <c r="I7" s="2364"/>
      <c r="J7" s="2364"/>
      <c r="K7" s="2364"/>
      <c r="L7" s="2364"/>
      <c r="M7" s="2364"/>
      <c r="N7" s="2364"/>
      <c r="O7" s="2364"/>
      <c r="P7" s="2364"/>
      <c r="Q7" s="2364"/>
      <c r="R7" s="2364"/>
    </row>
    <row r="8" spans="1:29" ht="27">
      <c r="A8" s="430"/>
      <c r="B8" s="1796" t="s">
        <v>2100</v>
      </c>
      <c r="C8" s="2372" t="s">
        <v>2101</v>
      </c>
      <c r="D8" s="2373"/>
      <c r="E8" s="2373"/>
      <c r="F8" s="1133"/>
      <c r="G8" s="1133"/>
      <c r="H8" s="2364"/>
      <c r="I8" s="2364"/>
      <c r="J8" s="2364"/>
      <c r="K8" s="2364"/>
      <c r="L8" s="2364"/>
      <c r="M8" s="2364"/>
      <c r="N8" s="2364"/>
      <c r="O8" s="2364"/>
      <c r="P8" s="2364"/>
      <c r="Q8" s="2364"/>
      <c r="R8" s="2364"/>
    </row>
    <row r="9" spans="1:29" ht="27">
      <c r="A9" s="430"/>
      <c r="B9" s="1796" t="s">
        <v>2104</v>
      </c>
      <c r="C9" s="2370" t="s">
        <v>2105</v>
      </c>
      <c r="D9" s="2367"/>
      <c r="E9" s="2373"/>
      <c r="F9" s="1133"/>
      <c r="G9" s="1133"/>
      <c r="H9" s="2364"/>
      <c r="I9" s="2364"/>
      <c r="J9" s="2364"/>
      <c r="K9" s="2364"/>
      <c r="L9" s="2364"/>
      <c r="M9" s="2364"/>
      <c r="N9" s="2364"/>
      <c r="O9" s="2364"/>
      <c r="P9" s="2364"/>
      <c r="Q9" s="2364"/>
      <c r="R9" s="2364"/>
    </row>
    <row r="10" spans="1:29" s="116" customFormat="1" ht="15.75" thickBot="1">
      <c r="A10" s="2377"/>
      <c r="B10" s="2378" t="s">
        <v>2106</v>
      </c>
      <c r="C10" s="2379"/>
      <c r="D10" s="2367"/>
      <c r="E10" s="2367"/>
      <c r="F10" s="1133"/>
      <c r="G10" s="1133"/>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6" customFormat="1" ht="15">
      <c r="A11" s="2383"/>
      <c r="B11" s="2373"/>
      <c r="C11" s="2367"/>
      <c r="D11" s="2367"/>
      <c r="E11" s="2367"/>
      <c r="F11" s="2373"/>
      <c r="G11" s="1151"/>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1"/>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2107</v>
      </c>
      <c r="B13" s="2384"/>
      <c r="C13" s="2384"/>
      <c r="D13" s="2391"/>
      <c r="E13" s="2384"/>
      <c r="F13" s="2384"/>
      <c r="G13" s="2384"/>
    </row>
    <row r="14" spans="1:29" ht="15.75" thickBot="1">
      <c r="A14" s="2395"/>
      <c r="B14" s="2396"/>
      <c r="C14" s="2397" t="s">
        <v>2108</v>
      </c>
      <c r="D14" s="2367"/>
      <c r="E14" s="2398"/>
      <c r="F14" s="2398"/>
      <c r="G14" s="2361" t="s">
        <v>2109</v>
      </c>
    </row>
    <row r="15" spans="1:29" ht="57">
      <c r="A15" s="67" t="s">
        <v>2110</v>
      </c>
      <c r="B15" s="1267" t="s">
        <v>2087</v>
      </c>
      <c r="C15" s="2399" t="str">
        <f>C3</f>
        <v>估价对象周边居住用地比例、居住小区规模和社区发展完善程度，综合评价居住社区成熟度一般</v>
      </c>
      <c r="D15" s="2367"/>
      <c r="E15" s="2400" t="s">
        <v>2111</v>
      </c>
      <c r="F15" s="1267" t="s">
        <v>2112</v>
      </c>
      <c r="G15" s="133" t="str">
        <f>G3</f>
        <v>估价对象位于XX开发区，园区建设成熟度XX，产业集聚程度XX</v>
      </c>
    </row>
    <row r="16" spans="1:29" ht="42.75">
      <c r="A16" s="644"/>
      <c r="B16" s="2401" t="s">
        <v>2091</v>
      </c>
      <c r="C16" s="2402" t="str">
        <f>C4</f>
        <v>估价对象位于XX商圈，周边商业氛围成熟，人流量大，商业繁华度好</v>
      </c>
      <c r="D16" s="2367"/>
      <c r="E16" s="2403"/>
      <c r="F16" s="2404" t="s">
        <v>2093</v>
      </c>
      <c r="G16" s="134" t="str">
        <f>G4</f>
        <v>估价对象周边道路状况、公共交通通达情况、停车便捷程度，综合评价交通便捷度较好</v>
      </c>
    </row>
    <row r="17" spans="1:18" ht="42.75">
      <c r="A17" s="644"/>
      <c r="B17" s="2401" t="s">
        <v>2095</v>
      </c>
      <c r="C17" s="2402" t="str">
        <f>C5</f>
        <v>估价对象位于XX商圈，周边办公楼项目较多，入驻率高，办公集聚程度较好</v>
      </c>
      <c r="D17" s="2373"/>
      <c r="E17" s="2403"/>
      <c r="F17" s="2404" t="s">
        <v>2113</v>
      </c>
      <c r="G17" s="1570"/>
    </row>
    <row r="18" spans="1:18" ht="57">
      <c r="A18" s="644"/>
      <c r="B18" s="2404" t="s">
        <v>2099</v>
      </c>
      <c r="C18" s="134" t="str">
        <f>C6</f>
        <v>估价对象周边道路状况、公共交通通达情况、停车便捷程度，综合评价交通便捷度较好</v>
      </c>
      <c r="D18" s="2373"/>
      <c r="E18" s="2403"/>
      <c r="F18" s="2404" t="s">
        <v>2102</v>
      </c>
      <c r="G18" s="134" t="str">
        <f>G7</f>
        <v>该园区内是否有污染型企业，绿化情况，卫生条件，整体环境状况判断</v>
      </c>
    </row>
    <row r="19" spans="1:18" ht="28.5">
      <c r="A19" s="644"/>
      <c r="B19" s="2404" t="s">
        <v>2114</v>
      </c>
      <c r="C19" s="1570"/>
      <c r="D19" s="2367"/>
      <c r="E19" s="2403"/>
      <c r="F19" s="1796" t="s">
        <v>2097</v>
      </c>
      <c r="G19" s="134" t="str">
        <f>G5</f>
        <v>估价对象所在区域公共配套设施齐备情况</v>
      </c>
    </row>
    <row r="20" spans="1:18" ht="28.5">
      <c r="A20" s="644"/>
      <c r="B20" s="2404" t="s">
        <v>2115</v>
      </c>
      <c r="C20" s="2402" t="str">
        <f>C9</f>
        <v>区域自然环境：；人文环境；综合评价环境状况一般</v>
      </c>
      <c r="D20" s="2373"/>
      <c r="E20" s="2403"/>
      <c r="F20" s="1796" t="s">
        <v>2116</v>
      </c>
      <c r="G20" s="134" t="str">
        <f>G6</f>
        <v>估价对象所在区域基础设施水平</v>
      </c>
    </row>
    <row r="21" spans="1:18" ht="28.5">
      <c r="A21" s="644"/>
      <c r="B21" s="1796" t="s">
        <v>2097</v>
      </c>
      <c r="C21" s="134" t="str">
        <f>C7</f>
        <v>估价对象所在区域公共配套设施齐备情况</v>
      </c>
      <c r="D21" s="2367"/>
      <c r="E21" s="2403"/>
      <c r="F21" s="2404" t="s">
        <v>2117</v>
      </c>
      <c r="G21" s="2405"/>
    </row>
    <row r="22" spans="1:18" ht="13.5" customHeight="1">
      <c r="A22" s="644"/>
      <c r="B22" s="1796" t="s">
        <v>2100</v>
      </c>
      <c r="C22" s="134" t="str">
        <f>C8</f>
        <v>估价对象所在区域基础设施水平</v>
      </c>
      <c r="D22" s="2367"/>
      <c r="E22" s="2403"/>
      <c r="F22" s="2404" t="s">
        <v>2106</v>
      </c>
      <c r="G22" s="1570"/>
    </row>
    <row r="23" spans="1:18" s="2364" customFormat="1" ht="15.75" thickBot="1">
      <c r="A23" s="644"/>
      <c r="B23" s="2404" t="s">
        <v>2117</v>
      </c>
      <c r="C23" s="2405"/>
      <c r="D23" s="2392"/>
      <c r="E23" s="2406"/>
      <c r="F23" s="2407" t="s">
        <v>2118</v>
      </c>
      <c r="G23" s="2408"/>
      <c r="H23" s="2392"/>
      <c r="I23" s="2393"/>
      <c r="J23" s="2392"/>
      <c r="K23" s="2392"/>
      <c r="L23" s="2393"/>
      <c r="M23" s="2392"/>
      <c r="N23" s="2392"/>
      <c r="O23" s="2393"/>
      <c r="P23" s="2392"/>
      <c r="Q23" s="2392"/>
      <c r="R23" s="2394"/>
    </row>
    <row r="24" spans="1:18" s="2364" customFormat="1" ht="15.75" thickBot="1">
      <c r="A24" s="2409"/>
      <c r="B24" s="2407" t="s">
        <v>2119</v>
      </c>
      <c r="C24" s="135">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workbookViewId="0">
      <selection activeCell="A3" sqref="A3"/>
    </sheetView>
  </sheetViews>
  <sheetFormatPr defaultRowHeight="13.5"/>
  <cols>
    <col min="1" max="1" width="23.375" style="1739" customWidth="1"/>
    <col min="2" max="9" width="15.75" style="1739" customWidth="1"/>
    <col min="10" max="16384" width="9" style="1739"/>
  </cols>
  <sheetData>
    <row r="1" spans="1:10" ht="16.5">
      <c r="A1" s="1744" t="s">
        <v>1366</v>
      </c>
      <c r="B1" s="1744">
        <f>SUM(B14:B23)</f>
        <v>210018.96</v>
      </c>
      <c r="C1" s="1743"/>
      <c r="D1" s="1743"/>
      <c r="E1" s="1743"/>
      <c r="F1" s="1743"/>
      <c r="G1" s="1741"/>
    </row>
    <row r="2" spans="1:10" ht="16.5">
      <c r="A2" s="1744" t="s">
        <v>1354</v>
      </c>
      <c r="B2" s="1744">
        <f>SUM(C14:C23)</f>
        <v>60943.28</v>
      </c>
      <c r="C2" s="1743"/>
      <c r="D2" s="1743"/>
      <c r="E2" s="1743"/>
      <c r="F2" s="1743"/>
      <c r="G2" s="1741"/>
    </row>
    <row r="3" spans="1:10" ht="16.5">
      <c r="A3" s="1744" t="s">
        <v>1363</v>
      </c>
      <c r="B3" s="1745">
        <f>项目基本情况!D3</f>
        <v>43025</v>
      </c>
      <c r="C3" s="1743"/>
      <c r="D3" s="1743"/>
      <c r="E3" s="1743"/>
      <c r="F3" s="1743"/>
      <c r="G3" s="1741"/>
    </row>
    <row r="4" spans="1:10" ht="33">
      <c r="A4" s="1744" t="s">
        <v>1362</v>
      </c>
      <c r="B4" s="1744" t="s">
        <v>1361</v>
      </c>
      <c r="C4" s="1744" t="s">
        <v>1360</v>
      </c>
      <c r="D4" s="1744" t="s">
        <v>1359</v>
      </c>
      <c r="E4" s="1743"/>
      <c r="F4" s="1741"/>
      <c r="G4" s="1741"/>
    </row>
    <row r="5" spans="1:10" ht="16.5">
      <c r="A5" s="1744" t="s">
        <v>1358</v>
      </c>
      <c r="B5" s="1744">
        <f ca="1">SUM(D14:D23)</f>
        <v>178880</v>
      </c>
      <c r="C5" s="1744">
        <f ca="1">ROUND(B5*10000/$B$1,0)</f>
        <v>8517</v>
      </c>
      <c r="D5" s="1744">
        <f ca="1">ROUND(B5*10000/$B$2,0)</f>
        <v>29352</v>
      </c>
      <c r="E5" s="1743"/>
      <c r="F5" s="1741"/>
      <c r="G5" s="1741"/>
    </row>
    <row r="6" spans="1:10" ht="16.5">
      <c r="A6" s="1744" t="s">
        <v>1357</v>
      </c>
      <c r="B6" s="1744">
        <f ca="1">SUM(G14:G23)</f>
        <v>178880</v>
      </c>
      <c r="C6" s="1744">
        <f ca="1">ROUND(B6*10000/$B$1,0)</f>
        <v>8517</v>
      </c>
      <c r="D6" s="1744">
        <f ca="1">ROUND(B6*10000/$B$2,0)</f>
        <v>29352</v>
      </c>
      <c r="E6" s="1743"/>
      <c r="F6" s="1741"/>
      <c r="G6" s="1741"/>
    </row>
    <row r="7" spans="1:10" ht="16.5">
      <c r="A7" s="1744" t="s">
        <v>1365</v>
      </c>
      <c r="B7" s="1744">
        <f ca="1">SUM(H14:H23)</f>
        <v>178880</v>
      </c>
      <c r="C7" s="1744">
        <f ca="1">ROUND(B7*10000/$B$1,0)</f>
        <v>8517</v>
      </c>
      <c r="D7" s="1744">
        <f ca="1">ROUND(B7*10000/$B$2,0)</f>
        <v>29352</v>
      </c>
      <c r="E7" s="1743"/>
      <c r="F7" s="1741"/>
      <c r="G7" s="1741"/>
    </row>
    <row r="8" spans="1:10" ht="16.5">
      <c r="A8" s="1744" t="s">
        <v>1286</v>
      </c>
      <c r="B8" s="1744">
        <f>SUM(I14:I23)</f>
        <v>0</v>
      </c>
      <c r="C8" s="1744">
        <f>ROUND(B8*10000/$B$1,0)</f>
        <v>0</v>
      </c>
      <c r="D8" s="1744">
        <f>ROUND(B8*10000/$B$2,0)</f>
        <v>0</v>
      </c>
      <c r="E8" s="1743"/>
      <c r="F8" s="1741"/>
      <c r="G8" s="1741"/>
    </row>
    <row r="9" spans="1:10" ht="16.5">
      <c r="A9" s="1744" t="s">
        <v>1356</v>
      </c>
      <c r="B9" s="1746"/>
      <c r="C9" s="1743"/>
      <c r="D9" s="1743"/>
      <c r="E9" s="1743"/>
      <c r="F9" s="1741"/>
      <c r="G9" s="1741"/>
    </row>
    <row r="10" spans="1:10" ht="16.5">
      <c r="A10" s="1744" t="s">
        <v>1355</v>
      </c>
      <c r="B10" s="1746"/>
      <c r="C10" s="1743"/>
      <c r="D10" s="1743"/>
      <c r="E10" s="1743"/>
      <c r="F10" s="1741"/>
      <c r="G10" s="1741"/>
    </row>
    <row r="11" spans="1:10" ht="16.5">
      <c r="A11" s="1744" t="s">
        <v>1371</v>
      </c>
      <c r="B11" s="1746"/>
      <c r="C11" s="1743"/>
      <c r="D11" s="1743"/>
      <c r="E11" s="1743"/>
      <c r="F11" s="1741"/>
      <c r="G11" s="1741"/>
    </row>
    <row r="12" spans="1:10" ht="16.5">
      <c r="A12" s="1743"/>
      <c r="B12" s="1743"/>
      <c r="C12" s="1743"/>
      <c r="D12" s="1743"/>
      <c r="E12" s="1743"/>
      <c r="F12" s="1741"/>
      <c r="G12" s="1741"/>
    </row>
    <row r="13" spans="1:10" ht="33">
      <c r="A13" s="1749" t="s">
        <v>1370</v>
      </c>
      <c r="B13" s="1742" t="s">
        <v>1367</v>
      </c>
      <c r="C13" s="1742" t="s">
        <v>1369</v>
      </c>
      <c r="D13" s="1742" t="s">
        <v>1368</v>
      </c>
      <c r="E13" s="1744" t="s">
        <v>1360</v>
      </c>
      <c r="F13" s="1744" t="s">
        <v>1359</v>
      </c>
      <c r="G13" s="1742" t="s">
        <v>1353</v>
      </c>
      <c r="H13" s="1742" t="s">
        <v>1364</v>
      </c>
      <c r="I13" s="1742" t="s">
        <v>1352</v>
      </c>
      <c r="J13" s="1741"/>
    </row>
    <row r="14" spans="1:10" ht="16.5">
      <c r="A14" s="1740" t="s">
        <v>1351</v>
      </c>
      <c r="B14" s="1742">
        <f>'数据-汇总表'!E3</f>
        <v>210018.96</v>
      </c>
      <c r="C14" s="1742">
        <f>'数据-汇总表'!D3</f>
        <v>60943.28</v>
      </c>
      <c r="D14" s="1742">
        <f ca="1">结果表!H118</f>
        <v>178880</v>
      </c>
      <c r="E14" s="1742">
        <f ca="1">ROUND(D14*10000/B14,0)</f>
        <v>8517</v>
      </c>
      <c r="F14" s="1742">
        <f ca="1">ROUND(D14*10000/C14,0)</f>
        <v>29352</v>
      </c>
      <c r="G14" s="1742">
        <f ca="1">结果表!D122</f>
        <v>178880</v>
      </c>
      <c r="H14" s="1742">
        <f ca="1">结果表!D124</f>
        <v>178880</v>
      </c>
      <c r="I14" s="1742" t="str">
        <f>结果表!D126</f>
        <v>——</v>
      </c>
      <c r="J14" s="1741"/>
    </row>
    <row r="15" spans="1:10" ht="16.5">
      <c r="A15" s="1740" t="s">
        <v>1350</v>
      </c>
      <c r="B15" s="1747"/>
      <c r="C15" s="1747"/>
      <c r="D15" s="1747"/>
      <c r="E15" s="1742" t="e">
        <f t="shared" ref="E15:E23" si="0">ROUND(D15*10000/B15,0)</f>
        <v>#DIV/0!</v>
      </c>
      <c r="F15" s="1742" t="e">
        <f t="shared" ref="F15:F23" si="1">ROUND(D15*10000/C15,0)</f>
        <v>#DIV/0!</v>
      </c>
      <c r="G15" s="1748"/>
      <c r="H15" s="1748"/>
      <c r="I15" s="1747"/>
      <c r="J15" s="1741"/>
    </row>
    <row r="16" spans="1:10" ht="16.5">
      <c r="A16" s="1740" t="s">
        <v>1349</v>
      </c>
      <c r="B16" s="1747"/>
      <c r="C16" s="1747"/>
      <c r="D16" s="1747"/>
      <c r="E16" s="1742" t="e">
        <f t="shared" si="0"/>
        <v>#DIV/0!</v>
      </c>
      <c r="F16" s="1742" t="e">
        <f t="shared" si="1"/>
        <v>#DIV/0!</v>
      </c>
      <c r="G16" s="1748"/>
      <c r="H16" s="1748"/>
      <c r="I16" s="1747"/>
    </row>
    <row r="17" spans="1:9" ht="16.5">
      <c r="A17" s="1740" t="s">
        <v>1348</v>
      </c>
      <c r="B17" s="1747"/>
      <c r="C17" s="1747"/>
      <c r="D17" s="1747"/>
      <c r="E17" s="1742" t="e">
        <f t="shared" si="0"/>
        <v>#DIV/0!</v>
      </c>
      <c r="F17" s="1742" t="e">
        <f t="shared" si="1"/>
        <v>#DIV/0!</v>
      </c>
      <c r="G17" s="1748"/>
      <c r="H17" s="1748"/>
      <c r="I17" s="1747"/>
    </row>
    <row r="18" spans="1:9" ht="16.5">
      <c r="A18" s="1740" t="s">
        <v>1347</v>
      </c>
      <c r="B18" s="1747"/>
      <c r="C18" s="1747"/>
      <c r="D18" s="1747"/>
      <c r="E18" s="1742" t="e">
        <f t="shared" si="0"/>
        <v>#DIV/0!</v>
      </c>
      <c r="F18" s="1742" t="e">
        <f t="shared" si="1"/>
        <v>#DIV/0!</v>
      </c>
      <c r="G18" s="1747"/>
      <c r="H18" s="1747"/>
      <c r="I18" s="1747"/>
    </row>
    <row r="19" spans="1:9" ht="16.5">
      <c r="A19" s="1740" t="s">
        <v>1346</v>
      </c>
      <c r="B19" s="1747"/>
      <c r="C19" s="1747"/>
      <c r="D19" s="1747"/>
      <c r="E19" s="1742" t="e">
        <f t="shared" si="0"/>
        <v>#DIV/0!</v>
      </c>
      <c r="F19" s="1742" t="e">
        <f t="shared" si="1"/>
        <v>#DIV/0!</v>
      </c>
      <c r="G19" s="1747"/>
      <c r="H19" s="1747"/>
      <c r="I19" s="1747"/>
    </row>
    <row r="20" spans="1:9" ht="16.5">
      <c r="A20" s="1740" t="s">
        <v>1345</v>
      </c>
      <c r="B20" s="1747"/>
      <c r="C20" s="1747"/>
      <c r="D20" s="1747"/>
      <c r="E20" s="1742" t="e">
        <f t="shared" si="0"/>
        <v>#DIV/0!</v>
      </c>
      <c r="F20" s="1742" t="e">
        <f t="shared" si="1"/>
        <v>#DIV/0!</v>
      </c>
      <c r="G20" s="1747"/>
      <c r="H20" s="1747"/>
      <c r="I20" s="1747"/>
    </row>
    <row r="21" spans="1:9" ht="16.5">
      <c r="A21" s="1740" t="s">
        <v>1344</v>
      </c>
      <c r="B21" s="1747"/>
      <c r="C21" s="1747"/>
      <c r="D21" s="1747"/>
      <c r="E21" s="1742" t="e">
        <f t="shared" si="0"/>
        <v>#DIV/0!</v>
      </c>
      <c r="F21" s="1742" t="e">
        <f t="shared" si="1"/>
        <v>#DIV/0!</v>
      </c>
      <c r="G21" s="1747"/>
      <c r="H21" s="1747"/>
      <c r="I21" s="1747"/>
    </row>
    <row r="22" spans="1:9" ht="16.5">
      <c r="A22" s="1740" t="s">
        <v>1343</v>
      </c>
      <c r="B22" s="1747"/>
      <c r="C22" s="1747"/>
      <c r="D22" s="1747"/>
      <c r="E22" s="1742" t="e">
        <f t="shared" si="0"/>
        <v>#DIV/0!</v>
      </c>
      <c r="F22" s="1742" t="e">
        <f t="shared" si="1"/>
        <v>#DIV/0!</v>
      </c>
      <c r="G22" s="1747"/>
      <c r="H22" s="1747"/>
      <c r="I22" s="1747"/>
    </row>
    <row r="23" spans="1:9" ht="16.5">
      <c r="A23" s="1740" t="s">
        <v>1342</v>
      </c>
      <c r="B23" s="1747"/>
      <c r="C23" s="1747"/>
      <c r="D23" s="1747"/>
      <c r="E23" s="1744" t="e">
        <f t="shared" si="0"/>
        <v>#DIV/0!</v>
      </c>
      <c r="F23" s="1744" t="e">
        <f t="shared" si="1"/>
        <v>#DIV/0!</v>
      </c>
      <c r="G23" s="1747"/>
      <c r="H23" s="1747"/>
      <c r="I23" s="1747"/>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2"/>
  <sheetViews>
    <sheetView tabSelected="1" view="pageBreakPreview" zoomScaleSheetLayoutView="100" zoomScalePageLayoutView="80" workbookViewId="0">
      <selection activeCell="I24" sqref="I24"/>
    </sheetView>
  </sheetViews>
  <sheetFormatPr defaultColWidth="12.625" defaultRowHeight="21.75" customHeight="1"/>
  <cols>
    <col min="1" max="2" width="12.625" style="2421"/>
    <col min="3" max="4" width="12.625" style="2421" customWidth="1"/>
    <col min="5" max="9" width="12.625" style="2421"/>
    <col min="10" max="11" width="12.625" style="794" customWidth="1"/>
    <col min="12" max="12" width="12.625" style="794"/>
    <col min="13" max="13" width="14.125" style="794" bestFit="1" customWidth="1"/>
    <col min="14" max="26" width="12.625" style="794"/>
    <col min="27" max="35" width="12.625" style="2420"/>
    <col min="36" max="16384" width="12.625" style="2421"/>
  </cols>
  <sheetData>
    <row r="1" spans="1:12" ht="21.75" customHeight="1" thickBot="1">
      <c r="A1" s="2221" t="s">
        <v>2120</v>
      </c>
      <c r="B1" s="2415"/>
      <c r="C1" s="2416"/>
      <c r="D1" s="2415"/>
      <c r="E1" s="2415"/>
      <c r="F1" s="2417" t="s">
        <v>2121</v>
      </c>
      <c r="G1" s="2067" t="s">
        <v>2122</v>
      </c>
      <c r="H1" s="2418" t="str">
        <f>IF(G1="现房","——","估价对象范围")</f>
        <v>估价对象范围</v>
      </c>
      <c r="I1" s="2419" t="s">
        <v>3216</v>
      </c>
    </row>
    <row r="2" spans="1:12" ht="21.75" customHeight="1" thickBot="1">
      <c r="A2" s="3072" t="str">
        <f>项目基本情况!S2</f>
        <v>陕西省西安市新城区华清西路以南、金花北路以西出让国有建设用地使用权及在建建筑物房地产</v>
      </c>
      <c r="B2" s="3073"/>
      <c r="C2" s="3073"/>
      <c r="D2" s="3073"/>
      <c r="E2" s="3073"/>
      <c r="F2" s="3073"/>
      <c r="G2" s="3073"/>
      <c r="H2" s="3073"/>
      <c r="I2" s="3074"/>
    </row>
    <row r="3" spans="1:12" ht="12.75">
      <c r="A3" s="3076" t="s">
        <v>2123</v>
      </c>
      <c r="B3" s="3077"/>
      <c r="C3" s="3077"/>
      <c r="D3" s="3077"/>
      <c r="E3" s="3077"/>
      <c r="F3" s="3077"/>
      <c r="G3" s="3077"/>
      <c r="H3" s="3077"/>
      <c r="I3" s="3077"/>
    </row>
    <row r="4" spans="1:12" ht="14.25">
      <c r="A4" s="2422" t="s">
        <v>2124</v>
      </c>
      <c r="B4" s="2423" t="s">
        <v>2125</v>
      </c>
      <c r="C4" s="2424" t="s">
        <v>3146</v>
      </c>
      <c r="D4" s="2424" t="s">
        <v>3212</v>
      </c>
      <c r="E4" s="3069" t="s">
        <v>2126</v>
      </c>
      <c r="F4" s="3070"/>
      <c r="G4" s="3070"/>
      <c r="H4" s="3070"/>
      <c r="I4" s="3078"/>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假设开发法</v>
      </c>
    </row>
    <row r="5" spans="1:12" ht="12.75">
      <c r="A5" s="3052" t="s">
        <v>2127</v>
      </c>
      <c r="B5" s="2990">
        <v>25</v>
      </c>
      <c r="C5" s="3055"/>
      <c r="D5" s="3075"/>
      <c r="E5" s="138" t="s">
        <v>2128</v>
      </c>
      <c r="F5" s="2426"/>
      <c r="G5" s="2426"/>
      <c r="H5" s="2426"/>
      <c r="I5" s="1832"/>
    </row>
    <row r="6" spans="1:12" ht="12.75">
      <c r="A6" s="3052"/>
      <c r="B6" s="2990"/>
      <c r="C6" s="3056"/>
      <c r="D6" s="3075"/>
      <c r="E6" s="138" t="s">
        <v>2129</v>
      </c>
      <c r="F6" s="2426"/>
      <c r="G6" s="2426"/>
      <c r="H6" s="2426"/>
      <c r="I6" s="1832"/>
    </row>
    <row r="7" spans="1:12" ht="12.75">
      <c r="A7" s="3052"/>
      <c r="B7" s="2990"/>
      <c r="C7" s="3057"/>
      <c r="D7" s="3075"/>
      <c r="E7" s="138" t="s">
        <v>2130</v>
      </c>
      <c r="F7" s="2426"/>
      <c r="G7" s="2426"/>
      <c r="H7" s="2426"/>
      <c r="I7" s="1832"/>
    </row>
    <row r="8" spans="1:12" ht="12.75">
      <c r="A8" s="3052" t="s">
        <v>2131</v>
      </c>
      <c r="B8" s="2990">
        <v>15</v>
      </c>
      <c r="C8" s="3055"/>
      <c r="D8" s="3075"/>
      <c r="E8" s="138" t="s">
        <v>2132</v>
      </c>
      <c r="F8" s="2426"/>
      <c r="G8" s="2426"/>
      <c r="H8" s="2426"/>
      <c r="I8" s="1832"/>
    </row>
    <row r="9" spans="1:12" ht="12.75">
      <c r="A9" s="3052"/>
      <c r="B9" s="2990"/>
      <c r="C9" s="3057"/>
      <c r="D9" s="3075"/>
      <c r="E9" s="138" t="s">
        <v>2133</v>
      </c>
      <c r="F9" s="2426"/>
      <c r="G9" s="2426"/>
      <c r="H9" s="2426"/>
      <c r="I9" s="1832"/>
    </row>
    <row r="10" spans="1:12" ht="12.75">
      <c r="A10" s="3052" t="s">
        <v>2134</v>
      </c>
      <c r="B10" s="2990">
        <v>15</v>
      </c>
      <c r="C10" s="3055"/>
      <c r="D10" s="3075"/>
      <c r="E10" s="138" t="s">
        <v>2135</v>
      </c>
      <c r="F10" s="2426"/>
      <c r="G10" s="2426"/>
      <c r="H10" s="2426"/>
      <c r="I10" s="1832"/>
    </row>
    <row r="11" spans="1:12" ht="12.75">
      <c r="A11" s="3052"/>
      <c r="B11" s="2990"/>
      <c r="C11" s="3057"/>
      <c r="D11" s="3075"/>
      <c r="E11" s="138" t="s">
        <v>2136</v>
      </c>
      <c r="F11" s="2426"/>
      <c r="G11" s="2426"/>
      <c r="H11" s="2426"/>
      <c r="I11" s="1832"/>
    </row>
    <row r="12" spans="1:12" ht="12.75">
      <c r="A12" s="3052" t="s">
        <v>2137</v>
      </c>
      <c r="B12" s="2990">
        <v>15</v>
      </c>
      <c r="C12" s="3055"/>
      <c r="D12" s="3075"/>
      <c r="E12" s="138" t="s">
        <v>2138</v>
      </c>
      <c r="F12" s="2426"/>
      <c r="G12" s="2426"/>
      <c r="H12" s="2426"/>
      <c r="I12" s="1832"/>
    </row>
    <row r="13" spans="1:12" ht="12.75">
      <c r="A13" s="3052"/>
      <c r="B13" s="2990"/>
      <c r="C13" s="3057"/>
      <c r="D13" s="3075"/>
      <c r="E13" s="138" t="s">
        <v>2139</v>
      </c>
      <c r="F13" s="2426"/>
      <c r="G13" s="2426"/>
      <c r="H13" s="2426"/>
      <c r="I13" s="1832"/>
    </row>
    <row r="14" spans="1:12" ht="12.75">
      <c r="A14" s="3052" t="s">
        <v>2140</v>
      </c>
      <c r="B14" s="2990">
        <v>30</v>
      </c>
      <c r="C14" s="3055">
        <v>3</v>
      </c>
      <c r="D14" s="3075">
        <v>7</v>
      </c>
      <c r="E14" s="138" t="s">
        <v>2141</v>
      </c>
      <c r="F14" s="2426"/>
      <c r="G14" s="2426"/>
      <c r="H14" s="2426"/>
      <c r="I14" s="1832"/>
    </row>
    <row r="15" spans="1:12" ht="12.75">
      <c r="A15" s="3052"/>
      <c r="B15" s="2990"/>
      <c r="C15" s="3056"/>
      <c r="D15" s="3075"/>
      <c r="E15" s="138" t="s">
        <v>2142</v>
      </c>
      <c r="F15" s="2426"/>
      <c r="G15" s="2426"/>
      <c r="H15" s="2426"/>
      <c r="I15" s="1832"/>
    </row>
    <row r="16" spans="1:12" ht="12.75">
      <c r="A16" s="3052"/>
      <c r="B16" s="2990"/>
      <c r="C16" s="3057"/>
      <c r="D16" s="3075"/>
      <c r="E16" s="138" t="s">
        <v>2143</v>
      </c>
      <c r="F16" s="2426"/>
      <c r="G16" s="2426"/>
      <c r="H16" s="2426"/>
      <c r="I16" s="1832"/>
    </row>
    <row r="17" spans="1:35" ht="15">
      <c r="A17" s="2427" t="s">
        <v>2144</v>
      </c>
      <c r="B17" s="63"/>
      <c r="C17" s="139">
        <f>SUM(C5:C16)</f>
        <v>3</v>
      </c>
      <c r="D17" s="139">
        <f>SUM(D5:D16)</f>
        <v>7</v>
      </c>
      <c r="E17" s="136"/>
      <c r="F17" s="136"/>
      <c r="G17" s="136"/>
      <c r="H17" s="136"/>
      <c r="I17" s="136"/>
      <c r="K17" s="2425"/>
      <c r="L17" s="2428" t="s">
        <v>2145</v>
      </c>
      <c r="M17" s="2428" t="s">
        <v>2146</v>
      </c>
    </row>
    <row r="18" spans="1:35" ht="15.75" thickBot="1">
      <c r="A18" s="2429" t="s">
        <v>2147</v>
      </c>
      <c r="B18" s="2430"/>
      <c r="C18" s="140">
        <f>ROUND(C17/SUM(C17:D17),2)</f>
        <v>0.3</v>
      </c>
      <c r="D18" s="140">
        <f>1-C18</f>
        <v>0.7</v>
      </c>
      <c r="E18" s="136"/>
      <c r="F18" s="136"/>
      <c r="G18" s="136"/>
      <c r="H18" s="136"/>
      <c r="I18" s="136"/>
      <c r="K18" s="2425" t="s">
        <v>2148</v>
      </c>
      <c r="L18" s="2425">
        <f>IF(C1="",'数据-汇总表'!E3,SUMIF(项目类型,C1,'数据-汇总表'!E17:E26)+SUMIF(项目类型,C1,'数据-汇总表'!I17:I26))</f>
        <v>210018.96</v>
      </c>
      <c r="M18" s="2425">
        <f>IF(C1="",'数据-汇总表'!E3,SUMIF(项目类型,C1,'数据-汇总表'!E17:E26))</f>
        <v>210018.96</v>
      </c>
    </row>
    <row r="19" spans="1:35" ht="15">
      <c r="A19" s="2431" t="s">
        <v>2149</v>
      </c>
      <c r="B19" s="2432" t="s">
        <v>2150</v>
      </c>
      <c r="C19" s="141">
        <f ca="1">SUMIF(INDIRECT("'"&amp;C4&amp;"'"&amp;"!A:A"),结果表!B19,INDIRECT("'"&amp;C4&amp;"'"&amp;"!B:B"))</f>
        <v>118108</v>
      </c>
      <c r="D19" s="142">
        <f ca="1">SUMIF(INDIRECT("'"&amp;D4&amp;"'"&amp;"!A:A"),结果表!B19,INDIRECT("'"&amp;D4&amp;"'"&amp;"!B:B"))</f>
        <v>204925</v>
      </c>
      <c r="E19" s="2431" t="s">
        <v>2151</v>
      </c>
      <c r="F19" s="2432" t="s">
        <v>2150</v>
      </c>
      <c r="G19" s="143">
        <f ca="1">ROUND(C19*$C$18+D19*$D$18,0)</f>
        <v>178880</v>
      </c>
      <c r="H19" s="2433" t="s">
        <v>2152</v>
      </c>
      <c r="I19" s="136"/>
      <c r="K19" s="2425" t="s">
        <v>2153</v>
      </c>
      <c r="L19" s="2425">
        <f>IF(C1="",'数据-汇总表'!D3,SUMIF(项目类型,C1,'数据-汇总表'!D17:D26)+SUMIF(项目类型,C1,'数据-汇总表'!H17:H27))</f>
        <v>60943.28</v>
      </c>
      <c r="M19" s="2425">
        <f>IF(C1="",'数据-汇总表'!D3,SUMIF(项目类型,C1,'数据-汇总表'!D17:D26))</f>
        <v>60943.28</v>
      </c>
    </row>
    <row r="20" spans="1:35" ht="15">
      <c r="A20" s="2434"/>
      <c r="B20" s="1247" t="s">
        <v>2154</v>
      </c>
      <c r="C20" s="144">
        <f ca="1">SUMIF(INDIRECT("'"&amp;C4&amp;"'"&amp;"!A:A"),结果表!B20,INDIRECT("'"&amp;C4&amp;"'"&amp;"!B:B"))</f>
        <v>5624</v>
      </c>
      <c r="D20" s="145">
        <f ca="1">SUMIF(INDIRECT("'"&amp;D4&amp;"'"&amp;"!A:A"),结果表!B20,INDIRECT("'"&amp;D4&amp;"'"&amp;"!B:B"))</f>
        <v>9757</v>
      </c>
      <c r="E20" s="2434"/>
      <c r="F20" s="1247" t="s">
        <v>2154</v>
      </c>
      <c r="G20" s="146">
        <f ca="1">ROUND(C20*$C$18+D20*$D$18,0)</f>
        <v>8517</v>
      </c>
      <c r="H20" s="982" t="s">
        <v>2155</v>
      </c>
      <c r="I20" s="136"/>
    </row>
    <row r="21" spans="1:35" ht="15" customHeight="1" thickBot="1">
      <c r="A21" s="1001"/>
      <c r="B21" s="2435" t="s">
        <v>2156</v>
      </c>
      <c r="C21" s="788">
        <f ca="1">ROUND(C19*10000/L19,0)</f>
        <v>19380</v>
      </c>
      <c r="D21" s="789">
        <f ca="1">ROUND(D19*10000/L19,0)</f>
        <v>33626</v>
      </c>
      <c r="E21" s="1001"/>
      <c r="F21" s="2435" t="s">
        <v>2156</v>
      </c>
      <c r="G21" s="147">
        <f ca="1">ROUND(G19*10000/L19,0)</f>
        <v>29352</v>
      </c>
      <c r="H21" s="2436" t="s">
        <v>2155</v>
      </c>
      <c r="I21" s="136"/>
    </row>
    <row r="22" spans="1:35" ht="15" thickBot="1">
      <c r="A22" s="2277" t="s">
        <v>2157</v>
      </c>
      <c r="B22" s="2437"/>
      <c r="C22" s="2438"/>
      <c r="D22" s="790">
        <f ca="1">IF(C19&lt;D19,D19/C19-1,C19/D19-1)</f>
        <v>0.73506451722152599</v>
      </c>
      <c r="E22" s="136"/>
      <c r="F22" s="136"/>
      <c r="G22" s="136"/>
      <c r="H22" s="136"/>
      <c r="I22" s="136"/>
    </row>
    <row r="23" spans="1:35" ht="13.5" thickBot="1">
      <c r="A23" s="2415"/>
      <c r="B23" s="2415"/>
      <c r="C23" s="2415"/>
      <c r="D23" s="2415"/>
      <c r="E23" s="136"/>
      <c r="F23" s="136"/>
      <c r="G23" s="136"/>
      <c r="H23" s="136"/>
      <c r="I23" s="136"/>
    </row>
    <row r="24" spans="1:35" ht="14.25">
      <c r="A24" s="3046" t="s">
        <v>2158</v>
      </c>
      <c r="B24" s="2432" t="s">
        <v>2150</v>
      </c>
      <c r="C24" s="143">
        <f>IF(B30=0,0,D30)</f>
        <v>0</v>
      </c>
      <c r="D24" s="2439"/>
      <c r="E24" s="136"/>
      <c r="F24" s="136"/>
      <c r="G24" s="136"/>
      <c r="H24" s="136"/>
      <c r="I24" s="136"/>
    </row>
    <row r="25" spans="1:35" ht="14.25">
      <c r="A25" s="3047"/>
      <c r="B25" s="1247" t="s">
        <v>2154</v>
      </c>
      <c r="C25" s="148">
        <f>IF(B30=0,0,C30)</f>
        <v>0</v>
      </c>
      <c r="D25" s="2440"/>
      <c r="E25" s="136"/>
      <c r="F25" s="136"/>
      <c r="G25" s="136"/>
      <c r="H25" s="136"/>
      <c r="I25" s="136"/>
    </row>
    <row r="26" spans="1:35" ht="13.5" customHeight="1">
      <c r="A26" s="2441" t="s">
        <v>2159</v>
      </c>
      <c r="B26" s="149" t="s">
        <v>2160</v>
      </c>
      <c r="C26" s="149" t="s">
        <v>2161</v>
      </c>
      <c r="D26" s="150" t="s">
        <v>2162</v>
      </c>
      <c r="E26" s="136"/>
      <c r="F26" s="136"/>
      <c r="G26" s="136"/>
      <c r="H26" s="136"/>
      <c r="I26" s="136"/>
    </row>
    <row r="27" spans="1:35" ht="14.25">
      <c r="A27" s="2441"/>
      <c r="B27" s="149">
        <v>0</v>
      </c>
      <c r="C27" s="149">
        <v>0</v>
      </c>
      <c r="D27" s="150">
        <f>ROUND(C27*B27/10000,0)</f>
        <v>0</v>
      </c>
      <c r="E27" s="136"/>
      <c r="F27" s="136"/>
      <c r="G27" s="136"/>
      <c r="H27" s="136"/>
      <c r="I27" s="136"/>
    </row>
    <row r="28" spans="1:35" ht="14.25">
      <c r="A28" s="2441"/>
      <c r="B28" s="149"/>
      <c r="C28" s="149"/>
      <c r="D28" s="150"/>
      <c r="E28" s="136"/>
      <c r="F28" s="136"/>
      <c r="G28" s="136"/>
      <c r="H28" s="136"/>
      <c r="I28" s="136"/>
    </row>
    <row r="29" spans="1:35" ht="14.25">
      <c r="A29" s="2441"/>
      <c r="B29" s="149"/>
      <c r="C29" s="149"/>
      <c r="D29" s="150"/>
      <c r="E29" s="136"/>
      <c r="F29" s="136"/>
      <c r="G29" s="136"/>
      <c r="H29" s="136"/>
      <c r="I29" s="136"/>
    </row>
    <row r="30" spans="1:35" ht="14.25">
      <c r="A30" s="151" t="s">
        <v>2163</v>
      </c>
      <c r="B30" s="151">
        <f>SUM(B27:B29)</f>
        <v>0</v>
      </c>
      <c r="C30" s="151" t="e">
        <f>ROUND(D30*10000/B30,0)</f>
        <v>#DIV/0!</v>
      </c>
      <c r="D30" s="151">
        <f>SUM(D27:D29)</f>
        <v>0</v>
      </c>
      <c r="E30" s="136"/>
      <c r="F30" s="136"/>
      <c r="G30" s="136"/>
      <c r="H30" s="136"/>
      <c r="I30" s="136"/>
    </row>
    <row r="31" spans="1:35" s="2443" customFormat="1" ht="15" thickBot="1">
      <c r="A31" s="2442"/>
      <c r="B31" s="2442"/>
      <c r="C31" s="2442"/>
      <c r="D31" s="2442"/>
      <c r="E31" s="136"/>
      <c r="F31" s="136"/>
      <c r="G31" s="136"/>
      <c r="H31" s="136"/>
      <c r="I31" s="136"/>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75" thickBot="1">
      <c r="A32" s="2444" t="s">
        <v>2164</v>
      </c>
      <c r="B32" s="2445"/>
      <c r="C32" s="152">
        <f ca="1">IF(D32="总价",G19-C24,G20-C25)</f>
        <v>178880</v>
      </c>
      <c r="D32" s="2446" t="s">
        <v>2165</v>
      </c>
      <c r="E32" s="136"/>
      <c r="F32" s="136"/>
      <c r="G32" s="136"/>
      <c r="H32" s="136"/>
      <c r="I32" s="136"/>
    </row>
    <row r="33" spans="1:15" ht="15">
      <c r="A33" s="959" t="s">
        <v>2166</v>
      </c>
      <c r="B33" s="2447"/>
      <c r="C33" s="2448" t="s">
        <v>3217</v>
      </c>
      <c r="D33" s="2449" t="s">
        <v>3146</v>
      </c>
      <c r="E33" s="2450" t="s">
        <v>2167</v>
      </c>
      <c r="F33" s="2451" t="str">
        <f>IF(D32="楼面单价","取值（单价）","取值（总价）")</f>
        <v>取值（总价）</v>
      </c>
      <c r="G33" s="136"/>
      <c r="H33" s="136"/>
      <c r="I33" s="136"/>
    </row>
    <row r="34" spans="1:15" ht="15">
      <c r="A34" s="2452"/>
      <c r="B34" s="2453" t="s">
        <v>2168</v>
      </c>
      <c r="C34" s="156">
        <f ca="1">IF(C33="自定义",F34,C32-C35)</f>
        <v>168863</v>
      </c>
      <c r="D34" s="1056">
        <f ca="1">IF(C33="自定义",ROUND(C34/C32,3),IF(C33="收益比率",SUMIF(INDIRECT("'"&amp;D33&amp;"'"&amp;"!b:b"),"土地收益比率",INDIRECT("'"&amp;D33&amp;"'"&amp;"!c:c")),SUMIF(INDIRECT("'"&amp;D33&amp;"'"&amp;"!b:b"),"土地成本比率",INDIRECT("'"&amp;D33&amp;"'"&amp;"!c:c"))))</f>
        <v>0.94399999999999995</v>
      </c>
      <c r="E34" s="2454" t="s">
        <v>2169</v>
      </c>
      <c r="F34" s="1737"/>
      <c r="G34" s="136"/>
      <c r="H34" s="136"/>
      <c r="I34" s="136"/>
    </row>
    <row r="35" spans="1:15" ht="15.75" thickBot="1">
      <c r="A35" s="2455"/>
      <c r="B35" s="2456" t="s">
        <v>2170</v>
      </c>
      <c r="C35" s="1441">
        <f ca="1">IF(C33="自定义",F35,ROUND(C32*D35,0))</f>
        <v>10017</v>
      </c>
      <c r="D35" s="1442">
        <f ca="1">IF(C33="自定义",ROUND(C35/C32,3),IF(C33="收益比率",SUMIF(INDIRECT("'"&amp;D33&amp;"'"&amp;"!b:b"),"建筑物收益比率",INDIRECT("'"&amp;D33&amp;"'"&amp;"!c:c")),SUMIF(INDIRECT("'"&amp;D33&amp;"'"&amp;"!b:b"),"建筑物成本比率",INDIRECT("'"&amp;D33&amp;"'"&amp;"!c:c"))))</f>
        <v>5.6000000000000001E-2</v>
      </c>
      <c r="E35" s="2457" t="s">
        <v>2171</v>
      </c>
      <c r="F35" s="162"/>
      <c r="G35" s="136"/>
      <c r="H35" s="136"/>
      <c r="I35" s="136"/>
    </row>
    <row r="36" spans="1:15" ht="15.75" thickBot="1">
      <c r="A36" s="3064" t="s">
        <v>2172</v>
      </c>
      <c r="B36" s="2458" t="s">
        <v>2173</v>
      </c>
      <c r="C36" s="153"/>
      <c r="D36" s="2459"/>
      <c r="E36" s="2460"/>
      <c r="F36" s="2461"/>
      <c r="G36" s="136"/>
      <c r="H36" s="136"/>
      <c r="I36" s="136"/>
    </row>
    <row r="37" spans="1:15" ht="15.75" thickBot="1">
      <c r="A37" s="3065"/>
      <c r="B37" s="2263" t="s">
        <v>2174</v>
      </c>
      <c r="C37" s="155"/>
      <c r="D37" s="1392"/>
      <c r="E37" s="1392"/>
      <c r="F37" s="2461"/>
      <c r="G37" s="136"/>
      <c r="H37" s="136"/>
      <c r="I37" s="136"/>
    </row>
    <row r="38" spans="1:15" ht="15.75" thickBot="1">
      <c r="A38" s="3066"/>
      <c r="B38" s="2462" t="s">
        <v>2175</v>
      </c>
      <c r="C38" s="726"/>
      <c r="D38" s="2463" t="s">
        <v>2176</v>
      </c>
      <c r="E38" s="1392"/>
      <c r="F38" s="2461"/>
      <c r="G38" s="136"/>
      <c r="H38" s="136"/>
      <c r="I38" s="136"/>
    </row>
    <row r="39" spans="1:15" ht="15">
      <c r="A39" s="2434" t="s">
        <v>2177</v>
      </c>
      <c r="B39" s="2464" t="s">
        <v>2178</v>
      </c>
      <c r="C39" s="2465" t="s">
        <v>2179</v>
      </c>
      <c r="D39" s="2465" t="s">
        <v>2180</v>
      </c>
      <c r="E39" s="2466" t="s">
        <v>2181</v>
      </c>
      <c r="F39" s="2461"/>
      <c r="G39" s="136"/>
      <c r="H39" s="136"/>
      <c r="I39" s="136"/>
    </row>
    <row r="40" spans="1:15" ht="14.25">
      <c r="A40" s="2467" t="s">
        <v>2182</v>
      </c>
      <c r="B40" s="157"/>
      <c r="C40" s="158"/>
      <c r="D40" s="158"/>
      <c r="E40" s="159"/>
      <c r="F40" s="2461"/>
      <c r="G40" s="136"/>
      <c r="H40" s="136"/>
      <c r="I40" s="136"/>
    </row>
    <row r="41" spans="1:15" ht="14.25">
      <c r="A41" s="2467" t="s">
        <v>2183</v>
      </c>
      <c r="B41" s="157"/>
      <c r="C41" s="158"/>
      <c r="D41" s="158"/>
      <c r="E41" s="159"/>
      <c r="F41" s="2461"/>
      <c r="G41" s="136"/>
      <c r="H41" s="136"/>
      <c r="I41" s="136"/>
    </row>
    <row r="42" spans="1:15" ht="15" thickBot="1">
      <c r="A42" s="2468"/>
      <c r="B42" s="160"/>
      <c r="C42" s="161"/>
      <c r="D42" s="161"/>
      <c r="E42" s="162"/>
      <c r="F42" s="2461"/>
      <c r="G42" s="136"/>
      <c r="H42" s="136"/>
      <c r="I42" s="136"/>
    </row>
    <row r="43" spans="1:15" ht="12.75">
      <c r="A43" s="2161"/>
      <c r="B43" s="2161"/>
      <c r="C43" s="2161"/>
      <c r="D43" s="2161"/>
      <c r="E43" s="2161"/>
      <c r="F43" s="2469"/>
      <c r="G43" s="2469"/>
      <c r="H43" s="2469"/>
      <c r="I43" s="2470"/>
    </row>
    <row r="44" spans="1:15" ht="18.75">
      <c r="A44" s="2471" t="s">
        <v>2184</v>
      </c>
      <c r="B44" s="2472"/>
      <c r="C44" s="2472"/>
      <c r="D44" s="2473"/>
      <c r="E44" s="2473"/>
      <c r="F44" s="2474"/>
      <c r="G44" s="2474"/>
      <c r="H44" s="2474"/>
      <c r="I44" s="2474"/>
      <c r="J44" s="2475" t="s">
        <v>2185</v>
      </c>
      <c r="K44" s="2476"/>
      <c r="L44" s="2476"/>
      <c r="M44" s="2476"/>
      <c r="N44" s="2476"/>
      <c r="O44" s="2476"/>
    </row>
    <row r="45" spans="1:15" ht="14.25" customHeight="1" thickBot="1">
      <c r="A45" s="3043" t="s">
        <v>2186</v>
      </c>
      <c r="B45" s="3044"/>
      <c r="C45" s="3045"/>
      <c r="D45" s="163">
        <f ca="1">ROUND(H101*F45,0)</f>
        <v>178880</v>
      </c>
      <c r="E45" s="164" t="s">
        <v>2187</v>
      </c>
      <c r="F45" s="165">
        <v>1</v>
      </c>
      <c r="G45" s="166" t="s">
        <v>2188</v>
      </c>
      <c r="H45" s="136"/>
      <c r="I45" s="136"/>
      <c r="J45" s="3103" t="s">
        <v>2189</v>
      </c>
      <c r="K45" s="3103"/>
      <c r="L45" s="3103"/>
      <c r="M45" s="3103"/>
      <c r="N45" s="3103"/>
      <c r="O45" s="3103"/>
    </row>
    <row r="46" spans="1:15" ht="14.25" customHeight="1">
      <c r="A46" s="3040" t="s">
        <v>2190</v>
      </c>
      <c r="B46" s="3041"/>
      <c r="C46" s="3041"/>
      <c r="D46" s="3041"/>
      <c r="E46" s="3041"/>
      <c r="F46" s="3041"/>
      <c r="G46" s="3042"/>
      <c r="H46" s="2477"/>
      <c r="I46" s="167"/>
      <c r="J46" s="1810">
        <v>1</v>
      </c>
      <c r="K46" s="3103" t="s">
        <v>2191</v>
      </c>
      <c r="L46" s="3103"/>
      <c r="M46" s="3123"/>
      <c r="N46" s="3123"/>
      <c r="O46" s="3123"/>
    </row>
    <row r="47" spans="1:15" ht="12" customHeight="1">
      <c r="A47" s="168" t="s">
        <v>2192</v>
      </c>
      <c r="B47" s="169"/>
      <c r="C47" s="170"/>
      <c r="D47" s="171" t="s">
        <v>2193</v>
      </c>
      <c r="E47" s="24" t="s">
        <v>2194</v>
      </c>
      <c r="F47" s="172" t="s">
        <v>2195</v>
      </c>
      <c r="G47" s="173" t="s">
        <v>2196</v>
      </c>
      <c r="H47" s="2477"/>
      <c r="I47" s="167"/>
      <c r="J47" s="1810">
        <v>2</v>
      </c>
      <c r="K47" s="3103" t="s">
        <v>2197</v>
      </c>
      <c r="L47" s="3103"/>
      <c r="M47" s="3124">
        <f>'数据-取费表'!B2</f>
        <v>43025</v>
      </c>
      <c r="N47" s="3124"/>
      <c r="O47" s="3124"/>
    </row>
    <row r="48" spans="1:15" ht="25.5">
      <c r="A48" s="3071" t="s">
        <v>2198</v>
      </c>
      <c r="B48" s="3054"/>
      <c r="C48" s="3054"/>
      <c r="D48" s="138">
        <f>IF(H48="情况1",0,IF(H48="情况2",D52,IF(H48="情况3",D53,IF(H48="情况4",D54))))</f>
        <v>0</v>
      </c>
      <c r="E48" s="1799" t="str">
        <f>IF(H48="情况4","(销售额-原购置价)×税（费）率","销售额×税（费）率")</f>
        <v>销售额×税（费）率</v>
      </c>
      <c r="F48" s="174" t="str">
        <f>IF(H48="情况1","免征",'数据-取费表'!B41)</f>
        <v>免征</v>
      </c>
      <c r="G48" s="2478" t="s">
        <v>2199</v>
      </c>
      <c r="H48" s="2479" t="s">
        <v>2200</v>
      </c>
      <c r="I48" s="2477"/>
      <c r="J48" s="1810">
        <v>3</v>
      </c>
      <c r="K48" s="3103" t="s">
        <v>2201</v>
      </c>
      <c r="L48" s="3103"/>
      <c r="M48" s="3125">
        <f ca="1">H101</f>
        <v>178880</v>
      </c>
      <c r="N48" s="3125"/>
      <c r="O48" s="3125"/>
    </row>
    <row r="49" spans="1:35" ht="25.5" customHeight="1">
      <c r="A49" s="175" t="s">
        <v>2202</v>
      </c>
      <c r="B49" s="3039" t="s">
        <v>2203</v>
      </c>
      <c r="C49" s="3039"/>
      <c r="D49" s="176">
        <v>0</v>
      </c>
      <c r="E49" s="23" t="s">
        <v>2204</v>
      </c>
      <c r="F49" s="28" t="s">
        <v>34</v>
      </c>
      <c r="G49" s="3109"/>
      <c r="H49" s="136"/>
      <c r="I49" s="2480"/>
      <c r="J49" s="1810">
        <v>4</v>
      </c>
      <c r="K49" s="3103" t="str">
        <f>IF(项目基本情况!E8="房地产抵押价值","房地产抵押价值","抵押担保权已注销时的房地产抵押价值")</f>
        <v>抵押担保权已注销时的房地产抵押价值</v>
      </c>
      <c r="L49" s="3103"/>
      <c r="M49" s="3125">
        <f ca="1">IF(项目基本情况!E8="房地产抵押价值",H107,H109)</f>
        <v>178880</v>
      </c>
      <c r="N49" s="3125"/>
      <c r="O49" s="3125"/>
    </row>
    <row r="50" spans="1:35" ht="25.5" customHeight="1">
      <c r="A50" s="177"/>
      <c r="B50" s="3039" t="s">
        <v>2205</v>
      </c>
      <c r="C50" s="3039"/>
      <c r="D50" s="178"/>
      <c r="E50" s="31"/>
      <c r="F50" s="179"/>
      <c r="G50" s="3110"/>
      <c r="H50" s="136"/>
      <c r="I50" s="2480"/>
      <c r="J50" s="3103" t="s">
        <v>2206</v>
      </c>
      <c r="K50" s="3103"/>
      <c r="L50" s="3103"/>
      <c r="M50" s="3103"/>
      <c r="N50" s="3103"/>
      <c r="O50" s="3103"/>
    </row>
    <row r="51" spans="1:35" ht="12" customHeight="1">
      <c r="A51" s="180"/>
      <c r="B51" s="3039" t="s">
        <v>2207</v>
      </c>
      <c r="C51" s="3039"/>
      <c r="D51" s="181"/>
      <c r="E51" s="30"/>
      <c r="F51" s="179"/>
      <c r="G51" s="3111"/>
      <c r="H51" s="136"/>
      <c r="I51" s="2480"/>
      <c r="J51" s="2481" t="s">
        <v>2208</v>
      </c>
      <c r="K51" s="3103" t="s">
        <v>2209</v>
      </c>
      <c r="L51" s="3103"/>
      <c r="M51" s="2481" t="s">
        <v>2210</v>
      </c>
      <c r="N51" s="2481" t="s">
        <v>2211</v>
      </c>
      <c r="O51" s="2481" t="s">
        <v>2212</v>
      </c>
    </row>
    <row r="52" spans="1:35" ht="24" customHeight="1">
      <c r="A52" s="182" t="s">
        <v>2213</v>
      </c>
      <c r="B52" s="3039" t="s">
        <v>2214</v>
      </c>
      <c r="C52" s="3039"/>
      <c r="D52" s="181">
        <f ca="1">ROUND(D45*'数据-取费表'!B41/(1+'数据-取费表'!C42),0)</f>
        <v>10624</v>
      </c>
      <c r="E52" s="11" t="s">
        <v>2215</v>
      </c>
      <c r="F52" s="183">
        <f>'数据-取费表'!B41</f>
        <v>6.2719999999999998E-2</v>
      </c>
      <c r="G52" s="2482"/>
      <c r="H52" s="136"/>
      <c r="I52" s="2480"/>
      <c r="J52" s="1810">
        <v>1</v>
      </c>
      <c r="K52" s="3104" t="s">
        <v>2216</v>
      </c>
      <c r="L52" s="3104"/>
      <c r="M52" s="1752">
        <f>D48</f>
        <v>0</v>
      </c>
      <c r="N52" s="1810" t="str">
        <f>E48</f>
        <v>销售额×税（费）率</v>
      </c>
      <c r="O52" s="1753" t="str">
        <f>F48</f>
        <v>免征</v>
      </c>
    </row>
    <row r="53" spans="1:35" ht="12" customHeight="1">
      <c r="A53" s="182" t="s">
        <v>2217</v>
      </c>
      <c r="B53" s="3062" t="s">
        <v>2218</v>
      </c>
      <c r="C53" s="3063"/>
      <c r="D53" s="181">
        <f ca="1">ROUND(D45*'数据-取费表'!B41/(1+'数据-取费表'!C42),0)</f>
        <v>10624</v>
      </c>
      <c r="E53" s="11" t="s">
        <v>2215</v>
      </c>
      <c r="F53" s="183">
        <f>'数据-取费表'!B41</f>
        <v>6.2719999999999998E-2</v>
      </c>
      <c r="G53" s="2482"/>
      <c r="H53" s="136"/>
      <c r="I53" s="2480"/>
      <c r="J53" s="1810">
        <v>2</v>
      </c>
      <c r="K53" s="3104" t="s">
        <v>2219</v>
      </c>
      <c r="L53" s="3104"/>
      <c r="M53" s="1752">
        <f t="shared" ref="M53:O54" ca="1" si="0">D55</f>
        <v>89</v>
      </c>
      <c r="N53" s="1810" t="str">
        <f t="shared" si="0"/>
        <v>销售额×税（费）率</v>
      </c>
      <c r="O53" s="1753">
        <f t="shared" si="0"/>
        <v>5.0000000000000001E-4</v>
      </c>
    </row>
    <row r="54" spans="1:35" ht="12" customHeight="1">
      <c r="A54" s="182" t="s">
        <v>2220</v>
      </c>
      <c r="B54" s="3062" t="s">
        <v>2221</v>
      </c>
      <c r="C54" s="3063"/>
      <c r="D54" s="181">
        <f ca="1">C68</f>
        <v>10624</v>
      </c>
      <c r="E54" s="30" t="s">
        <v>2222</v>
      </c>
      <c r="F54" s="183">
        <f>'数据-取费表'!B41</f>
        <v>6.2719999999999998E-2</v>
      </c>
      <c r="G54" s="2482"/>
      <c r="H54" s="2483"/>
      <c r="I54" s="2480"/>
      <c r="J54" s="1810">
        <v>3</v>
      </c>
      <c r="K54" s="3104" t="s">
        <v>2223</v>
      </c>
      <c r="L54" s="3104"/>
      <c r="M54" s="1752">
        <f t="shared" ca="1" si="0"/>
        <v>100555</v>
      </c>
      <c r="N54" s="1810" t="str">
        <f t="shared" si="0"/>
        <v>增值额×税（费）率</v>
      </c>
      <c r="O54" s="1754" t="str">
        <f t="shared" si="0"/>
        <v>——</v>
      </c>
    </row>
    <row r="55" spans="1:35" ht="24" customHeight="1">
      <c r="A55" s="3053" t="s">
        <v>2224</v>
      </c>
      <c r="B55" s="3054"/>
      <c r="C55" s="3054"/>
      <c r="D55" s="184">
        <f ca="1">IF(H55="个人住宅",0,ROUND(D45*I55,0))</f>
        <v>89</v>
      </c>
      <c r="E55" s="11" t="s">
        <v>2225</v>
      </c>
      <c r="F55" s="183">
        <f>IF(H55="正常",I55,"免征")</f>
        <v>5.0000000000000001E-4</v>
      </c>
      <c r="G55" s="2482"/>
      <c r="H55" s="2479" t="s">
        <v>2226</v>
      </c>
      <c r="I55" s="185">
        <f>'数据-取费表'!B49</f>
        <v>5.0000000000000001E-4</v>
      </c>
      <c r="J55" s="1810" t="str">
        <f>IF(H59="非个人房产","",4)</f>
        <v/>
      </c>
      <c r="K55" s="3104" t="str">
        <f>IF(H59="非个人房产","——","个人所得税")</f>
        <v>——</v>
      </c>
      <c r="L55" s="3104"/>
      <c r="M55" s="1755" t="str">
        <f>D59</f>
        <v>——</v>
      </c>
      <c r="N55" s="1808" t="str">
        <f>E59</f>
        <v>——</v>
      </c>
      <c r="O55" s="1756" t="str">
        <f>F59</f>
        <v>——</v>
      </c>
    </row>
    <row r="56" spans="1:35" ht="24.75">
      <c r="A56" s="3053" t="s">
        <v>2227</v>
      </c>
      <c r="B56" s="3054"/>
      <c r="C56" s="3054"/>
      <c r="D56" s="184">
        <f ca="1">IF(H56="个人住宅",D57,D58)</f>
        <v>100555</v>
      </c>
      <c r="E56" s="11" t="s">
        <v>2228</v>
      </c>
      <c r="F56" s="183" t="str">
        <f>IF(H56="正常",F58,"免征")</f>
        <v>——</v>
      </c>
      <c r="G56" s="2484" t="s">
        <v>2229</v>
      </c>
      <c r="H56" s="2485" t="s">
        <v>2226</v>
      </c>
      <c r="I56" s="2486"/>
      <c r="J56" s="1810" t="str">
        <f>IF(项目基本情况!K6="上海银行",IF(J55="",4,J55+1),"")</f>
        <v/>
      </c>
      <c r="K56" s="3127" t="str">
        <f>IF(项目基本情况!K6="上海银行","其他处置费用","")</f>
        <v/>
      </c>
      <c r="L56" s="3128"/>
      <c r="M56" s="1752" t="str">
        <f>IF(项目基本情况!K6="上海银行",M69,"")</f>
        <v/>
      </c>
      <c r="N56" s="3130" t="str">
        <f>IF(项目基本情况!K6="上海银行","包含处置中涉及的律师、诉讼、拍卖、评估等费用","")</f>
        <v/>
      </c>
      <c r="O56" s="3131"/>
    </row>
    <row r="57" spans="1:35" ht="12.75">
      <c r="A57" s="182" t="s">
        <v>2202</v>
      </c>
      <c r="B57" s="3069" t="s">
        <v>2230</v>
      </c>
      <c r="C57" s="3078"/>
      <c r="D57" s="186">
        <v>0</v>
      </c>
      <c r="E57" s="23" t="s">
        <v>2204</v>
      </c>
      <c r="F57" s="154"/>
      <c r="G57" s="2482"/>
      <c r="H57" s="2486"/>
      <c r="I57" s="2486"/>
      <c r="J57" s="3104">
        <f>IF(AND(J55="",J56=""),4,IF(项目基本情况!K6="上海银行",结果表!J56+1,结果表!J55+1))</f>
        <v>4</v>
      </c>
      <c r="K57" s="3104" t="s">
        <v>2231</v>
      </c>
      <c r="L57" s="2487" t="s">
        <v>2232</v>
      </c>
      <c r="M57" s="1757"/>
      <c r="N57" s="1758">
        <f ca="1">SUMIF(M52:M56,"&lt;9e307")</f>
        <v>100644</v>
      </c>
      <c r="O57" s="2488"/>
      <c r="P57" s="1751">
        <f ca="1">N57/M49</f>
        <v>0.56263416815742395</v>
      </c>
    </row>
    <row r="58" spans="1:35" ht="24.75">
      <c r="A58" s="182" t="s">
        <v>2213</v>
      </c>
      <c r="B58" s="3069" t="s">
        <v>2233</v>
      </c>
      <c r="C58" s="3070"/>
      <c r="D58" s="184">
        <f ca="1">IF(H58="转让取得",C81,C97)</f>
        <v>100555</v>
      </c>
      <c r="E58" s="11" t="s">
        <v>2228</v>
      </c>
      <c r="F58" s="24" t="s">
        <v>34</v>
      </c>
      <c r="G58" s="2482"/>
      <c r="H58" s="2485" t="s">
        <v>2234</v>
      </c>
      <c r="I58" s="2486"/>
      <c r="J58" s="3104"/>
      <c r="K58" s="3104"/>
      <c r="L58" s="2487" t="s">
        <v>2235</v>
      </c>
      <c r="M58" s="1759"/>
      <c r="N58" s="2489" t="str">
        <f ca="1">NUMBERSTRING(INT(N57*10000),2)&amp;"元整"</f>
        <v>壹拾亿零陆佰肆拾肆万元整</v>
      </c>
      <c r="O58" s="2490"/>
    </row>
    <row r="59" spans="1:35" ht="24.75" thickBot="1">
      <c r="A59" s="3107" t="s">
        <v>2236</v>
      </c>
      <c r="B59" s="3108"/>
      <c r="C59" s="3108"/>
      <c r="D59" s="187" t="str">
        <f>IF(H59="非个人房产","——",IF(H59="个人住宅",0,ROUND(D45*I59,0)))</f>
        <v>——</v>
      </c>
      <c r="E59" s="188" t="str">
        <f>IF(H59="非个人房产","——","销售额×税（费）率")</f>
        <v>——</v>
      </c>
      <c r="F59" s="189" t="str">
        <f>IF(H59="非个人房产","——",IF(H59="个人住宅","免征",I59))</f>
        <v>——</v>
      </c>
      <c r="G59" s="2491" t="s">
        <v>2229</v>
      </c>
      <c r="H59" s="2485" t="s">
        <v>2237</v>
      </c>
      <c r="I59" s="190">
        <v>0.01</v>
      </c>
      <c r="J59" s="3105">
        <f>J57+1</f>
        <v>5</v>
      </c>
      <c r="K59" s="3104" t="s">
        <v>2238</v>
      </c>
      <c r="L59" s="1810" t="s">
        <v>2232</v>
      </c>
      <c r="M59" s="1760"/>
      <c r="N59" s="1761">
        <f ca="1">M49-N57</f>
        <v>78236</v>
      </c>
      <c r="O59" s="2492"/>
    </row>
    <row r="60" spans="1:35" ht="12" customHeight="1">
      <c r="A60" s="2493"/>
      <c r="B60" s="2415"/>
      <c r="C60" s="2415"/>
      <c r="D60" s="2415"/>
      <c r="E60" s="2162"/>
      <c r="F60" s="2486"/>
      <c r="G60" s="2486"/>
      <c r="H60" s="2494"/>
      <c r="I60" s="136"/>
      <c r="J60" s="3106"/>
      <c r="K60" s="3104"/>
      <c r="L60" s="2487" t="s">
        <v>2235</v>
      </c>
      <c r="M60" s="1759"/>
      <c r="N60" s="2489" t="str">
        <f ca="1">NUMBERSTRING(INT(N59*10000),2)&amp;"元整"</f>
        <v>柒亿捌仟贰佰叁拾陆万元整</v>
      </c>
      <c r="O60" s="2490"/>
    </row>
    <row r="61" spans="1:35" ht="13.5" thickBot="1">
      <c r="A61" s="3051" t="s">
        <v>2239</v>
      </c>
      <c r="B61" s="3051"/>
      <c r="C61" s="3051"/>
      <c r="D61" s="3051"/>
      <c r="E61" s="3051"/>
      <c r="F61" s="2486"/>
      <c r="G61" s="2486"/>
      <c r="H61" s="2494"/>
      <c r="I61" s="136"/>
      <c r="J61" s="1810">
        <f>J59+1</f>
        <v>6</v>
      </c>
      <c r="K61" s="3104" t="s">
        <v>2240</v>
      </c>
      <c r="L61" s="3104"/>
      <c r="M61" s="1762"/>
      <c r="N61" s="1763">
        <f ca="1">ROUND(N59*10000/'数据-汇总表'!E3,0)</f>
        <v>3725</v>
      </c>
      <c r="O61" s="2495"/>
    </row>
    <row r="62" spans="1:35" ht="12.75">
      <c r="A62" s="3067" t="s">
        <v>2241</v>
      </c>
      <c r="B62" s="3068"/>
      <c r="C62" s="1802"/>
      <c r="D62" s="1802" t="s">
        <v>2242</v>
      </c>
      <c r="E62" s="191" t="s">
        <v>2243</v>
      </c>
      <c r="F62" s="2486"/>
      <c r="G62" s="2486"/>
      <c r="H62" s="2494"/>
      <c r="I62" s="136"/>
    </row>
    <row r="63" spans="1:35" ht="12.75">
      <c r="A63" s="202" t="s">
        <v>775</v>
      </c>
      <c r="B63" s="192" t="s">
        <v>2244</v>
      </c>
      <c r="C63" s="193">
        <f ca="1">ROUND((C64+C65)/(1+'数据-取费表'!C42),0)</f>
        <v>169394</v>
      </c>
      <c r="D63" s="194"/>
      <c r="E63" s="195"/>
      <c r="F63" s="2486"/>
      <c r="G63" s="2486"/>
      <c r="H63" s="2494"/>
      <c r="I63" s="136"/>
      <c r="J63" s="3129" t="s">
        <v>2245</v>
      </c>
      <c r="K63" s="2496" t="s">
        <v>2246</v>
      </c>
      <c r="L63" s="1750">
        <f ca="1">IF(M49&gt;10000,M49*0.5%,IF(AND(M49&gt;1000,M49&lt;=10000),M49*1%,IF(AND(M49&gt;100,M49&lt;=1000),M49*3%,IF(AND(M49&gt;10,M49&lt;=100),M49*5%,M49*8%))))</f>
        <v>894.4</v>
      </c>
      <c r="M63" s="24">
        <f ca="1">ROUND(L63,1)</f>
        <v>894.4</v>
      </c>
      <c r="Z63" s="2420"/>
      <c r="AI63" s="2421"/>
    </row>
    <row r="64" spans="1:35" ht="14.25" customHeight="1">
      <c r="A64" s="196" t="s">
        <v>770</v>
      </c>
      <c r="B64" s="197" t="s">
        <v>2247</v>
      </c>
      <c r="C64" s="198">
        <f ca="1">D45</f>
        <v>178880</v>
      </c>
      <c r="D64" s="199" t="s">
        <v>32</v>
      </c>
      <c r="E64" s="200"/>
      <c r="F64" s="2486"/>
      <c r="G64" s="2486"/>
      <c r="H64" s="2494"/>
      <c r="I64" s="136"/>
      <c r="J64" s="3129"/>
      <c r="K64" s="2496" t="s">
        <v>2248</v>
      </c>
      <c r="L64" s="1750">
        <f ca="1">IF(M49&gt;2000,M49*0.5%,IF(AND(M49&gt;1000,M49&lt;=2000),M49*0.6%,IF(AND(M49&gt;500,M49&lt;=1000),M49*0.7%,IF(AND(M49&gt;200,M49&lt;=500),M49*0.8%,IF(AND(M49&gt;100,M49&lt;=200),M49*0.9%,IF(AND(M49&gt;50,M49&lt;=100),M49*1%,IF(AND(M49&gt;20,M49&lt;=50),M49*1.5%,IF(AND(M49&gt;10,M49&lt;=20),M49*2%,IF(AND(M49&gt;1,M49&lt;=10),M49*2.5%)))))))))</f>
        <v>894.4</v>
      </c>
      <c r="M64" s="24">
        <f t="shared" ref="M64:M65" ca="1" si="1">ROUND(L64,1)</f>
        <v>894.4</v>
      </c>
      <c r="N64" s="136" t="s">
        <v>2249</v>
      </c>
      <c r="Z64" s="2420"/>
      <c r="AI64" s="2421"/>
    </row>
    <row r="65" spans="1:35" ht="14.25" customHeight="1">
      <c r="A65" s="196" t="s">
        <v>771</v>
      </c>
      <c r="B65" s="197" t="s">
        <v>2250</v>
      </c>
      <c r="C65" s="201"/>
      <c r="D65" s="199"/>
      <c r="E65" s="200"/>
      <c r="F65" s="2486"/>
      <c r="G65" s="2486"/>
      <c r="H65" s="2494"/>
      <c r="I65" s="136"/>
      <c r="J65" s="3129"/>
      <c r="K65" s="2496" t="s">
        <v>2251</v>
      </c>
      <c r="L65" s="1750">
        <f ca="1">IF(M49&gt;1000,M49*0.1%,IF(AND(M49&gt;500,M49&lt;=1000),M49*0.5%,IF(AND(M49&gt;50,M49&lt;=500),M49*1%,IF(AND(M49&gt;1,M49&lt;=50),M49*1.5%))))</f>
        <v>178.88</v>
      </c>
      <c r="M65" s="24">
        <f t="shared" ca="1" si="1"/>
        <v>178.9</v>
      </c>
      <c r="N65" s="136" t="s">
        <v>2249</v>
      </c>
      <c r="Z65" s="2420"/>
      <c r="AI65" s="2421"/>
    </row>
    <row r="66" spans="1:35" ht="14.25" customHeight="1">
      <c r="A66" s="202" t="s">
        <v>772</v>
      </c>
      <c r="B66" s="203" t="s">
        <v>2252</v>
      </c>
      <c r="C66" s="204"/>
      <c r="D66" s="205" t="s">
        <v>32</v>
      </c>
      <c r="E66" s="1774" t="s">
        <v>1372</v>
      </c>
      <c r="F66" s="2486"/>
      <c r="G66" s="2486"/>
      <c r="H66" s="2494"/>
      <c r="I66" s="136"/>
      <c r="J66" s="3129"/>
      <c r="K66" s="2496" t="s">
        <v>2253</v>
      </c>
      <c r="L66" s="1750">
        <f ca="1">M49*0.5%</f>
        <v>894.4</v>
      </c>
      <c r="M66" s="24">
        <f ca="1">IF(L66&gt;0.5,0.5,ROUND(L66,0))</f>
        <v>0.5</v>
      </c>
      <c r="N66" s="136" t="s">
        <v>2254</v>
      </c>
      <c r="Z66" s="2420"/>
      <c r="AI66" s="2421"/>
    </row>
    <row r="67" spans="1:35" ht="14.25" customHeight="1">
      <c r="A67" s="202" t="s">
        <v>773</v>
      </c>
      <c r="B67" s="203" t="s">
        <v>2255</v>
      </c>
      <c r="C67" s="206">
        <f ca="1">C63-C66</f>
        <v>169394</v>
      </c>
      <c r="D67" s="199" t="s">
        <v>32</v>
      </c>
      <c r="E67" s="200"/>
      <c r="F67" s="2486"/>
      <c r="G67" s="2486"/>
      <c r="H67" s="2494"/>
      <c r="I67" s="136"/>
      <c r="J67" s="3129"/>
      <c r="K67" s="2496" t="s">
        <v>2256</v>
      </c>
      <c r="L67" s="1750">
        <f ca="1">IF(M49&gt;=10000,(8.25+(M49-10000)*0.01%),IF(AND(M49&gt;=8000,M49&lt;10000),(7.85+(M49-8000)*0.02%),IF(AND(M49&gt;=5000,M49&lt;8000),(6.65+(M49-5000)*0.04%),IF(AND(M49&gt;=2000,M49&lt;5000),(4.25+(PM49-2000)*0.08%),IF(AND(M49&gt;=1000,M49&lt;2000),(2.75+(M49-1000)*0.15%),IF(AND(M49&gt;=100,M49&lt;1000),(0.5+(M49-100)*0.25%),IF(AND(M49&gt;0,M49&lt;100),M49*0.5%)))))))</f>
        <v>25.138000000000002</v>
      </c>
      <c r="M67" s="24">
        <f ca="1">ROUND(L67*0.9,1)</f>
        <v>22.6</v>
      </c>
      <c r="Z67" s="2420"/>
      <c r="AI67" s="2421"/>
    </row>
    <row r="68" spans="1:35" ht="14.25" customHeight="1" thickBot="1">
      <c r="A68" s="207" t="s">
        <v>774</v>
      </c>
      <c r="B68" s="208" t="s">
        <v>2257</v>
      </c>
      <c r="C68" s="209">
        <f ca="1">IF(C67&lt;=0,0,ROUND(C67*D68,0))</f>
        <v>10624</v>
      </c>
      <c r="D68" s="210">
        <f>'数据-取费表'!B41</f>
        <v>6.2719999999999998E-2</v>
      </c>
      <c r="E68" s="211"/>
      <c r="F68" s="2486"/>
      <c r="G68" s="2486"/>
      <c r="H68" s="2494"/>
      <c r="I68" s="136"/>
      <c r="J68" s="3129"/>
      <c r="K68" s="2496" t="s">
        <v>2258</v>
      </c>
      <c r="L68" s="1750">
        <f ca="1">IF(M49&gt;10000,M49*0.5%,IF(AND(M49&gt;5000,M49&lt;=10000),M49*1%,IF(AND(M49&gt;1000,M49&lt;=5000),M49*2%,IF(AND(M49&gt;200,M49&lt;=1000),M49*3%,M49*5%))))</f>
        <v>894.4</v>
      </c>
      <c r="M68" s="24">
        <f ca="1">ROUND(L68,1)</f>
        <v>894.4</v>
      </c>
      <c r="Z68" s="2420"/>
      <c r="AI68" s="2421"/>
    </row>
    <row r="69" spans="1:35" s="2443" customFormat="1" ht="16.5" customHeight="1">
      <c r="A69" s="2497"/>
      <c r="B69" s="2498"/>
      <c r="C69" s="2499"/>
      <c r="D69" s="2500"/>
      <c r="E69" s="2501"/>
      <c r="F69" s="2162"/>
      <c r="G69" s="2162"/>
      <c r="H69" s="2161"/>
      <c r="I69" s="2415"/>
      <c r="J69" s="3129"/>
      <c r="K69" s="2496" t="s">
        <v>2259</v>
      </c>
      <c r="L69" s="2502"/>
      <c r="M69" s="24">
        <f ca="1">ROUND(SUM(M63:M68),0)</f>
        <v>2885</v>
      </c>
      <c r="N69" s="1751">
        <f ca="1">M69/M49</f>
        <v>1.6128130590339892E-2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5" thickBot="1">
      <c r="A70" s="3088" t="s">
        <v>2260</v>
      </c>
      <c r="B70" s="3089"/>
      <c r="C70" s="3089"/>
      <c r="D70" s="3089"/>
      <c r="E70" s="3089"/>
      <c r="F70" s="3089"/>
      <c r="G70" s="3089"/>
      <c r="H70" s="3089"/>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067" t="s">
        <v>2241</v>
      </c>
      <c r="B71" s="3068"/>
      <c r="C71" s="1802"/>
      <c r="D71" s="1802" t="s">
        <v>2242</v>
      </c>
      <c r="E71" s="212" t="s">
        <v>2243</v>
      </c>
      <c r="F71" s="213"/>
      <c r="G71" s="213"/>
      <c r="H71" s="214"/>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2" t="s">
        <v>775</v>
      </c>
      <c r="B72" s="203" t="s">
        <v>2261</v>
      </c>
      <c r="C72" s="206">
        <f ca="1">ROUND(D45/(1+'数据-取费表'!C42),0)</f>
        <v>169394</v>
      </c>
      <c r="D72" s="199" t="s">
        <v>32</v>
      </c>
      <c r="E72" s="1801"/>
      <c r="F72" s="1795"/>
      <c r="G72" s="1795"/>
      <c r="H72" s="215"/>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2" t="s">
        <v>772</v>
      </c>
      <c r="B73" s="172" t="s">
        <v>2262</v>
      </c>
      <c r="C73" s="206">
        <f ca="1">C74+C78</f>
        <v>1138</v>
      </c>
      <c r="D73" s="199" t="s">
        <v>32</v>
      </c>
      <c r="E73" s="1801"/>
      <c r="F73" s="1795"/>
      <c r="G73" s="1795"/>
      <c r="H73" s="215"/>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6" t="s">
        <v>770</v>
      </c>
      <c r="B74" s="197" t="s">
        <v>2263</v>
      </c>
      <c r="C74" s="199">
        <f>ROUND(IF(G77="2016年5月1日后购买",C75/(1+'数据-取费表'!C42)+C76+C77,C75+C76+C77),0)</f>
        <v>0</v>
      </c>
      <c r="D74" s="199" t="s">
        <v>32</v>
      </c>
      <c r="E74" s="1801"/>
      <c r="F74" s="1795"/>
      <c r="G74" s="1795"/>
      <c r="H74" s="215"/>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6" t="s">
        <v>776</v>
      </c>
      <c r="B75" s="197" t="s">
        <v>2264</v>
      </c>
      <c r="C75" s="217"/>
      <c r="D75" s="199" t="s">
        <v>32</v>
      </c>
      <c r="E75" s="218" t="s">
        <v>2265</v>
      </c>
      <c r="F75" s="2508" t="s">
        <v>2266</v>
      </c>
      <c r="G75" s="218" t="s">
        <v>2267</v>
      </c>
      <c r="H75" s="219"/>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6" t="s">
        <v>777</v>
      </c>
      <c r="B76" s="220" t="s">
        <v>2268</v>
      </c>
      <c r="C76" s="199">
        <f>IF(F75="购房发票",ROUND(C75*H75*D76,0),0)</f>
        <v>0</v>
      </c>
      <c r="D76" s="221">
        <v>0.05</v>
      </c>
      <c r="E76" s="3062" t="s">
        <v>2269</v>
      </c>
      <c r="F76" s="3039"/>
      <c r="G76" s="3039"/>
      <c r="H76" s="3087"/>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6" t="s">
        <v>778</v>
      </c>
      <c r="B77" s="197" t="s">
        <v>2270</v>
      </c>
      <c r="C77" s="199">
        <f>ROUND(IF(G77="个人住宅",0,IF(G77="2016年5月1日前购买",C75*D77,C75*D77/(1+'数据-取费表'!C42))),0)</f>
        <v>0</v>
      </c>
      <c r="D77" s="222">
        <f>'数据-取费表'!B48+'数据-取费表'!B49</f>
        <v>3.0499999999999999E-2</v>
      </c>
      <c r="E77" s="15" t="s">
        <v>2271</v>
      </c>
      <c r="F77" s="223"/>
      <c r="G77" s="2510" t="s">
        <v>2272</v>
      </c>
      <c r="H77" s="1806" t="str">
        <f>IF(G77="个人买卖住房","免征印花税"," ")</f>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6" t="s">
        <v>771</v>
      </c>
      <c r="B78" s="197" t="s">
        <v>2273</v>
      </c>
      <c r="C78" s="224">
        <f ca="1">ROUND(D45*D78/(1+'数据-取费表'!C42),0)</f>
        <v>1138</v>
      </c>
      <c r="D78" s="225">
        <f>'数据-取费表'!B43</f>
        <v>6.7200000000000003E-3</v>
      </c>
      <c r="E78" s="3048" t="s">
        <v>2274</v>
      </c>
      <c r="F78" s="3049"/>
      <c r="G78" s="3049"/>
      <c r="H78" s="3058"/>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3" t="s">
        <v>2275</v>
      </c>
      <c r="C79" s="206">
        <f ca="1">C72-C73</f>
        <v>168256</v>
      </c>
      <c r="D79" s="199" t="s">
        <v>32</v>
      </c>
      <c r="E79" s="1801"/>
      <c r="F79" s="1795"/>
      <c r="G79" s="1795"/>
      <c r="H79" s="215"/>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3" t="s">
        <v>2276</v>
      </c>
      <c r="C80" s="226">
        <f ca="1">IF(C79&lt;=0,0,C79/C73)</f>
        <v>147.85237258347979</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5"/>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8" t="s">
        <v>2277</v>
      </c>
      <c r="C81" s="227">
        <f ca="1">ROUND(IF(C79&lt;=0,0,IF(C80&gt;=200%,C79*60%-C73*35%,IF(C80&gt;=100%,C79*50%-C73*15%,IF(C80&gt;=50%,C79*40%-C73*5%,IF(C80&lt;50%,C79*30%,0))))),0)</f>
        <v>100555</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088" t="s">
        <v>2278</v>
      </c>
      <c r="B83" s="3089"/>
      <c r="C83" s="3089"/>
      <c r="D83" s="3089"/>
      <c r="E83" s="3089"/>
      <c r="F83" s="3089"/>
      <c r="G83" s="3089"/>
      <c r="H83" s="3089"/>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067" t="s">
        <v>2241</v>
      </c>
      <c r="B84" s="3068"/>
      <c r="C84" s="1802"/>
      <c r="D84" s="1802" t="s">
        <v>2242</v>
      </c>
      <c r="E84" s="212" t="s">
        <v>2243</v>
      </c>
      <c r="F84" s="213"/>
      <c r="G84" s="213"/>
      <c r="H84" s="232"/>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2" t="s">
        <v>775</v>
      </c>
      <c r="B85" s="203" t="s">
        <v>2261</v>
      </c>
      <c r="C85" s="206">
        <f ca="1">ROUND(D45/(1+'数据-取费表'!C42),0)</f>
        <v>169394</v>
      </c>
      <c r="D85" s="199" t="s">
        <v>32</v>
      </c>
      <c r="E85" s="1801"/>
      <c r="F85" s="1795"/>
      <c r="G85" s="1795"/>
      <c r="H85" s="233"/>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2" t="s">
        <v>772</v>
      </c>
      <c r="B86" s="172" t="s">
        <v>2262</v>
      </c>
      <c r="C86" s="206">
        <f ca="1">IF(H88="仅含出让金",C87+C90+C91+C92+C93+C94,C87+C91+C92+C93+C94)</f>
        <v>1138</v>
      </c>
      <c r="D86" s="234"/>
      <c r="E86" s="1801"/>
      <c r="F86" s="1795"/>
      <c r="G86" s="1795"/>
      <c r="H86" s="233"/>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6" t="s">
        <v>770</v>
      </c>
      <c r="B87" s="197" t="s">
        <v>2279</v>
      </c>
      <c r="C87" s="224">
        <f>C88+C89</f>
        <v>0</v>
      </c>
      <c r="D87" s="225"/>
      <c r="E87" s="1797"/>
      <c r="F87" s="1798"/>
      <c r="G87" s="1798"/>
      <c r="H87" s="1800"/>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6" t="s">
        <v>776</v>
      </c>
      <c r="B88" s="197" t="s">
        <v>2280</v>
      </c>
      <c r="C88" s="235"/>
      <c r="D88" s="225"/>
      <c r="E88" s="236" t="s">
        <v>2281</v>
      </c>
      <c r="F88" s="1798"/>
      <c r="G88" s="237" t="s">
        <v>2282</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6" t="s">
        <v>777</v>
      </c>
      <c r="B89" s="197" t="s">
        <v>2270</v>
      </c>
      <c r="C89" s="224">
        <f>ROUND(C88*D89,0)</f>
        <v>0</v>
      </c>
      <c r="D89" s="225">
        <f>'数据-取费表'!B48+'数据-取费表'!B49</f>
        <v>3.0499999999999999E-2</v>
      </c>
      <c r="E89" s="236" t="s">
        <v>2283</v>
      </c>
      <c r="F89" s="1798"/>
      <c r="G89" s="1798"/>
      <c r="H89" s="1800"/>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6" t="s">
        <v>771</v>
      </c>
      <c r="B90" s="197" t="s">
        <v>2284</v>
      </c>
      <c r="C90" s="235"/>
      <c r="D90" s="225"/>
      <c r="E90" s="236" t="str">
        <f>IF(H88="-","土地取得成本中已包含该笔费用"," ")</f>
        <v/>
      </c>
      <c r="F90" s="1798"/>
      <c r="G90" s="1798"/>
      <c r="H90" s="1800"/>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6" t="s">
        <v>2285</v>
      </c>
      <c r="B91" s="197" t="s">
        <v>2286</v>
      </c>
      <c r="C91" s="224">
        <f>IF(H91="——",成本法!C33,I91)</f>
        <v>0</v>
      </c>
      <c r="D91" s="225"/>
      <c r="E91" s="3048" t="s">
        <v>2287</v>
      </c>
      <c r="F91" s="3049"/>
      <c r="G91" s="3049"/>
      <c r="H91" s="2515" t="s">
        <v>2288</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6" t="s">
        <v>2289</v>
      </c>
      <c r="B92" s="197" t="s">
        <v>2290</v>
      </c>
      <c r="C92" s="224">
        <f>ROUND((C87+C90+C91)*D92,0)</f>
        <v>0</v>
      </c>
      <c r="D92" s="225">
        <v>0.1</v>
      </c>
      <c r="E92" s="3048" t="s">
        <v>2291</v>
      </c>
      <c r="F92" s="3049"/>
      <c r="G92" s="3049"/>
      <c r="H92" s="3058"/>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6" t="s">
        <v>2292</v>
      </c>
      <c r="B93" s="197" t="s">
        <v>2273</v>
      </c>
      <c r="C93" s="224">
        <f ca="1">ROUND(D45*D93/(1+'数据-取费表'!C42),0)</f>
        <v>1138</v>
      </c>
      <c r="D93" s="225">
        <f>'数据-取费表'!B43</f>
        <v>6.7200000000000003E-3</v>
      </c>
      <c r="E93" s="3048" t="s">
        <v>2274</v>
      </c>
      <c r="F93" s="3049"/>
      <c r="G93" s="3049"/>
      <c r="H93" s="3058"/>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6" t="s">
        <v>2293</v>
      </c>
      <c r="B94" s="197" t="s">
        <v>2294</v>
      </c>
      <c r="C94" s="235">
        <f>ROUND((C87+C90+C91)*D94,0)</f>
        <v>0</v>
      </c>
      <c r="D94" s="225">
        <v>0.2</v>
      </c>
      <c r="E94" s="3059" t="s">
        <v>2295</v>
      </c>
      <c r="F94" s="3060"/>
      <c r="G94" s="3060"/>
      <c r="H94" s="3061"/>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3" t="s">
        <v>2275</v>
      </c>
      <c r="C95" s="206">
        <f ca="1">ROUND(C85-C86,0)</f>
        <v>168256</v>
      </c>
      <c r="D95" s="199" t="s">
        <v>32</v>
      </c>
      <c r="E95" s="1801"/>
      <c r="F95" s="1795"/>
      <c r="G95" s="1795"/>
      <c r="H95" s="233"/>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3" t="s">
        <v>2276</v>
      </c>
      <c r="C96" s="226">
        <f ca="1">IF(C95&lt;=0,0,C95/C86)</f>
        <v>147.85237258347979</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3"/>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8" t="s">
        <v>2277</v>
      </c>
      <c r="C97" s="227">
        <f ca="1">ROUND(IF(C95&lt;=0,0,IF(C96&gt;=200%,C95*60%-C86*35%,IF(C96&gt;=100%,C95*50%-C86*15%,IF(C96&gt;=50%,C95*40%-C86*5%,IF(C96&lt;50%,C95*30%,0))))),0)</f>
        <v>100555</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2"/>
      <c r="F98" s="2162"/>
      <c r="G98" s="2162"/>
      <c r="H98" s="2161"/>
      <c r="I98" s="136"/>
    </row>
    <row r="99" spans="1:35" ht="21.75" customHeight="1" thickBot="1">
      <c r="A99" s="2471" t="s">
        <v>2296</v>
      </c>
      <c r="B99" s="2415"/>
      <c r="C99" s="2415"/>
      <c r="D99" s="2415"/>
      <c r="E99" s="2162"/>
      <c r="F99" s="2162"/>
      <c r="G99" s="2162"/>
      <c r="H99" s="2161"/>
      <c r="I99" s="136"/>
    </row>
    <row r="100" spans="1:35" ht="18.75" customHeight="1">
      <c r="A100" s="3033" t="s">
        <v>2297</v>
      </c>
      <c r="B100" s="3034"/>
      <c r="C100" s="3034"/>
      <c r="D100" s="3050"/>
      <c r="E100" s="3034" t="s">
        <v>2298</v>
      </c>
      <c r="F100" s="3034"/>
      <c r="G100" s="3034"/>
      <c r="H100" s="3050"/>
      <c r="I100" s="136"/>
    </row>
    <row r="101" spans="1:35" ht="18.75" customHeight="1">
      <c r="A101" s="3112" t="s">
        <v>2299</v>
      </c>
      <c r="B101" s="3113"/>
      <c r="C101" s="735" t="str">
        <f>C4</f>
        <v>成本法</v>
      </c>
      <c r="D101" s="736" t="str">
        <f>D4</f>
        <v>假设开发法</v>
      </c>
      <c r="E101" s="3126" t="s">
        <v>2300</v>
      </c>
      <c r="F101" s="3080"/>
      <c r="G101" s="2517" t="s">
        <v>2301</v>
      </c>
      <c r="H101" s="1046">
        <f ca="1">H118</f>
        <v>178880</v>
      </c>
      <c r="I101" s="136"/>
    </row>
    <row r="102" spans="1:35" ht="18.75" customHeight="1">
      <c r="A102" s="3082" t="s">
        <v>2302</v>
      </c>
      <c r="B102" s="2517" t="s">
        <v>2301</v>
      </c>
      <c r="C102" s="735">
        <f ca="1">C19</f>
        <v>118108</v>
      </c>
      <c r="D102" s="736">
        <f ca="1">D19</f>
        <v>204925</v>
      </c>
      <c r="E102" s="3126"/>
      <c r="F102" s="3080"/>
      <c r="G102" s="2517" t="s">
        <v>2303</v>
      </c>
      <c r="H102" s="370">
        <f ca="1">I118</f>
        <v>8517</v>
      </c>
      <c r="I102" s="136"/>
    </row>
    <row r="103" spans="1:35" ht="42.75" customHeight="1">
      <c r="A103" s="3082"/>
      <c r="B103" s="2517" t="s">
        <v>2303</v>
      </c>
      <c r="C103" s="737">
        <f ca="1">C20</f>
        <v>5624</v>
      </c>
      <c r="D103" s="738">
        <f ca="1">D20</f>
        <v>9757</v>
      </c>
      <c r="E103" s="3121" t="s">
        <v>2304</v>
      </c>
      <c r="F103" s="3122"/>
      <c r="G103" s="2518" t="s">
        <v>2305</v>
      </c>
      <c r="H103" s="1046">
        <f>IF(D36="正常操作",H104+H105+H106,H105+H106)</f>
        <v>0</v>
      </c>
      <c r="I103" s="136"/>
    </row>
    <row r="104" spans="1:35" ht="18.75" customHeight="1">
      <c r="A104" s="3082" t="s">
        <v>2306</v>
      </c>
      <c r="B104" s="2519" t="s">
        <v>2301</v>
      </c>
      <c r="C104" s="739">
        <f ca="1">H118</f>
        <v>178880</v>
      </c>
      <c r="D104" s="740"/>
      <c r="E104" s="2263" t="s">
        <v>2307</v>
      </c>
      <c r="F104" s="2254"/>
      <c r="G104" s="2518" t="s">
        <v>2305</v>
      </c>
      <c r="H104" s="1047">
        <f>IF(D36="同一抵押权人同一抵押物续贷",C36&amp;"（未扣减，详见特别提示）",C36)</f>
        <v>0</v>
      </c>
      <c r="I104" s="136"/>
    </row>
    <row r="105" spans="1:35" ht="18.75" customHeight="1" thickBot="1">
      <c r="A105" s="3083"/>
      <c r="B105" s="2520" t="s">
        <v>2303</v>
      </c>
      <c r="C105" s="741">
        <f ca="1">I118</f>
        <v>8517</v>
      </c>
      <c r="D105" s="742"/>
      <c r="E105" s="2263" t="s">
        <v>2308</v>
      </c>
      <c r="F105" s="2254"/>
      <c r="G105" s="2518" t="s">
        <v>2305</v>
      </c>
      <c r="H105" s="1047">
        <f>C37</f>
        <v>0</v>
      </c>
      <c r="I105" s="136"/>
    </row>
    <row r="106" spans="1:35" ht="18.75" customHeight="1">
      <c r="A106" s="2415" t="s">
        <v>2309</v>
      </c>
      <c r="B106" s="2415"/>
      <c r="C106" s="2415"/>
      <c r="D106" s="2415"/>
      <c r="E106" s="2521" t="s">
        <v>2310</v>
      </c>
      <c r="F106" s="2254"/>
      <c r="G106" s="2518" t="s">
        <v>2305</v>
      </c>
      <c r="H106" s="1047">
        <f>C38</f>
        <v>0</v>
      </c>
      <c r="I106" s="136"/>
    </row>
    <row r="107" spans="1:35" ht="18.75" customHeight="1">
      <c r="A107" s="136"/>
      <c r="B107" s="136"/>
      <c r="C107" s="136"/>
      <c r="D107" s="136"/>
      <c r="E107" s="3079" t="str">
        <f>IF(项目基本情况!E8="已注销","——","3.房地产抵押价值")</f>
        <v>3.房地产抵押价值</v>
      </c>
      <c r="F107" s="3080"/>
      <c r="G107" s="2517" t="s">
        <v>2301</v>
      </c>
      <c r="H107" s="1046">
        <f ca="1">IF(E107="——","——",H101-H103)</f>
        <v>178880</v>
      </c>
      <c r="I107" s="136"/>
    </row>
    <row r="108" spans="1:35" ht="18.75" customHeight="1">
      <c r="A108" s="136"/>
      <c r="B108" s="136"/>
      <c r="C108" s="136"/>
      <c r="D108" s="136"/>
      <c r="E108" s="3079"/>
      <c r="F108" s="3080"/>
      <c r="G108" s="2517" t="s">
        <v>2303</v>
      </c>
      <c r="H108" s="370">
        <f ca="1">ROUND(H107*10000/'数据-汇总表'!E3,0)</f>
        <v>8517</v>
      </c>
      <c r="I108" s="136"/>
    </row>
    <row r="109" spans="1:35" ht="18.75" customHeight="1">
      <c r="A109" s="136"/>
      <c r="B109" s="136"/>
      <c r="C109" s="136"/>
      <c r="D109" s="136"/>
      <c r="E109" s="3079" t="str">
        <f>IF(项目基本情况!E8="已注销及未注销","4.抵押担保权已注销时的房地产抵押价值",IF(项目基本情况!E8="已注销","3.抵押担保权已注销时的房地产抵押价值","——"))</f>
        <v>4.抵押担保权已注销时的房地产抵押价值</v>
      </c>
      <c r="F109" s="3080"/>
      <c r="G109" s="2517" t="s">
        <v>2301</v>
      </c>
      <c r="H109" s="347">
        <f ca="1">IF(E109="——","——",H101-H105-H106)</f>
        <v>178880</v>
      </c>
      <c r="I109" s="136"/>
    </row>
    <row r="110" spans="1:35" ht="18.75" customHeight="1">
      <c r="A110" s="136"/>
      <c r="B110" s="136"/>
      <c r="C110" s="136"/>
      <c r="D110" s="136"/>
      <c r="E110" s="3079"/>
      <c r="F110" s="3080"/>
      <c r="G110" s="2517" t="s">
        <v>2303</v>
      </c>
      <c r="H110" s="370">
        <f ca="1">IF(H109="——","——",ROUND(H109*10000/'数据-汇总表'!E3,0))</f>
        <v>8517</v>
      </c>
      <c r="I110" s="136"/>
    </row>
    <row r="111" spans="1:35" ht="18.75" customHeight="1">
      <c r="A111" s="136"/>
      <c r="B111" s="136"/>
      <c r="C111" s="136"/>
      <c r="D111" s="136"/>
      <c r="E111" s="3114" t="str">
        <f>IF(项目基本情况!E9="抵押净值",IF(OR(项目基本情况!E8="已注销",项目基本情况!E8="房地产抵押价值"),"4.抵押净值","5.抵押净值"),"——")</f>
        <v>——</v>
      </c>
      <c r="F111" s="3115"/>
      <c r="G111" s="2517" t="s">
        <v>2301</v>
      </c>
      <c r="H111" s="1046" t="str">
        <f>IF(E111="——","——",N59)</f>
        <v>——</v>
      </c>
      <c r="I111" s="136"/>
    </row>
    <row r="112" spans="1:35" ht="18.75" customHeight="1" thickBot="1">
      <c r="A112" s="136"/>
      <c r="B112" s="136"/>
      <c r="C112" s="136"/>
      <c r="D112" s="136"/>
      <c r="E112" s="3116"/>
      <c r="F112" s="3117"/>
      <c r="G112" s="2522" t="s">
        <v>2303</v>
      </c>
      <c r="H112" s="789" t="str">
        <f>IF(E111="——","——",N61)</f>
        <v>——</v>
      </c>
      <c r="I112" s="136"/>
    </row>
    <row r="113" spans="1:11" ht="18.75" customHeight="1">
      <c r="A113" s="136"/>
      <c r="B113" s="136"/>
      <c r="C113" s="136"/>
      <c r="D113" s="136"/>
      <c r="E113" s="3084" t="s">
        <v>2309</v>
      </c>
      <c r="F113" s="3084"/>
      <c r="G113" s="3084"/>
      <c r="H113" s="3084"/>
      <c r="I113" s="136"/>
    </row>
    <row r="114" spans="1:11" ht="3.75" customHeight="1">
      <c r="A114" s="2415"/>
      <c r="B114" s="2415"/>
      <c r="C114" s="2415"/>
      <c r="D114" s="2415"/>
      <c r="E114" s="2493"/>
      <c r="F114" s="2493"/>
      <c r="G114" s="2493"/>
      <c r="H114" s="2493"/>
      <c r="I114" s="2415"/>
    </row>
    <row r="115" spans="1:11" ht="18.75" customHeight="1">
      <c r="A115" s="3097" t="s">
        <v>2311</v>
      </c>
      <c r="B115" s="3098"/>
      <c r="C115" s="3098"/>
      <c r="D115" s="3098"/>
      <c r="E115" s="3098"/>
      <c r="F115" s="3098"/>
      <c r="G115" s="3098"/>
      <c r="H115" s="3098"/>
      <c r="I115" s="3099"/>
    </row>
    <row r="116" spans="1:11" ht="27" customHeight="1">
      <c r="A116" s="2990" t="s">
        <v>2312</v>
      </c>
      <c r="B116" s="3085" t="s">
        <v>2313</v>
      </c>
      <c r="C116" s="3085" t="s">
        <v>2314</v>
      </c>
      <c r="D116" s="3101" t="s">
        <v>2315</v>
      </c>
      <c r="E116" s="3102"/>
      <c r="F116" s="3093" t="s">
        <v>2316</v>
      </c>
      <c r="G116" s="3093"/>
      <c r="H116" s="2990" t="s">
        <v>2317</v>
      </c>
      <c r="I116" s="2990"/>
    </row>
    <row r="117" spans="1:11" ht="18.75" customHeight="1">
      <c r="A117" s="2990"/>
      <c r="B117" s="3086"/>
      <c r="C117" s="3086"/>
      <c r="D117" s="1796" t="s">
        <v>2318</v>
      </c>
      <c r="E117" s="1796" t="s">
        <v>2319</v>
      </c>
      <c r="F117" s="1796" t="s">
        <v>2318</v>
      </c>
      <c r="G117" s="1796" t="s">
        <v>2320</v>
      </c>
      <c r="H117" s="1796" t="s">
        <v>2318</v>
      </c>
      <c r="I117" s="1796" t="s">
        <v>2320</v>
      </c>
    </row>
    <row r="118" spans="1:11" ht="24.75" customHeight="1">
      <c r="A118" s="2523" t="str">
        <f>项目基本情况!S2</f>
        <v>陕西省西安市新城区华清西路以南、金花北路以西出让国有建设用地使用权及在建建筑物房地产</v>
      </c>
      <c r="B118" s="1796">
        <f>M18</f>
        <v>210018.96</v>
      </c>
      <c r="C118" s="1796">
        <f>M19</f>
        <v>60943.28</v>
      </c>
      <c r="D118" s="1796">
        <f ca="1">ROUND(IF(D32="总价",C34,E118*B118/10000),0)</f>
        <v>168863</v>
      </c>
      <c r="E118" s="1796">
        <f ca="1">ROUND(IF(C33="自定义",IF(D32="楼面单价",C34,D118*10000/B118),I118-G118),0)</f>
        <v>8040</v>
      </c>
      <c r="F118" s="1796">
        <f ca="1">ROUND(IF(D32="总价",C35,G118*B118/10000),0)</f>
        <v>10017</v>
      </c>
      <c r="G118" s="1796">
        <f ca="1">ROUND(IF(D32="楼面单价",C35,F118*10000/B118),0)</f>
        <v>477</v>
      </c>
      <c r="H118" s="1796">
        <f ca="1">ROUND(IF(D32="总价",C32,I118*B118/10000),0)</f>
        <v>178880</v>
      </c>
      <c r="I118" s="1796">
        <f ca="1">ROUND(IF(D32="楼面单价",C32,H118*10000/B118),0)</f>
        <v>8517</v>
      </c>
    </row>
    <row r="119" spans="1:11" ht="18.75" customHeight="1">
      <c r="A119" s="2990" t="s">
        <v>2321</v>
      </c>
      <c r="B119" s="2990"/>
      <c r="C119" s="2990"/>
      <c r="D119" s="3090" t="str">
        <f ca="1">NUMBERSTRING(INT(D118*10000),2)&amp;"元整"</f>
        <v>壹拾陆亿捌仟捌佰陆拾叁万元整</v>
      </c>
      <c r="E119" s="3092"/>
      <c r="F119" s="3090" t="str">
        <f ca="1">NUMBERSTRING(INT(F118*10000),2)&amp;"元整"</f>
        <v>壹亿零壹拾柒万元整</v>
      </c>
      <c r="G119" s="3092"/>
      <c r="H119" s="3090" t="str">
        <f ca="1">NUMBERSTRING(INT(H118*10000),2)&amp;"元整"</f>
        <v>壹拾柒亿捌仟捌佰捌拾万元整</v>
      </c>
      <c r="I119" s="3092"/>
    </row>
    <row r="120" spans="1:11" ht="18.75" customHeight="1">
      <c r="A120" s="3118" t="str">
        <f>IF(项目基本情况!B9="房地产市场价值","",MID(E103,3,LEN(E103)-2))</f>
        <v>估价师知悉的法定优先受偿款</v>
      </c>
      <c r="B120" s="3119"/>
      <c r="C120" s="3120"/>
      <c r="D120" s="3118">
        <f>H103</f>
        <v>0</v>
      </c>
      <c r="E120" s="3119"/>
      <c r="F120" s="3119"/>
      <c r="G120" s="3119"/>
      <c r="H120" s="3119"/>
      <c r="I120" s="3120"/>
      <c r="K120" s="2420" t="str">
        <f>IF(D120=0,"故，本次评估不存在"&amp;A120,"故，本次评估"&amp;A120&amp;"为人民币"&amp;D120&amp;"万元整。")</f>
        <v>故，本次评估不存在估价师知悉的法定优先受偿款</v>
      </c>
    </row>
    <row r="121" spans="1:11" ht="18.75" customHeight="1">
      <c r="A121" s="3094" t="s">
        <v>2321</v>
      </c>
      <c r="B121" s="3095"/>
      <c r="C121" s="3096"/>
      <c r="D121" s="3090" t="str">
        <f>IF(D120=0,"零元整",NUMBERSTRING(INT(D120*10000),2)&amp;"元整")</f>
        <v>零元整</v>
      </c>
      <c r="E121" s="3091"/>
      <c r="F121" s="3091"/>
      <c r="G121" s="3091"/>
      <c r="H121" s="3091"/>
      <c r="I121" s="3092"/>
    </row>
    <row r="122" spans="1:11" ht="18.75" customHeight="1">
      <c r="A122" s="3081" t="str">
        <f>IF(项目基本情况!B9="房地产市场价值","",MID(E107,3,LEN(E107)-2))</f>
        <v>房地产抵押价值</v>
      </c>
      <c r="B122" s="3081"/>
      <c r="C122" s="3081"/>
      <c r="D122" s="3118">
        <f ca="1">H107</f>
        <v>178880</v>
      </c>
      <c r="E122" s="3119"/>
      <c r="F122" s="3119"/>
      <c r="G122" s="3119"/>
      <c r="H122" s="3119"/>
      <c r="I122" s="3120"/>
    </row>
    <row r="123" spans="1:11" ht="18.75" customHeight="1">
      <c r="A123" s="2990" t="s">
        <v>2321</v>
      </c>
      <c r="B123" s="2990"/>
      <c r="C123" s="2990"/>
      <c r="D123" s="3090" t="str">
        <f ca="1">NUMBERSTRING(INT(D122*10000),2)&amp;"元整"</f>
        <v>壹拾柒亿捌仟捌佰捌拾万元整</v>
      </c>
      <c r="E123" s="3091"/>
      <c r="F123" s="3091"/>
      <c r="G123" s="3091"/>
      <c r="H123" s="3091"/>
      <c r="I123" s="3092"/>
    </row>
    <row r="124" spans="1:11" ht="18.75" customHeight="1">
      <c r="A124" s="3081" t="str">
        <f>IF(项目基本情况!B9="房地产市场价值","",MID(E109,3,LEN(E109)-2))</f>
        <v>抵押担保权已注销时的房地产抵押价值</v>
      </c>
      <c r="B124" s="3081"/>
      <c r="C124" s="3081"/>
      <c r="D124" s="3118">
        <f ca="1">H109</f>
        <v>178880</v>
      </c>
      <c r="E124" s="3119"/>
      <c r="F124" s="3119"/>
      <c r="G124" s="3119"/>
      <c r="H124" s="3119"/>
      <c r="I124" s="3120"/>
    </row>
    <row r="125" spans="1:11" ht="18.75" customHeight="1">
      <c r="A125" s="2990" t="s">
        <v>2321</v>
      </c>
      <c r="B125" s="2990"/>
      <c r="C125" s="2990"/>
      <c r="D125" s="3090" t="str">
        <f ca="1">NUMBERSTRING(INT(D124*10000),2)&amp;"元整"</f>
        <v>壹拾柒亿捌仟捌佰捌拾万元整</v>
      </c>
      <c r="E125" s="3091"/>
      <c r="F125" s="3091"/>
      <c r="G125" s="3091"/>
      <c r="H125" s="3091"/>
      <c r="I125" s="3092"/>
    </row>
    <row r="126" spans="1:11" ht="18.75" customHeight="1">
      <c r="A126" s="3081" t="str">
        <f>IF(项目基本情况!B9="房地产市场价值","",MID(E111,3,LEN(E111)-2))</f>
        <v/>
      </c>
      <c r="B126" s="3081"/>
      <c r="C126" s="3081"/>
      <c r="D126" s="3118" t="str">
        <f>H111</f>
        <v>——</v>
      </c>
      <c r="E126" s="3119"/>
      <c r="F126" s="3119"/>
      <c r="G126" s="3119"/>
      <c r="H126" s="3119"/>
      <c r="I126" s="3120"/>
    </row>
    <row r="127" spans="1:11" ht="18.75" customHeight="1">
      <c r="A127" s="2990" t="s">
        <v>2321</v>
      </c>
      <c r="B127" s="2990"/>
      <c r="C127" s="2990"/>
      <c r="D127" s="3090" t="e">
        <f>NUMBERSTRING(INT(D126*10000),2)&amp;"元整"</f>
        <v>#VALUE!</v>
      </c>
      <c r="E127" s="3091"/>
      <c r="F127" s="3091"/>
      <c r="G127" s="3091"/>
      <c r="H127" s="3091"/>
      <c r="I127" s="3092"/>
    </row>
    <row r="128" spans="1:11" ht="21.75" customHeight="1">
      <c r="A128" s="3100" t="s">
        <v>2322</v>
      </c>
      <c r="B128" s="3100"/>
      <c r="C128" s="3100"/>
      <c r="D128" s="3100"/>
      <c r="E128" s="3100"/>
      <c r="F128" s="3100"/>
      <c r="G128" s="3100"/>
      <c r="H128" s="3100"/>
      <c r="I128" s="3100"/>
    </row>
    <row r="129" spans="1:35" ht="21.75" customHeight="1">
      <c r="A129" s="2524" t="s">
        <v>2323</v>
      </c>
      <c r="B129" s="2525"/>
      <c r="C129" s="2526" t="s">
        <v>2324</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2325</v>
      </c>
      <c r="G135" s="2541"/>
      <c r="H135" s="2541"/>
      <c r="I135" s="2542" t="s">
        <v>2326</v>
      </c>
    </row>
    <row r="136" spans="1:35" ht="21.75" customHeight="1">
      <c r="A136" s="794"/>
      <c r="B136" s="2543" t="s">
        <v>2327</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2328</v>
      </c>
    </row>
    <row r="139" spans="1:35" ht="21.75" customHeight="1">
      <c r="A139" s="794"/>
      <c r="B139" s="2543" t="s">
        <v>2329</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2328</v>
      </c>
    </row>
    <row r="142" spans="1:35" ht="21.75" customHeight="1">
      <c r="A142" s="794"/>
      <c r="B142" s="2543"/>
      <c r="C142" s="2544"/>
      <c r="D142" s="2545"/>
      <c r="E142" s="2545"/>
      <c r="F142" s="2337"/>
      <c r="G142" s="794"/>
      <c r="H142" s="794"/>
      <c r="I142" s="794"/>
    </row>
    <row r="143" spans="1:35" s="137" customFormat="1" ht="21.75" customHeight="1">
      <c r="A143" s="794"/>
      <c r="B143" s="2543"/>
      <c r="C143" s="2544"/>
      <c r="D143" s="2545"/>
      <c r="E143" s="2545"/>
      <c r="F143" s="2337"/>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7"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7"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tabColor rgb="FF00B0F0"/>
    <pageSetUpPr fitToPage="1"/>
  </sheetPr>
  <dimension ref="A1:I57"/>
  <sheetViews>
    <sheetView topLeftCell="A46" workbookViewId="0">
      <selection activeCell="I45" sqref="I45"/>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2330</v>
      </c>
      <c r="B1" s="1938"/>
      <c r="C1" s="241"/>
      <c r="D1" s="241"/>
      <c r="E1" s="241"/>
      <c r="F1" s="241"/>
      <c r="G1" s="1379" t="e">
        <f>MATCH(B1,'数据-取费表'!A6:A16,0)+5</f>
        <v>#N/A</v>
      </c>
    </row>
    <row r="2" spans="1:9" s="243" customFormat="1" ht="18" customHeight="1">
      <c r="A2" s="244" t="s">
        <v>2331</v>
      </c>
      <c r="B2" s="245">
        <f ca="1">IF(D2="——",C52,C52-E2)</f>
        <v>118108</v>
      </c>
      <c r="C2" s="242" t="s">
        <v>2332</v>
      </c>
      <c r="D2" s="2546" t="s">
        <v>70</v>
      </c>
      <c r="E2" s="1440">
        <f ca="1">SUMIF(INDIRECT("'"&amp;G2&amp;"'"&amp;"!A:A"),"承租人权益价值",INDIRECT("'"&amp;G2&amp;"'"&amp;"!c:c"))</f>
        <v>0</v>
      </c>
      <c r="F2" s="2547" t="s">
        <v>2332</v>
      </c>
      <c r="G2" s="2548" t="s">
        <v>3146</v>
      </c>
    </row>
    <row r="3" spans="1:9" s="243" customFormat="1" ht="18" customHeight="1" thickBot="1">
      <c r="A3" s="246" t="s">
        <v>2333</v>
      </c>
      <c r="B3" s="247">
        <f ca="1">ROUND(B2*10000/(IF(B1="",'数据-汇总表'!E3,INDIRECT("'数据-取费表'!k"&amp;$G$1))),0)</f>
        <v>5624</v>
      </c>
      <c r="C3" s="242" t="s">
        <v>2334</v>
      </c>
      <c r="D3" s="242"/>
      <c r="E3" s="242"/>
      <c r="F3" s="242"/>
      <c r="G3" s="242"/>
    </row>
    <row r="4" spans="1:9" s="251" customFormat="1" ht="15.75">
      <c r="A4" s="248" t="s">
        <v>2335</v>
      </c>
      <c r="B4" s="249"/>
      <c r="C4" s="249"/>
      <c r="D4" s="249"/>
      <c r="E4" s="249"/>
      <c r="F4" s="249"/>
      <c r="G4" s="250"/>
    </row>
    <row r="5" spans="1:9" s="257" customFormat="1" ht="13.5" customHeight="1">
      <c r="A5" s="298" t="s">
        <v>2336</v>
      </c>
      <c r="B5" s="253" t="s">
        <v>2337</v>
      </c>
      <c r="C5" s="254">
        <f>C6+C7+C8</f>
        <v>91097</v>
      </c>
      <c r="D5" s="254" t="s">
        <v>2338</v>
      </c>
      <c r="E5" s="255" t="s">
        <v>2339</v>
      </c>
      <c r="F5" s="255" t="s">
        <v>2340</v>
      </c>
      <c r="G5" s="256"/>
    </row>
    <row r="6" spans="1:9" s="257" customFormat="1" ht="13.5" customHeight="1">
      <c r="A6" s="951" t="s">
        <v>2341</v>
      </c>
      <c r="B6" s="258" t="s">
        <v>2342</v>
      </c>
      <c r="C6" s="259">
        <f>'土地比较法-住宅、综合'!B2</f>
        <v>82995</v>
      </c>
      <c r="D6" s="260"/>
      <c r="E6" s="261"/>
      <c r="F6" s="261"/>
      <c r="G6" s="262"/>
    </row>
    <row r="7" spans="1:9" s="257" customFormat="1" ht="13.5" customHeight="1">
      <c r="A7" s="951" t="s">
        <v>2343</v>
      </c>
      <c r="B7" s="258" t="s">
        <v>2344</v>
      </c>
      <c r="C7" s="263">
        <f>ROUND(C6*F7,0)</f>
        <v>2531</v>
      </c>
      <c r="D7" s="263"/>
      <c r="E7" s="261"/>
      <c r="F7" s="264">
        <f>'数据-取费表'!B48+'数据-取费表'!B49</f>
        <v>3.0499999999999999E-2</v>
      </c>
      <c r="G7" s="262"/>
    </row>
    <row r="8" spans="1:9" s="266" customFormat="1">
      <c r="A8" s="951" t="s">
        <v>2345</v>
      </c>
      <c r="B8" s="258" t="s">
        <v>2346</v>
      </c>
      <c r="C8" s="263">
        <f>IF(G8="已包含在土地购买价格中","0",IF(B1="",'数据-取费表'!B29,IF(G9="全部缴纳",C9+C10,H9)))</f>
        <v>5571</v>
      </c>
      <c r="D8" s="265"/>
      <c r="E8" s="263"/>
      <c r="F8" s="264"/>
      <c r="G8" s="2549" t="s">
        <v>3214</v>
      </c>
    </row>
    <row r="9" spans="1:9" s="257" customFormat="1" ht="13.5" customHeight="1">
      <c r="A9" s="952" t="s">
        <v>800</v>
      </c>
      <c r="B9" s="267" t="s">
        <v>2347</v>
      </c>
      <c r="C9" s="268">
        <f ca="1">ROUND(D9*E9/10000,0)</f>
        <v>0</v>
      </c>
      <c r="D9" s="1033">
        <f ca="1">IF(B1="",'数据-汇总表'!E5,IF(INDIRECT("'数据-取费表'!c"&amp;$G$1)="住宅",INDIRECT("'数据-取费表'!k"&amp;$G$1),0))</f>
        <v>135723.97</v>
      </c>
      <c r="E9" s="268">
        <f>'数据-取费表'!B27</f>
        <v>0</v>
      </c>
      <c r="F9" s="264"/>
      <c r="G9" s="2550" t="s">
        <v>3215</v>
      </c>
      <c r="H9" s="1390"/>
      <c r="I9" s="2551" t="s">
        <v>2348</v>
      </c>
    </row>
    <row r="10" spans="1:9" s="257" customFormat="1" ht="13.5" customHeight="1">
      <c r="A10" s="952" t="s">
        <v>801</v>
      </c>
      <c r="B10" s="267" t="s">
        <v>2349</v>
      </c>
      <c r="C10" s="268">
        <f ca="1">ROUND(D10*E10/10000,0)</f>
        <v>5571</v>
      </c>
      <c r="D10" s="1033">
        <f ca="1">IF(B1="",'数据-汇总表'!E6,IF(INDIRECT("'数据-取费表'!c"&amp;$G$1)="住宅",INDIRECT("'数据-取费表'!s"&amp;$G$1),INDIRECT("'数据-取费表'!k"&amp;$G$1)+INDIRECT("'数据-取费表'!s"&amp;$G$1)))</f>
        <v>74294.989999999991</v>
      </c>
      <c r="E10" s="268">
        <f ca="1">'数据-取费表'!B28</f>
        <v>749.85</v>
      </c>
      <c r="F10" s="264"/>
      <c r="G10" s="269"/>
    </row>
    <row r="11" spans="1:9" s="257" customFormat="1" ht="13.5" hidden="1" customHeight="1">
      <c r="A11" s="270" t="s">
        <v>7</v>
      </c>
      <c r="B11" s="258" t="s">
        <v>2350</v>
      </c>
      <c r="C11" s="254"/>
      <c r="D11" s="1035"/>
      <c r="E11" s="261"/>
      <c r="F11" s="261"/>
      <c r="G11" s="262"/>
    </row>
    <row r="12" spans="1:9" s="257" customFormat="1" ht="13.5" hidden="1" customHeight="1">
      <c r="A12" s="270" t="s">
        <v>8</v>
      </c>
      <c r="B12" s="258" t="s">
        <v>2351</v>
      </c>
      <c r="C12" s="254">
        <v>0</v>
      </c>
      <c r="D12" s="1035"/>
      <c r="E12" s="271"/>
      <c r="F12" s="264">
        <v>3.0499999999999999E-2</v>
      </c>
      <c r="G12" s="262"/>
    </row>
    <row r="13" spans="1:9" s="257" customFormat="1" ht="13.5" hidden="1" customHeight="1">
      <c r="A13" s="270" t="s">
        <v>9</v>
      </c>
      <c r="B13" s="258" t="s">
        <v>2352</v>
      </c>
      <c r="C13" s="254"/>
      <c r="D13" s="1035"/>
      <c r="E13" s="261"/>
      <c r="F13" s="261"/>
      <c r="G13" s="262"/>
    </row>
    <row r="14" spans="1:9" s="257" customFormat="1" ht="13.5" hidden="1" customHeight="1">
      <c r="A14" s="270" t="s">
        <v>10</v>
      </c>
      <c r="B14" s="258" t="s">
        <v>2353</v>
      </c>
      <c r="C14" s="254"/>
      <c r="D14" s="1035"/>
      <c r="E14" s="261"/>
      <c r="F14" s="261"/>
      <c r="G14" s="262" t="s">
        <v>2354</v>
      </c>
    </row>
    <row r="15" spans="1:9" s="257" customFormat="1" ht="13.5" hidden="1" customHeight="1">
      <c r="A15" s="270" t="s">
        <v>11</v>
      </c>
      <c r="B15" s="258" t="s">
        <v>2355</v>
      </c>
      <c r="C15" s="263"/>
      <c r="D15" s="1035"/>
      <c r="E15" s="261"/>
      <c r="F15" s="261"/>
      <c r="G15" s="262" t="s">
        <v>2356</v>
      </c>
    </row>
    <row r="16" spans="1:9" s="257" customFormat="1" ht="13.5" hidden="1" customHeight="1">
      <c r="A16" s="270" t="s">
        <v>12</v>
      </c>
      <c r="B16" s="258" t="s">
        <v>2353</v>
      </c>
      <c r="C16" s="263"/>
      <c r="D16" s="1035"/>
      <c r="E16" s="261"/>
      <c r="F16" s="261"/>
      <c r="G16" s="262"/>
    </row>
    <row r="17" spans="1:7" s="257" customFormat="1" ht="13.5" hidden="1" customHeight="1">
      <c r="A17" s="270" t="s">
        <v>13</v>
      </c>
      <c r="B17" s="258" t="s">
        <v>2357</v>
      </c>
      <c r="C17" s="272"/>
      <c r="D17" s="1036"/>
      <c r="E17" s="272"/>
      <c r="F17" s="272"/>
      <c r="G17" s="262" t="s">
        <v>2356</v>
      </c>
    </row>
    <row r="18" spans="1:7" s="257" customFormat="1" ht="13.5" hidden="1" customHeight="1">
      <c r="A18" s="270" t="s">
        <v>14</v>
      </c>
      <c r="B18" s="258" t="s">
        <v>2358</v>
      </c>
      <c r="C18" s="263">
        <v>0</v>
      </c>
      <c r="D18" s="1035"/>
      <c r="E18" s="261"/>
      <c r="F18" s="264">
        <v>3.0499999999999999E-2</v>
      </c>
      <c r="G18" s="262" t="s">
        <v>2359</v>
      </c>
    </row>
    <row r="19" spans="1:7" s="266" customFormat="1" ht="13.5" customHeight="1">
      <c r="A19" s="298" t="s">
        <v>2360</v>
      </c>
      <c r="B19" s="253" t="s">
        <v>2361</v>
      </c>
      <c r="C19" s="254">
        <f ca="1">IF(G19="已包含在土地取得成本中","0",ROUND(D19*E19/10000,0))</f>
        <v>4200</v>
      </c>
      <c r="D19" s="1037">
        <f ca="1">D9+D10</f>
        <v>210018.96</v>
      </c>
      <c r="E19" s="254">
        <f>'数据-取费表'!B31</f>
        <v>200</v>
      </c>
      <c r="F19" s="274"/>
      <c r="G19" s="2549"/>
    </row>
    <row r="20" spans="1:7" s="257" customFormat="1" ht="13.5" customHeight="1">
      <c r="A20" s="298" t="s">
        <v>2362</v>
      </c>
      <c r="B20" s="253" t="s">
        <v>2363</v>
      </c>
      <c r="C20" s="275">
        <f ca="1">ROUND((C5+C19)*F20,0)</f>
        <v>1906</v>
      </c>
      <c r="D20" s="275"/>
      <c r="E20" s="275"/>
      <c r="F20" s="276">
        <f>'数据-取费表'!B37</f>
        <v>0.02</v>
      </c>
      <c r="G20" s="277" t="s">
        <v>2364</v>
      </c>
    </row>
    <row r="21" spans="1:7" s="257" customFormat="1" ht="13.5" customHeight="1">
      <c r="A21" s="298" t="s">
        <v>2365</v>
      </c>
      <c r="B21" s="253" t="s">
        <v>2366</v>
      </c>
      <c r="C21" s="278">
        <f>F21</f>
        <v>0.03</v>
      </c>
      <c r="D21" s="279" t="s">
        <v>2367</v>
      </c>
      <c r="E21" s="275"/>
      <c r="F21" s="276">
        <f>'数据-取费表'!B38</f>
        <v>0.03</v>
      </c>
      <c r="G21" s="277" t="s">
        <v>2368</v>
      </c>
    </row>
    <row r="22" spans="1:7" s="257" customFormat="1" ht="13.5" customHeight="1">
      <c r="A22" s="298" t="s">
        <v>2369</v>
      </c>
      <c r="B22" s="253" t="s">
        <v>2370</v>
      </c>
      <c r="C22" s="1354">
        <f ca="1">ROUND(SUM(C23:C25),0)</f>
        <v>2259</v>
      </c>
      <c r="D22" s="278">
        <f ca="1">C26</f>
        <v>4.0000000000000002E-4</v>
      </c>
      <c r="E22" s="279" t="s">
        <v>2367</v>
      </c>
      <c r="F22" s="280">
        <f ca="1">'数据-取费表'!B40</f>
        <v>4.7500000000000001E-2</v>
      </c>
      <c r="G22" s="277" t="str">
        <f>IF('数据-取费表'!B22&lt;=1,"单利计息","复利计息")</f>
        <v>复利计息</v>
      </c>
    </row>
    <row r="23" spans="1:7" s="257" customFormat="1" ht="13.5" customHeight="1">
      <c r="A23" s="953" t="s">
        <v>2371</v>
      </c>
      <c r="B23" s="258" t="s">
        <v>2372</v>
      </c>
      <c r="C23" s="1355">
        <f ca="1">ROUND(IF('数据-取费表'!B22&lt;=1,C5*F22*'数据-取费表'!B23,C5*(POWER((1+F22),'数据-取费表'!B23)-1)),0)</f>
        <v>2138</v>
      </c>
      <c r="D23" s="281"/>
      <c r="E23" s="281"/>
      <c r="F23" s="282"/>
      <c r="G23" s="283" t="s">
        <v>2373</v>
      </c>
    </row>
    <row r="24" spans="1:7" s="257" customFormat="1" ht="13.5" customHeight="1">
      <c r="A24" s="953" t="s">
        <v>2374</v>
      </c>
      <c r="B24" s="258" t="s">
        <v>2375</v>
      </c>
      <c r="C24" s="1355">
        <f ca="1">ROUND(IF('数据-取费表'!B22&lt;=1,C19*F22*('数据-取费表'!B19/2+'数据-取费表'!B21),C19*(POWER((1+F22),('数据-取费表'!B19/2+'数据-取费表'!B21))-1)),0)</f>
        <v>99</v>
      </c>
      <c r="D24" s="281"/>
      <c r="E24" s="281"/>
      <c r="F24" s="282"/>
      <c r="G24" s="283" t="s">
        <v>2376</v>
      </c>
    </row>
    <row r="25" spans="1:7" s="257" customFormat="1" ht="24">
      <c r="A25" s="953" t="s">
        <v>2377</v>
      </c>
      <c r="B25" s="258" t="s">
        <v>2378</v>
      </c>
      <c r="C25" s="1355">
        <f ca="1">ROUND(IF('数据-取费表'!B22&lt;=1,C20*F22*'数据-取费表'!B23/2,C20*(POWER((1+F22),'数据-取费表'!B23/2)-1)),0)</f>
        <v>22</v>
      </c>
      <c r="D25" s="281"/>
      <c r="E25" s="284"/>
      <c r="F25" s="282"/>
      <c r="G25" s="285" t="s">
        <v>2379</v>
      </c>
    </row>
    <row r="26" spans="1:7" s="257" customFormat="1">
      <c r="A26" s="953" t="s">
        <v>795</v>
      </c>
      <c r="B26" s="258" t="s">
        <v>2380</v>
      </c>
      <c r="C26" s="281">
        <f ca="1">ROUND(IF('数据-取费表'!B22&lt;=1,F21*F22*'数据-取费表'!B23/2,F21*(POWER((1+F22),'数据-取费表'!B23/2)-1)),4)</f>
        <v>4.0000000000000002E-4</v>
      </c>
      <c r="D26" s="281"/>
      <c r="E26" s="284"/>
      <c r="F26" s="282"/>
      <c r="G26" s="286"/>
    </row>
    <row r="27" spans="1:7" s="257" customFormat="1" ht="24.75">
      <c r="A27" s="298" t="s">
        <v>2381</v>
      </c>
      <c r="B27" s="287" t="s">
        <v>2382</v>
      </c>
      <c r="C27" s="288">
        <f ca="1">C28</f>
        <v>1944</v>
      </c>
      <c r="D27" s="278">
        <f ca="1">C29</f>
        <v>5.9999999999999995E-4</v>
      </c>
      <c r="E27" s="279" t="s">
        <v>2383</v>
      </c>
      <c r="F27" s="289">
        <f ca="1">IF(B1="",'数据-取费表'!Q16,INDIRECT("'数据-取费表'!q"&amp;$G$1))</f>
        <v>0.08</v>
      </c>
      <c r="G27" s="290" t="s">
        <v>2384</v>
      </c>
    </row>
    <row r="28" spans="1:7" s="257" customFormat="1" ht="13.5" customHeight="1">
      <c r="A28" s="953" t="s">
        <v>791</v>
      </c>
      <c r="B28" s="291" t="s">
        <v>2385</v>
      </c>
      <c r="C28" s="292">
        <f ca="1">ROUND((C5+C19+C20)*F27*'数据-取费表'!B21/'数据-取费表'!B20,0)</f>
        <v>1944</v>
      </c>
      <c r="D28" s="278"/>
      <c r="E28" s="279"/>
      <c r="F28" s="289"/>
      <c r="G28" s="290"/>
    </row>
    <row r="29" spans="1:7" s="257" customFormat="1" ht="13.5" customHeight="1">
      <c r="A29" s="953" t="s">
        <v>792</v>
      </c>
      <c r="B29" s="291" t="s">
        <v>2386</v>
      </c>
      <c r="C29" s="281">
        <f ca="1">ROUND(C21*F27*'数据-取费表'!B21/'数据-取费表'!B20,4)</f>
        <v>5.9999999999999995E-4</v>
      </c>
      <c r="D29" s="278"/>
      <c r="E29" s="279"/>
      <c r="F29" s="289"/>
      <c r="G29" s="290"/>
    </row>
    <row r="30" spans="1:7" s="257" customFormat="1" ht="13.5" customHeight="1">
      <c r="A30" s="298" t="s">
        <v>2387</v>
      </c>
      <c r="B30" s="253" t="s">
        <v>2388</v>
      </c>
      <c r="C30" s="278">
        <f>ROUND(F30/(1+'数据-取费表'!C42),4)</f>
        <v>5.9400000000000001E-2</v>
      </c>
      <c r="D30" s="279" t="s">
        <v>2383</v>
      </c>
      <c r="E30" s="284"/>
      <c r="F30" s="280">
        <f>'数据-取费表'!B41</f>
        <v>6.2719999999999998E-2</v>
      </c>
      <c r="G30" s="277" t="s">
        <v>2389</v>
      </c>
    </row>
    <row r="31" spans="1:7" ht="16.5" customHeight="1">
      <c r="A31" s="252">
        <v>1</v>
      </c>
      <c r="B31" s="253" t="s">
        <v>2390</v>
      </c>
      <c r="C31" s="254">
        <f ca="1">ROUND((C5+C19+C20+C22+C27)/(1-C21-D22-D27-C30),0)</f>
        <v>111484</v>
      </c>
      <c r="D31" s="273"/>
      <c r="E31" s="254"/>
      <c r="F31" s="293"/>
      <c r="G31" s="277" t="s">
        <v>2391</v>
      </c>
    </row>
    <row r="32" spans="1:7" s="251" customFormat="1" ht="15.75">
      <c r="A32" s="295" t="s">
        <v>2392</v>
      </c>
      <c r="B32" s="296"/>
      <c r="C32" s="296"/>
      <c r="D32" s="296"/>
      <c r="E32" s="296"/>
      <c r="F32" s="296"/>
      <c r="G32" s="297"/>
    </row>
    <row r="33" spans="1:7" s="257" customFormat="1" ht="13.5" customHeight="1">
      <c r="A33" s="298" t="s">
        <v>782</v>
      </c>
      <c r="B33" s="253" t="s">
        <v>2393</v>
      </c>
      <c r="C33" s="299">
        <f ca="1">SUM(C34:C38)</f>
        <v>5400</v>
      </c>
      <c r="D33" s="275"/>
      <c r="E33" s="255"/>
      <c r="F33" s="284"/>
      <c r="G33" s="277"/>
    </row>
    <row r="34" spans="1:7" s="301" customFormat="1" ht="13.5" customHeight="1">
      <c r="A34" s="953" t="s">
        <v>791</v>
      </c>
      <c r="B34" s="258" t="s">
        <v>2394</v>
      </c>
      <c r="C34" s="263">
        <f ca="1">IF(B1="",IF(F34=100%,'数据-取费表'!M16,'数据-取费表'!O16),IF(F34=100%,INDIRECT("'数据-取费表'!m"&amp;$G$1)+INDIRECT("'数据-取费表'!t"&amp;$G$1),INDIRECT("'数据-取费表'!o"&amp;$G$1)+INDIRECT("'数据-取费表'!aq"&amp;$G$1)))</f>
        <v>4596</v>
      </c>
      <c r="D34" s="260"/>
      <c r="E34" s="263"/>
      <c r="F34" s="300">
        <f ca="1">IF('数据-取费表'!B24=0,1,IF(B1="",'数据-取费表'!N16,INDIRECT("'数据-取费表'!n"&amp;$G$1)))</f>
        <v>8.3000000000000004E-2</v>
      </c>
      <c r="G34" s="262" t="s">
        <v>2395</v>
      </c>
    </row>
    <row r="35" spans="1:7" ht="13.5" customHeight="1">
      <c r="A35" s="953" t="s">
        <v>796</v>
      </c>
      <c r="B35" s="258" t="s">
        <v>2396</v>
      </c>
      <c r="C35" s="263">
        <f ca="1">ROUND(C34*F35,0)</f>
        <v>230</v>
      </c>
      <c r="D35" s="263"/>
      <c r="E35" s="263"/>
      <c r="F35" s="302">
        <f>'数据-取费表'!B33</f>
        <v>0.05</v>
      </c>
      <c r="G35" s="262" t="s">
        <v>2397</v>
      </c>
    </row>
    <row r="36" spans="1:7" ht="24">
      <c r="A36" s="953" t="s">
        <v>797</v>
      </c>
      <c r="B36" s="258" t="s">
        <v>2398</v>
      </c>
      <c r="C36" s="263">
        <f ca="1">ROUND(IF(B1="",SUMIF('数据-取费表'!C:C,"住宅",IF(F34=100%,'数据-取费表'!M:M,'数据-取费表'!O:O))*F36,IF(INDIRECT("'数据-取费表'!c"&amp;$G$1)="住宅",IF(F34=100%,INDIRECT("'数据-取费表'!m"&amp;$G$1)*F36,INDIRECT("'数据-取费表'!o"&amp;$G$1)*F36),0)),0)</f>
        <v>156</v>
      </c>
      <c r="D36" s="263"/>
      <c r="E36" s="263"/>
      <c r="F36" s="302">
        <f>'数据-取费表'!B34</f>
        <v>0.05</v>
      </c>
      <c r="G36" s="303" t="s">
        <v>2399</v>
      </c>
    </row>
    <row r="37" spans="1:7" s="301" customFormat="1" ht="13.5" customHeight="1">
      <c r="A37" s="953" t="s">
        <v>798</v>
      </c>
      <c r="B37" s="258" t="s">
        <v>2400</v>
      </c>
      <c r="C37" s="292">
        <f ca="1">ROUND(E37*D37*F34/10000,0)</f>
        <v>349</v>
      </c>
      <c r="D37" s="260">
        <f ca="1">D19</f>
        <v>210018.96</v>
      </c>
      <c r="E37" s="292">
        <f>'数据-取费表'!B35</f>
        <v>200</v>
      </c>
      <c r="F37" s="302"/>
      <c r="G37" s="304" t="s">
        <v>2401</v>
      </c>
    </row>
    <row r="38" spans="1:7" ht="13.5" customHeight="1">
      <c r="A38" s="953" t="s">
        <v>799</v>
      </c>
      <c r="B38" s="258" t="s">
        <v>2402</v>
      </c>
      <c r="C38" s="263">
        <f ca="1">ROUND(C34*F38,0)</f>
        <v>69</v>
      </c>
      <c r="D38" s="263"/>
      <c r="E38" s="263"/>
      <c r="F38" s="302">
        <f>'数据-取费表'!B36</f>
        <v>1.4999999999999999E-2</v>
      </c>
      <c r="G38" s="262" t="s">
        <v>2397</v>
      </c>
    </row>
    <row r="39" spans="1:7" s="257" customFormat="1" ht="13.5" customHeight="1">
      <c r="A39" s="298" t="s">
        <v>2403</v>
      </c>
      <c r="B39" s="253" t="s">
        <v>2404</v>
      </c>
      <c r="C39" s="275">
        <f ca="1">ROUND(C33*F20,0)</f>
        <v>108</v>
      </c>
      <c r="D39" s="275"/>
      <c r="E39" s="275"/>
      <c r="F39" s="276"/>
      <c r="G39" s="277" t="s">
        <v>2405</v>
      </c>
    </row>
    <row r="40" spans="1:7" s="257" customFormat="1" ht="13.5" customHeight="1">
      <c r="A40" s="298" t="s">
        <v>2406</v>
      </c>
      <c r="B40" s="253" t="s">
        <v>2407</v>
      </c>
      <c r="C40" s="1729">
        <f>F21</f>
        <v>0.03</v>
      </c>
      <c r="D40" s="279" t="s">
        <v>2408</v>
      </c>
      <c r="E40" s="275"/>
      <c r="F40" s="276"/>
      <c r="G40" s="277" t="s">
        <v>2409</v>
      </c>
    </row>
    <row r="41" spans="1:7" s="257" customFormat="1" ht="13.5" customHeight="1">
      <c r="A41" s="298" t="s">
        <v>2410</v>
      </c>
      <c r="B41" s="253" t="s">
        <v>2411</v>
      </c>
      <c r="C41" s="275">
        <f ca="1">ROUND(SUM(C42:C43),0)</f>
        <v>64</v>
      </c>
      <c r="D41" s="278">
        <f ca="1">C44</f>
        <v>4.0000000000000002E-4</v>
      </c>
      <c r="E41" s="279" t="s">
        <v>2408</v>
      </c>
      <c r="F41" s="280"/>
      <c r="G41" s="277" t="str">
        <f>IF('数据-取费表'!B22&lt;=1,"单利计息","复利计息")</f>
        <v>复利计息</v>
      </c>
    </row>
    <row r="42" spans="1:7" ht="13.5" customHeight="1">
      <c r="A42" s="953" t="s">
        <v>791</v>
      </c>
      <c r="B42" s="258" t="s">
        <v>2412</v>
      </c>
      <c r="C42" s="281">
        <f ca="1">ROUND(IF('数据-取费表'!B22&lt;=1,C33*F22*'数据-取费表'!B21/2,C33*(POWER((1+F22),'数据-取费表'!B21/2)-1)),0)</f>
        <v>63</v>
      </c>
      <c r="D42" s="281"/>
      <c r="E42" s="281"/>
      <c r="F42" s="282"/>
      <c r="G42" s="3132" t="s">
        <v>2413</v>
      </c>
    </row>
    <row r="43" spans="1:7" ht="13.5" customHeight="1">
      <c r="A43" s="953" t="s">
        <v>792</v>
      </c>
      <c r="B43" s="258" t="s">
        <v>2414</v>
      </c>
      <c r="C43" s="281">
        <f ca="1">ROUND(IF('数据-取费表'!B22&lt;=1,C39*F22*'数据-取费表'!B21/2,C39*(POWER((1+F22),'数据-取费表'!B21/2)-1)),0)</f>
        <v>1</v>
      </c>
      <c r="D43" s="281"/>
      <c r="E43" s="281"/>
      <c r="F43" s="282"/>
      <c r="G43" s="3133"/>
    </row>
    <row r="44" spans="1:7" ht="13.5" customHeight="1">
      <c r="A44" s="953" t="s">
        <v>793</v>
      </c>
      <c r="B44" s="258" t="s">
        <v>2415</v>
      </c>
      <c r="C44" s="281">
        <f ca="1">ROUND(IF('数据-取费表'!B22&lt;=1,C40*F22*'数据-取费表'!B21/2,C40*(POWER((1+F22),'数据-取费表'!B21/2)-1)),4)</f>
        <v>4.0000000000000002E-4</v>
      </c>
      <c r="D44" s="281"/>
      <c r="E44" s="281"/>
      <c r="F44" s="282"/>
      <c r="G44" s="3134"/>
    </row>
    <row r="45" spans="1:7" s="257" customFormat="1" ht="13.5" customHeight="1">
      <c r="A45" s="298" t="s">
        <v>2416</v>
      </c>
      <c r="B45" s="287" t="s">
        <v>2382</v>
      </c>
      <c r="C45" s="288">
        <f ca="1">C46</f>
        <v>441</v>
      </c>
      <c r="D45" s="278">
        <f ca="1">C47</f>
        <v>2.3999999999999998E-3</v>
      </c>
      <c r="E45" s="279" t="s">
        <v>2408</v>
      </c>
      <c r="F45" s="289"/>
      <c r="G45" s="290" t="s">
        <v>2417</v>
      </c>
    </row>
    <row r="46" spans="1:7" s="257" customFormat="1" ht="13.5" customHeight="1">
      <c r="A46" s="953" t="s">
        <v>791</v>
      </c>
      <c r="B46" s="291" t="s">
        <v>2418</v>
      </c>
      <c r="C46" s="292">
        <f ca="1">ROUND((C33+C39)*F27,0)</f>
        <v>441</v>
      </c>
      <c r="D46" s="306"/>
      <c r="E46" s="279"/>
      <c r="F46" s="289"/>
      <c r="G46" s="290"/>
    </row>
    <row r="47" spans="1:7" s="257" customFormat="1" ht="13.5" customHeight="1">
      <c r="A47" s="953" t="s">
        <v>792</v>
      </c>
      <c r="B47" s="291" t="s">
        <v>2419</v>
      </c>
      <c r="C47" s="281">
        <f ca="1">ROUND(C40*F27,4)</f>
        <v>2.3999999999999998E-3</v>
      </c>
      <c r="D47" s="306"/>
      <c r="E47" s="279"/>
      <c r="F47" s="289"/>
      <c r="G47" s="290"/>
    </row>
    <row r="48" spans="1:7" s="257" customFormat="1" ht="13.5" customHeight="1">
      <c r="A48" s="298" t="s">
        <v>2381</v>
      </c>
      <c r="B48" s="253" t="s">
        <v>2420</v>
      </c>
      <c r="C48" s="1729">
        <f>ROUND(F30/(1+'数据-取费表'!C42),4)</f>
        <v>5.9400000000000001E-2</v>
      </c>
      <c r="D48" s="279" t="s">
        <v>2408</v>
      </c>
      <c r="E48" s="275"/>
      <c r="F48" s="280"/>
      <c r="G48" s="277" t="s">
        <v>2421</v>
      </c>
    </row>
    <row r="49" spans="1:7" ht="16.5" customHeight="1">
      <c r="A49" s="298" t="s">
        <v>2387</v>
      </c>
      <c r="B49" s="253" t="s">
        <v>2422</v>
      </c>
      <c r="C49" s="275">
        <f ca="1">ROUND((C33+C39+C41+C45)/(1-C40-D41-D45-C48),0)</f>
        <v>6624</v>
      </c>
      <c r="D49" s="275"/>
      <c r="E49" s="275"/>
      <c r="F49" s="307"/>
      <c r="G49" s="277" t="s">
        <v>2423</v>
      </c>
    </row>
    <row r="50" spans="1:7" s="301" customFormat="1" ht="24">
      <c r="A50" s="298" t="s">
        <v>2424</v>
      </c>
      <c r="B50" s="253" t="s">
        <v>2425</v>
      </c>
      <c r="C50" s="275"/>
      <c r="D50" s="275"/>
      <c r="E50" s="275"/>
      <c r="F50" s="307">
        <f>IF('数据-取费表'!B24=0,'数据-取费表'!N16,1)</f>
        <v>1</v>
      </c>
      <c r="G50" s="290" t="s">
        <v>2426</v>
      </c>
    </row>
    <row r="51" spans="1:7" ht="16.5" customHeight="1">
      <c r="A51" s="298" t="s">
        <v>2427</v>
      </c>
      <c r="B51" s="253" t="s">
        <v>2428</v>
      </c>
      <c r="C51" s="275">
        <f ca="1">ROUND(C49*F50,0)</f>
        <v>6624</v>
      </c>
      <c r="D51" s="275"/>
      <c r="E51" s="275"/>
      <c r="F51" s="307"/>
      <c r="G51" s="277" t="s">
        <v>2429</v>
      </c>
    </row>
    <row r="52" spans="1:7" s="251" customFormat="1" ht="16.5" thickBot="1">
      <c r="A52" s="308" t="s">
        <v>2430</v>
      </c>
      <c r="B52" s="309"/>
      <c r="C52" s="310">
        <f ca="1">C31+C51</f>
        <v>118108</v>
      </c>
      <c r="D52" s="309"/>
      <c r="E52" s="309"/>
      <c r="F52" s="309"/>
      <c r="G52" s="311"/>
    </row>
    <row r="55" spans="1:7" ht="15">
      <c r="B55" s="313" t="s">
        <v>2431</v>
      </c>
      <c r="C55" s="314"/>
    </row>
    <row r="56" spans="1:7">
      <c r="B56" s="316" t="s">
        <v>1515</v>
      </c>
      <c r="C56" s="318">
        <f ca="1">1-C57</f>
        <v>0.94399999999999995</v>
      </c>
    </row>
    <row r="57" spans="1:7">
      <c r="B57" s="316" t="s">
        <v>1516</v>
      </c>
      <c r="C57" s="317">
        <f ca="1">ROUND(C51/C52,3)</f>
        <v>5.6000000000000001E-2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2946" t="str">
        <f>项目基本情况!B1</f>
        <v>陕西省西安市新城区华清西路以南、金花北路以西出让国有建设用地使用权及在建建筑物房地产抵押价值预评估</v>
      </c>
      <c r="C37" s="2946"/>
      <c r="D37" s="2946"/>
      <c r="E37" s="2946"/>
      <c r="F37" s="2946"/>
      <c r="G37" s="2946"/>
      <c r="H37" s="2946"/>
      <c r="I37" s="2946"/>
    </row>
    <row r="38" spans="1:9">
      <c r="A38" s="1017"/>
      <c r="B38" s="1017"/>
    </row>
    <row r="39" spans="1:9">
      <c r="A39" s="1015" t="s">
        <v>818</v>
      </c>
      <c r="B39" s="1015" t="s">
        <v>820</v>
      </c>
    </row>
    <row r="40" spans="1:9">
      <c r="A40" s="1015"/>
      <c r="B40" s="1943" t="str">
        <f>项目基本情况!B5</f>
        <v>西安胤博置业有限公司</v>
      </c>
    </row>
    <row r="41" spans="1:9">
      <c r="A41" s="1015"/>
      <c r="B41" s="1015"/>
    </row>
    <row r="42" spans="1:9">
      <c r="A42" s="1015" t="s">
        <v>818</v>
      </c>
      <c r="B42" s="1015" t="s">
        <v>821</v>
      </c>
    </row>
    <row r="43" spans="1:9">
      <c r="A43" s="1015"/>
      <c r="B43" s="1943" t="s">
        <v>822</v>
      </c>
    </row>
    <row r="44" spans="1:9">
      <c r="A44" s="1015"/>
      <c r="B44" s="1015"/>
    </row>
    <row r="45" spans="1:9">
      <c r="A45" s="1015" t="s">
        <v>818</v>
      </c>
      <c r="B45" s="1015" t="s">
        <v>823</v>
      </c>
    </row>
    <row r="46" spans="1:9" s="1015" customFormat="1" ht="12.75">
      <c r="B46" s="1943" t="str">
        <f ca="1">项目基本情况!K4</f>
        <v>郑燚（注册号：1120070131)、王萌（注册号：1120130048)</v>
      </c>
    </row>
    <row r="47" spans="1:9">
      <c r="A47" s="1015"/>
      <c r="B47" s="1015" t="str">
        <f>项目基本情况!K5</f>
        <v/>
      </c>
    </row>
    <row r="48" spans="1:9">
      <c r="A48" s="1015" t="s">
        <v>818</v>
      </c>
      <c r="B48" s="1015" t="s">
        <v>824</v>
      </c>
    </row>
    <row r="49" spans="2:2">
      <c r="B49" s="194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2330</v>
      </c>
      <c r="B1" s="1938"/>
      <c r="C1" s="2552" t="s">
        <v>2432</v>
      </c>
      <c r="D1" s="241"/>
      <c r="E1" s="241"/>
      <c r="F1" s="241"/>
      <c r="G1" s="1379" t="e">
        <f>MATCH(B1,'数据-取费表'!A6:A16,0)+5</f>
        <v>#N/A</v>
      </c>
      <c r="H1" s="1282" t="str">
        <f>IF(ISERROR(FIND("住宅",B1)),"非住宅","住宅")</f>
        <v>非住宅</v>
      </c>
    </row>
    <row r="2" spans="1:8" s="243" customFormat="1" ht="18" customHeight="1">
      <c r="A2" s="244" t="s">
        <v>2331</v>
      </c>
      <c r="B2" s="245">
        <f ca="1">ROUND(IF(D2="——",C52/10000,C52/10000-E2),0)</f>
        <v>95843</v>
      </c>
      <c r="C2" s="242" t="s">
        <v>2332</v>
      </c>
      <c r="D2" s="2546" t="s">
        <v>70</v>
      </c>
      <c r="E2" s="1440" t="e">
        <f ca="1">SUMIF(INDIRECT("'"&amp;G2&amp;"'"&amp;"!A:A"),"承租人权益价值",INDIRECT("'"&amp;G2&amp;"'"&amp;"!c:c"))</f>
        <v>#REF!</v>
      </c>
      <c r="F2" s="2547" t="s">
        <v>2332</v>
      </c>
      <c r="G2" s="2548"/>
    </row>
    <row r="3" spans="1:8" s="243" customFormat="1" ht="18" customHeight="1" thickBot="1">
      <c r="A3" s="246" t="s">
        <v>2333</v>
      </c>
      <c r="B3" s="247">
        <f ca="1">ROUND(B2*10000/(IF(B1="",'数据-汇总表'!E3,INDIRECT("'数据-取费表'!k"&amp;$G$1))),0)</f>
        <v>4564</v>
      </c>
      <c r="C3" s="242" t="s">
        <v>2334</v>
      </c>
      <c r="D3" s="242"/>
      <c r="E3" s="242"/>
      <c r="F3" s="242"/>
      <c r="G3" s="242"/>
    </row>
    <row r="4" spans="1:8" s="251" customFormat="1" ht="15.75">
      <c r="A4" s="248" t="s">
        <v>2335</v>
      </c>
      <c r="B4" s="249"/>
      <c r="C4" s="249"/>
      <c r="D4" s="249"/>
      <c r="E4" s="249"/>
      <c r="F4" s="249"/>
      <c r="G4" s="250"/>
    </row>
    <row r="5" spans="1:8" s="257" customFormat="1" ht="13.5" customHeight="1">
      <c r="A5" s="298" t="s">
        <v>2336</v>
      </c>
      <c r="B5" s="253" t="s">
        <v>2337</v>
      </c>
      <c r="C5" s="254">
        <f ca="1">C6+C7+C8</f>
        <v>55710098</v>
      </c>
      <c r="D5" s="254" t="s">
        <v>2338</v>
      </c>
      <c r="E5" s="255" t="s">
        <v>2339</v>
      </c>
      <c r="F5" s="255" t="s">
        <v>2340</v>
      </c>
      <c r="G5" s="256"/>
    </row>
    <row r="6" spans="1:8" s="257" customFormat="1" ht="13.5" customHeight="1">
      <c r="A6" s="951" t="s">
        <v>2341</v>
      </c>
      <c r="B6" s="258" t="s">
        <v>2342</v>
      </c>
      <c r="C6" s="259"/>
      <c r="D6" s="260"/>
      <c r="E6" s="261"/>
      <c r="F6" s="261"/>
      <c r="G6" s="262"/>
    </row>
    <row r="7" spans="1:8" s="257" customFormat="1" ht="13.5" customHeight="1">
      <c r="A7" s="951" t="s">
        <v>2343</v>
      </c>
      <c r="B7" s="258" t="s">
        <v>2344</v>
      </c>
      <c r="C7" s="263">
        <f>ROUND(C6*F7,0)</f>
        <v>0</v>
      </c>
      <c r="D7" s="263"/>
      <c r="E7" s="261"/>
      <c r="F7" s="264">
        <f>'数据-取费表'!B48+'数据-取费表'!B49</f>
        <v>3.0499999999999999E-2</v>
      </c>
      <c r="G7" s="262"/>
    </row>
    <row r="8" spans="1:8" s="266" customFormat="1">
      <c r="A8" s="951" t="s">
        <v>2345</v>
      </c>
      <c r="B8" s="258" t="s">
        <v>2346</v>
      </c>
      <c r="C8" s="263">
        <f ca="1">IF(G8="已包含在土地购买价格中",0,C9+C10)</f>
        <v>55710098</v>
      </c>
      <c r="D8" s="265"/>
      <c r="E8" s="263"/>
      <c r="F8" s="264"/>
      <c r="G8" s="2549"/>
    </row>
    <row r="9" spans="1:8" s="257" customFormat="1" ht="13.5" customHeight="1">
      <c r="A9" s="952" t="s">
        <v>800</v>
      </c>
      <c r="B9" s="267" t="s">
        <v>2347</v>
      </c>
      <c r="C9" s="268">
        <f ca="1">ROUND(D9*E9,0)</f>
        <v>0</v>
      </c>
      <c r="D9" s="1033">
        <f ca="1">IF(B1="",'数据-汇总表'!E5,IF(INDIRECT("'数据-取费表'!c"&amp;$G$1)="住宅",INDIRECT("'数据-取费表'!k"&amp;$G$1),0))</f>
        <v>135723.97</v>
      </c>
      <c r="E9" s="268">
        <f>'数据-取费表'!B27</f>
        <v>0</v>
      </c>
      <c r="F9" s="264"/>
      <c r="G9" s="269"/>
    </row>
    <row r="10" spans="1:8" s="257" customFormat="1" ht="13.5" customHeight="1">
      <c r="A10" s="952" t="s">
        <v>801</v>
      </c>
      <c r="B10" s="267" t="s">
        <v>2349</v>
      </c>
      <c r="C10" s="268">
        <f ca="1">ROUND(D10*E10,0)</f>
        <v>55710098</v>
      </c>
      <c r="D10" s="1033">
        <f ca="1">IF(B1="",'数据-汇总表'!E6,IF(INDIRECT("'数据-取费表'!c"&amp;$G$1)="住宅",INDIRECT("'数据-取费表'!s"&amp;$G$1),INDIRECT("'数据-取费表'!k"&amp;$G$1)+INDIRECT("'数据-取费表'!s"&amp;$G$1)))</f>
        <v>74294.989999999991</v>
      </c>
      <c r="E10" s="268">
        <f ca="1">'数据-取费表'!B28</f>
        <v>749.85</v>
      </c>
      <c r="F10" s="264"/>
      <c r="G10" s="269"/>
    </row>
    <row r="11" spans="1:8" s="257" customFormat="1" ht="13.5" hidden="1" customHeight="1">
      <c r="A11" s="270" t="s">
        <v>7</v>
      </c>
      <c r="B11" s="258" t="s">
        <v>2350</v>
      </c>
      <c r="C11" s="254"/>
      <c r="D11" s="1035"/>
      <c r="E11" s="261"/>
      <c r="F11" s="261"/>
      <c r="G11" s="262"/>
    </row>
    <row r="12" spans="1:8" s="257" customFormat="1" ht="13.5" hidden="1" customHeight="1">
      <c r="A12" s="270" t="s">
        <v>8</v>
      </c>
      <c r="B12" s="258" t="s">
        <v>2433</v>
      </c>
      <c r="C12" s="254">
        <v>0</v>
      </c>
      <c r="D12" s="1035"/>
      <c r="E12" s="271"/>
      <c r="F12" s="264">
        <v>3.0499999999999999E-2</v>
      </c>
      <c r="G12" s="262"/>
    </row>
    <row r="13" spans="1:8" s="257" customFormat="1" ht="13.5" hidden="1" customHeight="1">
      <c r="A13" s="270" t="s">
        <v>9</v>
      </c>
      <c r="B13" s="258" t="s">
        <v>2434</v>
      </c>
      <c r="C13" s="254"/>
      <c r="D13" s="1035"/>
      <c r="E13" s="261"/>
      <c r="F13" s="261"/>
      <c r="G13" s="262"/>
    </row>
    <row r="14" spans="1:8" s="257" customFormat="1" ht="13.5" hidden="1" customHeight="1">
      <c r="A14" s="270" t="s">
        <v>10</v>
      </c>
      <c r="B14" s="258" t="s">
        <v>2346</v>
      </c>
      <c r="C14" s="254"/>
      <c r="D14" s="1035"/>
      <c r="E14" s="261"/>
      <c r="F14" s="261"/>
      <c r="G14" s="262" t="s">
        <v>2435</v>
      </c>
    </row>
    <row r="15" spans="1:8" s="257" customFormat="1" ht="13.5" hidden="1" customHeight="1">
      <c r="A15" s="270" t="s">
        <v>11</v>
      </c>
      <c r="B15" s="258" t="s">
        <v>2436</v>
      </c>
      <c r="C15" s="263"/>
      <c r="D15" s="1035"/>
      <c r="E15" s="261"/>
      <c r="F15" s="261"/>
      <c r="G15" s="262" t="s">
        <v>2437</v>
      </c>
    </row>
    <row r="16" spans="1:8" s="257" customFormat="1" ht="13.5" hidden="1" customHeight="1">
      <c r="A16" s="270" t="s">
        <v>12</v>
      </c>
      <c r="B16" s="258" t="s">
        <v>2346</v>
      </c>
      <c r="C16" s="263"/>
      <c r="D16" s="1035"/>
      <c r="E16" s="261"/>
      <c r="F16" s="261"/>
      <c r="G16" s="262"/>
    </row>
    <row r="17" spans="1:7" s="257" customFormat="1" ht="13.5" hidden="1" customHeight="1">
      <c r="A17" s="270" t="s">
        <v>13</v>
      </c>
      <c r="B17" s="258" t="s">
        <v>2438</v>
      </c>
      <c r="C17" s="272"/>
      <c r="D17" s="1036"/>
      <c r="E17" s="272"/>
      <c r="F17" s="272"/>
      <c r="G17" s="262" t="s">
        <v>2437</v>
      </c>
    </row>
    <row r="18" spans="1:7" s="257" customFormat="1" ht="13.5" hidden="1" customHeight="1">
      <c r="A18" s="270" t="s">
        <v>14</v>
      </c>
      <c r="B18" s="258" t="s">
        <v>2439</v>
      </c>
      <c r="C18" s="263">
        <v>0</v>
      </c>
      <c r="D18" s="1035"/>
      <c r="E18" s="261"/>
      <c r="F18" s="264">
        <v>3.0499999999999999E-2</v>
      </c>
      <c r="G18" s="262" t="s">
        <v>2440</v>
      </c>
    </row>
    <row r="19" spans="1:7" s="266" customFormat="1" ht="13.5" customHeight="1">
      <c r="A19" s="298" t="s">
        <v>2441</v>
      </c>
      <c r="B19" s="253" t="s">
        <v>2442</v>
      </c>
      <c r="C19" s="254">
        <f ca="1">IF(G19="已包含在土地取得成本中","0",ROUND(D19*E19,0))</f>
        <v>42003792</v>
      </c>
      <c r="D19" s="1037">
        <f ca="1">D9+D10</f>
        <v>210018.96</v>
      </c>
      <c r="E19" s="254">
        <f>'数据-取费表'!B31</f>
        <v>200</v>
      </c>
      <c r="F19" s="274"/>
      <c r="G19" s="2549"/>
    </row>
    <row r="20" spans="1:7" s="257" customFormat="1" ht="13.5" customHeight="1">
      <c r="A20" s="298" t="s">
        <v>2443</v>
      </c>
      <c r="B20" s="253" t="s">
        <v>2444</v>
      </c>
      <c r="C20" s="275">
        <f ca="1">ROUND((C5+C19)*F20,0)</f>
        <v>1954278</v>
      </c>
      <c r="D20" s="275"/>
      <c r="E20" s="275"/>
      <c r="F20" s="276">
        <f>'数据-取费表'!B37</f>
        <v>0.02</v>
      </c>
      <c r="G20" s="277" t="s">
        <v>2445</v>
      </c>
    </row>
    <row r="21" spans="1:7" s="257" customFormat="1" ht="13.5" customHeight="1">
      <c r="A21" s="298" t="s">
        <v>2446</v>
      </c>
      <c r="B21" s="253" t="s">
        <v>2447</v>
      </c>
      <c r="C21" s="278">
        <f>F21</f>
        <v>0.03</v>
      </c>
      <c r="D21" s="279" t="s">
        <v>2448</v>
      </c>
      <c r="E21" s="275"/>
      <c r="F21" s="276">
        <f>'数据-取费表'!B38</f>
        <v>0.03</v>
      </c>
      <c r="G21" s="277" t="s">
        <v>2449</v>
      </c>
    </row>
    <row r="22" spans="1:7" s="257" customFormat="1" ht="13.5" customHeight="1">
      <c r="A22" s="298" t="s">
        <v>2450</v>
      </c>
      <c r="B22" s="253" t="s">
        <v>2451</v>
      </c>
      <c r="C22" s="1380">
        <f ca="1">ROUND(SUM(C23:C25),0)</f>
        <v>9596114</v>
      </c>
      <c r="D22" s="278">
        <f ca="1">C26</f>
        <v>1.4E-3</v>
      </c>
      <c r="E22" s="279" t="s">
        <v>2448</v>
      </c>
      <c r="F22" s="280">
        <f ca="1">'数据-取费表'!B40</f>
        <v>4.7500000000000001E-2</v>
      </c>
      <c r="G22" s="277" t="str">
        <f>IF('数据-取费表'!B22&lt;=1,"单利计息","复利计息")</f>
        <v>复利计息</v>
      </c>
    </row>
    <row r="23" spans="1:7" s="257" customFormat="1" ht="13.5" customHeight="1">
      <c r="A23" s="953" t="s">
        <v>2341</v>
      </c>
      <c r="B23" s="258" t="s">
        <v>2452</v>
      </c>
      <c r="C23" s="1381">
        <f ca="1">ROUND(IF('数据-取费表'!B22&lt;=1,C5*F22*'数据-取费表'!B22,C5*(POWER((1+F22),'数据-取费表'!B22)-1)),0)</f>
        <v>5418155</v>
      </c>
      <c r="D23" s="281"/>
      <c r="E23" s="281"/>
      <c r="F23" s="282"/>
      <c r="G23" s="283" t="s">
        <v>2453</v>
      </c>
    </row>
    <row r="24" spans="1:7" s="257" customFormat="1" ht="13.5" customHeight="1">
      <c r="A24" s="953" t="s">
        <v>2343</v>
      </c>
      <c r="B24" s="258" t="s">
        <v>2454</v>
      </c>
      <c r="C24" s="1381">
        <f ca="1">ROUND(IF('数据-取费表'!B22&lt;=1,C19*F22*('数据-取费表'!B19/2+'数据-取费表'!B20),C19*(POWER((1+F22),('数据-取费表'!B19/2+'数据-取费表'!B20))-1)),0)</f>
        <v>4085131</v>
      </c>
      <c r="D24" s="281"/>
      <c r="E24" s="281"/>
      <c r="F24" s="282"/>
      <c r="G24" s="283" t="s">
        <v>2455</v>
      </c>
    </row>
    <row r="25" spans="1:7" s="257" customFormat="1" ht="24">
      <c r="A25" s="953" t="s">
        <v>2345</v>
      </c>
      <c r="B25" s="258" t="s">
        <v>2456</v>
      </c>
      <c r="C25" s="1381">
        <f ca="1">ROUND(IF('数据-取费表'!B22&lt;=1,C20*F22*'数据-取费表'!B22/2,C20*(POWER((1+F22),'数据-取费表'!B22/2)-1)),0)</f>
        <v>92828</v>
      </c>
      <c r="D25" s="281"/>
      <c r="E25" s="284"/>
      <c r="F25" s="282"/>
      <c r="G25" s="285" t="s">
        <v>2457</v>
      </c>
    </row>
    <row r="26" spans="1:7" s="257" customFormat="1">
      <c r="A26" s="953" t="s">
        <v>795</v>
      </c>
      <c r="B26" s="258" t="s">
        <v>2380</v>
      </c>
      <c r="C26" s="281">
        <f ca="1">ROUND(IF('数据-取费表'!B22&lt;=1,F21*F22*'数据-取费表'!B22/2,F21*(POWER((1+F22),'数据-取费表'!B22/2)-1)),4)</f>
        <v>1.4E-3</v>
      </c>
      <c r="D26" s="281"/>
      <c r="E26" s="284"/>
      <c r="F26" s="282"/>
      <c r="G26" s="286"/>
    </row>
    <row r="27" spans="1:7" s="257" customFormat="1" ht="24.75">
      <c r="A27" s="298" t="s">
        <v>2381</v>
      </c>
      <c r="B27" s="287" t="s">
        <v>2382</v>
      </c>
      <c r="C27" s="288">
        <f ca="1">C28</f>
        <v>7973453</v>
      </c>
      <c r="D27" s="278">
        <f ca="1">C29</f>
        <v>2.3999999999999998E-3</v>
      </c>
      <c r="E27" s="279" t="s">
        <v>2383</v>
      </c>
      <c r="F27" s="289">
        <f ca="1">IF(B1="",'数据-取费表'!Q16,INDIRECT("'数据-取费表'!q"&amp;$G$1))</f>
        <v>0.08</v>
      </c>
      <c r="G27" s="290" t="s">
        <v>2384</v>
      </c>
    </row>
    <row r="28" spans="1:7" s="257" customFormat="1" ht="13.5" customHeight="1">
      <c r="A28" s="953" t="s">
        <v>791</v>
      </c>
      <c r="B28" s="291" t="s">
        <v>2385</v>
      </c>
      <c r="C28" s="292">
        <f ca="1">ROUND((C5+C19+C20)*F27,0)</f>
        <v>7973453</v>
      </c>
      <c r="D28" s="278"/>
      <c r="E28" s="279"/>
      <c r="F28" s="289"/>
      <c r="G28" s="290"/>
    </row>
    <row r="29" spans="1:7" s="257" customFormat="1" ht="13.5" customHeight="1">
      <c r="A29" s="953" t="s">
        <v>792</v>
      </c>
      <c r="B29" s="291" t="s">
        <v>2386</v>
      </c>
      <c r="C29" s="281">
        <f ca="1">ROUND(C21*F27,4)</f>
        <v>2.3999999999999998E-3</v>
      </c>
      <c r="D29" s="278"/>
      <c r="E29" s="279"/>
      <c r="F29" s="289"/>
      <c r="G29" s="290"/>
    </row>
    <row r="30" spans="1:7" s="257" customFormat="1" ht="13.5" customHeight="1">
      <c r="A30" s="298" t="s">
        <v>2387</v>
      </c>
      <c r="B30" s="253" t="s">
        <v>2388</v>
      </c>
      <c r="C30" s="278">
        <f>ROUND(F30/(1+'数据-取费表'!C42),4)</f>
        <v>5.9400000000000001E-2</v>
      </c>
      <c r="D30" s="279" t="s">
        <v>2383</v>
      </c>
      <c r="E30" s="284"/>
      <c r="F30" s="280">
        <f>'数据-取费表'!B41</f>
        <v>6.2719999999999998E-2</v>
      </c>
      <c r="G30" s="277" t="s">
        <v>2389</v>
      </c>
    </row>
    <row r="31" spans="1:7" ht="16.5" customHeight="1">
      <c r="A31" s="252">
        <v>1</v>
      </c>
      <c r="B31" s="253" t="s">
        <v>2390</v>
      </c>
      <c r="C31" s="254">
        <f ca="1">ROUND((C5+C19+C20+C22+C27)/(1-C21-D22-D27-C30),0)</f>
        <v>129287313</v>
      </c>
      <c r="D31" s="273"/>
      <c r="E31" s="254"/>
      <c r="F31" s="293"/>
      <c r="G31" s="277" t="s">
        <v>2391</v>
      </c>
    </row>
    <row r="32" spans="1:7" s="251" customFormat="1" ht="15.75">
      <c r="A32" s="295" t="s">
        <v>2458</v>
      </c>
      <c r="B32" s="296"/>
      <c r="C32" s="296"/>
      <c r="D32" s="296"/>
      <c r="E32" s="296"/>
      <c r="F32" s="296"/>
      <c r="G32" s="297"/>
    </row>
    <row r="33" spans="1:7" s="257" customFormat="1" ht="13.5" customHeight="1">
      <c r="A33" s="298" t="s">
        <v>782</v>
      </c>
      <c r="B33" s="253" t="s">
        <v>2459</v>
      </c>
      <c r="C33" s="299">
        <f ca="1">SUM(C34:C38)</f>
        <v>653771703</v>
      </c>
      <c r="D33" s="275"/>
      <c r="E33" s="255"/>
      <c r="F33" s="284"/>
      <c r="G33" s="277"/>
    </row>
    <row r="34" spans="1:7" s="301" customFormat="1" ht="13.5" customHeight="1">
      <c r="A34" s="953" t="s">
        <v>791</v>
      </c>
      <c r="B34" s="258" t="s">
        <v>2394</v>
      </c>
      <c r="C34" s="263">
        <f ca="1">ROUND(IF(B1="",SUMPRODUCT('数据-取费表'!K6:K14,'数据-取费表'!L6:L14),INDIRECT("'数据-取费表'!l"&amp;$G$1)*INDIRECT("'数据-取费表'!k"&amp;$G$1)+'数据-取费表'!L14*INDIRECT("'数据-取费表'!S"&amp;$G$1)),0)</f>
        <v>555313910</v>
      </c>
      <c r="D34" s="260"/>
      <c r="E34" s="263"/>
      <c r="F34" s="300"/>
      <c r="G34" s="262"/>
    </row>
    <row r="35" spans="1:7" ht="13.5" customHeight="1">
      <c r="A35" s="953" t="s">
        <v>796</v>
      </c>
      <c r="B35" s="258" t="s">
        <v>2396</v>
      </c>
      <c r="C35" s="263">
        <f ca="1">ROUND(C34*F35,0)</f>
        <v>27765696</v>
      </c>
      <c r="D35" s="263"/>
      <c r="E35" s="263"/>
      <c r="F35" s="302">
        <f>'数据-取费表'!B33</f>
        <v>0.05</v>
      </c>
      <c r="G35" s="262" t="s">
        <v>2397</v>
      </c>
    </row>
    <row r="36" spans="1:7" ht="24">
      <c r="A36" s="953" t="s">
        <v>797</v>
      </c>
      <c r="B36" s="258" t="s">
        <v>2398</v>
      </c>
      <c r="C36" s="263">
        <f ca="1">ROUND(IF(B1="",SUM('数据-取费表'!AP6:AP13)*F36,IF(INDIRECT("'数据-取费表'!c"&amp;$G$1)="住宅",INDIRECT("'数据-取费表'!k"&amp;$G$1)*INDIRECT("'数据-取费表'!l"&amp;$G$1)*F36,0)),0)</f>
        <v>20358596</v>
      </c>
      <c r="D36" s="263"/>
      <c r="E36" s="263"/>
      <c r="F36" s="302">
        <f>'数据-取费表'!B34</f>
        <v>0.05</v>
      </c>
      <c r="G36" s="303" t="s">
        <v>2399</v>
      </c>
    </row>
    <row r="37" spans="1:7" s="301" customFormat="1" ht="13.5" customHeight="1">
      <c r="A37" s="953" t="s">
        <v>798</v>
      </c>
      <c r="B37" s="258" t="s">
        <v>2400</v>
      </c>
      <c r="C37" s="292">
        <f ca="1">ROUND(E37*D37,0)</f>
        <v>42003792</v>
      </c>
      <c r="D37" s="260">
        <f ca="1">D19</f>
        <v>210018.96</v>
      </c>
      <c r="E37" s="292">
        <f>'数据-取费表'!B35</f>
        <v>200</v>
      </c>
      <c r="F37" s="302"/>
      <c r="G37" s="304"/>
    </row>
    <row r="38" spans="1:7" ht="13.5" customHeight="1">
      <c r="A38" s="953" t="s">
        <v>799</v>
      </c>
      <c r="B38" s="258" t="s">
        <v>2402</v>
      </c>
      <c r="C38" s="263">
        <f ca="1">ROUND(C34*F38,0)</f>
        <v>8329709</v>
      </c>
      <c r="D38" s="263"/>
      <c r="E38" s="263"/>
      <c r="F38" s="302">
        <f>'数据-取费表'!B36</f>
        <v>1.4999999999999999E-2</v>
      </c>
      <c r="G38" s="262" t="s">
        <v>2397</v>
      </c>
    </row>
    <row r="39" spans="1:7" s="257" customFormat="1" ht="13.5" customHeight="1">
      <c r="A39" s="298" t="s">
        <v>2403</v>
      </c>
      <c r="B39" s="253" t="s">
        <v>2404</v>
      </c>
      <c r="C39" s="275">
        <f ca="1">ROUND(C33*F20,0)</f>
        <v>13075434</v>
      </c>
      <c r="D39" s="275"/>
      <c r="E39" s="275"/>
      <c r="F39" s="276"/>
      <c r="G39" s="277" t="s">
        <v>2405</v>
      </c>
    </row>
    <row r="40" spans="1:7" s="257" customFormat="1" ht="13.5" customHeight="1">
      <c r="A40" s="298" t="s">
        <v>2406</v>
      </c>
      <c r="B40" s="253" t="s">
        <v>2407</v>
      </c>
      <c r="C40" s="1729">
        <f>F21</f>
        <v>0.03</v>
      </c>
      <c r="D40" s="279" t="s">
        <v>2408</v>
      </c>
      <c r="E40" s="275"/>
      <c r="F40" s="276"/>
      <c r="G40" s="277" t="s">
        <v>2409</v>
      </c>
    </row>
    <row r="41" spans="1:7" s="257" customFormat="1" ht="13.5" customHeight="1">
      <c r="A41" s="298" t="s">
        <v>2410</v>
      </c>
      <c r="B41" s="253" t="s">
        <v>2411</v>
      </c>
      <c r="C41" s="275">
        <f ca="1">ROUND(SUM(C42:C43),0)</f>
        <v>31675239</v>
      </c>
      <c r="D41" s="278">
        <f ca="1">C44</f>
        <v>1.4E-3</v>
      </c>
      <c r="E41" s="279" t="s">
        <v>2408</v>
      </c>
      <c r="F41" s="280"/>
      <c r="G41" s="277" t="str">
        <f>IF('数据-取费表'!B22&lt;=1,"单利计息","复利计息")</f>
        <v>复利计息</v>
      </c>
    </row>
    <row r="42" spans="1:7" ht="13.5" customHeight="1">
      <c r="A42" s="953" t="s">
        <v>791</v>
      </c>
      <c r="B42" s="258" t="s">
        <v>2412</v>
      </c>
      <c r="C42" s="281">
        <f ca="1">ROUND(IF('数据-取费表'!B22&lt;=1,C33*F22*'数据-取费表'!B20/2,C33*(POWER((1+F22),'数据-取费表'!B20/2)-1)),0)</f>
        <v>31054156</v>
      </c>
      <c r="D42" s="281"/>
      <c r="E42" s="281"/>
      <c r="F42" s="282"/>
      <c r="G42" s="3132" t="s">
        <v>2460</v>
      </c>
    </row>
    <row r="43" spans="1:7" ht="13.5" customHeight="1">
      <c r="A43" s="953" t="s">
        <v>792</v>
      </c>
      <c r="B43" s="258" t="s">
        <v>2414</v>
      </c>
      <c r="C43" s="281">
        <f ca="1">ROUND(IF('数据-取费表'!B22&lt;=1,C39*F22*'数据-取费表'!B20/2,C39*(POWER((1+F22),'数据-取费表'!B20/2)-1)),0)</f>
        <v>621083</v>
      </c>
      <c r="D43" s="281"/>
      <c r="E43" s="281"/>
      <c r="F43" s="282"/>
      <c r="G43" s="3133"/>
    </row>
    <row r="44" spans="1:7" ht="13.5" customHeight="1">
      <c r="A44" s="953" t="s">
        <v>793</v>
      </c>
      <c r="B44" s="258" t="s">
        <v>2415</v>
      </c>
      <c r="C44" s="281">
        <f ca="1">ROUND(IF('数据-取费表'!B22&lt;=1,C40*F22*'数据-取费表'!B20/2,C40*(POWER((1+F22),'数据-取费表'!B20/2)-1)),4)</f>
        <v>1.4E-3</v>
      </c>
      <c r="D44" s="281"/>
      <c r="E44" s="281"/>
      <c r="F44" s="282"/>
      <c r="G44" s="3134"/>
    </row>
    <row r="45" spans="1:7" s="257" customFormat="1" ht="13.5" customHeight="1">
      <c r="A45" s="298" t="s">
        <v>2416</v>
      </c>
      <c r="B45" s="287" t="s">
        <v>2382</v>
      </c>
      <c r="C45" s="288">
        <f ca="1">C46</f>
        <v>53347771</v>
      </c>
      <c r="D45" s="278">
        <f ca="1">C47</f>
        <v>2.3999999999999998E-3</v>
      </c>
      <c r="E45" s="279" t="s">
        <v>2408</v>
      </c>
      <c r="F45" s="289"/>
      <c r="G45" s="290" t="s">
        <v>2417</v>
      </c>
    </row>
    <row r="46" spans="1:7" s="257" customFormat="1" ht="13.5" customHeight="1">
      <c r="A46" s="953" t="s">
        <v>791</v>
      </c>
      <c r="B46" s="291" t="s">
        <v>2418</v>
      </c>
      <c r="C46" s="292">
        <f ca="1">ROUND((C33+C39)*F27,0)</f>
        <v>53347771</v>
      </c>
      <c r="D46" s="306"/>
      <c r="E46" s="279"/>
      <c r="F46" s="289"/>
      <c r="G46" s="290"/>
    </row>
    <row r="47" spans="1:7" s="257" customFormat="1" ht="13.5" customHeight="1">
      <c r="A47" s="953" t="s">
        <v>792</v>
      </c>
      <c r="B47" s="291" t="s">
        <v>2419</v>
      </c>
      <c r="C47" s="281">
        <f ca="1">ROUND(C40*F27,4)</f>
        <v>2.3999999999999998E-3</v>
      </c>
      <c r="D47" s="306"/>
      <c r="E47" s="279"/>
      <c r="F47" s="289"/>
      <c r="G47" s="290"/>
    </row>
    <row r="48" spans="1:7" s="257" customFormat="1" ht="13.5" customHeight="1">
      <c r="A48" s="298" t="s">
        <v>2381</v>
      </c>
      <c r="B48" s="253" t="s">
        <v>2420</v>
      </c>
      <c r="C48" s="305">
        <f>ROUND(F30/(1+'数据-取费表'!C42),4)</f>
        <v>5.9400000000000001E-2</v>
      </c>
      <c r="D48" s="279" t="s">
        <v>2408</v>
      </c>
      <c r="E48" s="275"/>
      <c r="F48" s="280"/>
      <c r="G48" s="277" t="s">
        <v>2421</v>
      </c>
    </row>
    <row r="49" spans="1:7" ht="16.5" customHeight="1">
      <c r="A49" s="298" t="s">
        <v>2387</v>
      </c>
      <c r="B49" s="253" t="s">
        <v>2461</v>
      </c>
      <c r="C49" s="275">
        <f ca="1">ROUND((C33+C39+C41+C45)/(1-C40-D41-D45-C48),0)</f>
        <v>829146611</v>
      </c>
      <c r="D49" s="275"/>
      <c r="E49" s="275"/>
      <c r="F49" s="307"/>
      <c r="G49" s="277" t="s">
        <v>2423</v>
      </c>
    </row>
    <row r="50" spans="1:7" s="301" customFormat="1">
      <c r="A50" s="298" t="s">
        <v>2424</v>
      </c>
      <c r="B50" s="253" t="s">
        <v>2425</v>
      </c>
      <c r="C50" s="275"/>
      <c r="D50" s="275"/>
      <c r="E50" s="275"/>
      <c r="F50" s="307">
        <f>IF('数据-取费表'!B24=0,'数据-取费表'!N16,1)</f>
        <v>1</v>
      </c>
      <c r="G50" s="290"/>
    </row>
    <row r="51" spans="1:7" ht="16.5" customHeight="1">
      <c r="A51" s="298" t="s">
        <v>2427</v>
      </c>
      <c r="B51" s="253" t="s">
        <v>2462</v>
      </c>
      <c r="C51" s="275">
        <f ca="1">ROUND(C49*F50,0)</f>
        <v>829146611</v>
      </c>
      <c r="D51" s="275"/>
      <c r="E51" s="275"/>
      <c r="F51" s="307"/>
      <c r="G51" s="277" t="s">
        <v>2429</v>
      </c>
    </row>
    <row r="52" spans="1:7" s="251" customFormat="1" ht="16.5" thickBot="1">
      <c r="A52" s="308" t="s">
        <v>2430</v>
      </c>
      <c r="B52" s="309"/>
      <c r="C52" s="310">
        <f ca="1">C31+C51</f>
        <v>958433924</v>
      </c>
      <c r="D52" s="309"/>
      <c r="E52" s="309"/>
      <c r="F52" s="309"/>
      <c r="G52" s="311"/>
    </row>
    <row r="55" spans="1:7" ht="15">
      <c r="B55" s="313" t="s">
        <v>2431</v>
      </c>
      <c r="C55" s="314"/>
    </row>
    <row r="56" spans="1:7">
      <c r="B56" s="316" t="s">
        <v>1515</v>
      </c>
      <c r="C56" s="318">
        <f ca="1">1-C57</f>
        <v>0.13500000000000001</v>
      </c>
    </row>
    <row r="57" spans="1:7">
      <c r="B57" s="316" t="s">
        <v>1516</v>
      </c>
      <c r="C57" s="317">
        <f ca="1">ROUND(C51/C52,3)</f>
        <v>0.86499999999999999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15">
    <tabColor rgb="FF92D050"/>
    <pageSetUpPr fitToPage="1"/>
  </sheetPr>
  <dimension ref="A1:AD133"/>
  <sheetViews>
    <sheetView zoomScale="80" zoomScaleNormal="80" workbookViewId="0">
      <selection activeCell="C38" sqref="C38"/>
    </sheetView>
  </sheetViews>
  <sheetFormatPr defaultRowHeight="14.25"/>
  <cols>
    <col min="1" max="1" width="14.375" style="402" customWidth="1"/>
    <col min="2" max="2" width="15.75" style="402" customWidth="1"/>
    <col min="3" max="3" width="15.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2745</v>
      </c>
      <c r="B1" s="394"/>
      <c r="C1" s="395" t="s">
        <v>2746</v>
      </c>
      <c r="D1" s="754"/>
      <c r="E1" s="754"/>
      <c r="F1" s="753" t="s">
        <v>2644</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2331</v>
      </c>
      <c r="B2" s="670">
        <f>F66</f>
        <v>82995</v>
      </c>
      <c r="C2" s="1124"/>
      <c r="D2" s="1124"/>
      <c r="E2" s="1125"/>
      <c r="F2" s="1126"/>
      <c r="G2" s="1125"/>
      <c r="H2" s="1125"/>
      <c r="I2" s="1125"/>
      <c r="J2" s="1125"/>
      <c r="K2" s="1127"/>
      <c r="L2" s="1128"/>
      <c r="M2" s="1129"/>
      <c r="N2" s="1129"/>
      <c r="O2" s="1129"/>
      <c r="P2" s="767"/>
      <c r="Q2" s="767"/>
      <c r="R2" s="767"/>
      <c r="S2" s="767"/>
      <c r="T2" s="767"/>
      <c r="U2" s="767"/>
      <c r="V2" s="767"/>
      <c r="W2" s="767"/>
      <c r="X2" s="767"/>
      <c r="Y2" s="767"/>
      <c r="Z2" s="767"/>
      <c r="AA2" s="767"/>
      <c r="AB2" s="767"/>
      <c r="AC2" s="768"/>
      <c r="AD2" s="396"/>
    </row>
    <row r="3" spans="1:30" s="397" customFormat="1" ht="28.5" customHeight="1" thickBot="1">
      <c r="A3" s="246" t="s">
        <v>2333</v>
      </c>
      <c r="B3" s="608">
        <f>ROUND(IF(D3="",B2*10000/'数据-汇总表'!E3,B2*10000/D3),0)</f>
        <v>6105</v>
      </c>
      <c r="C3" s="246" t="s">
        <v>2747</v>
      </c>
      <c r="D3" s="1584">
        <f>'数据-汇总表'!F31</f>
        <v>135947.96</v>
      </c>
      <c r="E3" s="1125"/>
      <c r="F3" s="1126"/>
      <c r="G3" s="1125"/>
      <c r="H3" s="1125"/>
      <c r="I3" s="1125"/>
      <c r="J3" s="1125"/>
      <c r="K3" s="1127"/>
      <c r="L3" s="1128"/>
      <c r="M3" s="1129"/>
      <c r="N3" s="1129"/>
      <c r="O3" s="1129"/>
      <c r="P3" s="767"/>
      <c r="Q3" s="767"/>
      <c r="R3" s="767"/>
      <c r="S3" s="767"/>
      <c r="T3" s="767"/>
      <c r="U3" s="767"/>
      <c r="V3" s="767"/>
      <c r="W3" s="767"/>
      <c r="X3" s="767"/>
      <c r="Y3" s="767"/>
      <c r="Z3" s="767"/>
      <c r="AA3" s="767"/>
      <c r="AB3" s="785"/>
      <c r="AC3" s="781"/>
    </row>
    <row r="4" spans="1:30" ht="15">
      <c r="A4" s="400" t="s">
        <v>2646</v>
      </c>
      <c r="B4" s="401"/>
      <c r="C4" s="3139" t="s">
        <v>2647</v>
      </c>
      <c r="D4" s="3152"/>
      <c r="E4" s="3153" t="s">
        <v>2648</v>
      </c>
      <c r="F4" s="3154"/>
      <c r="G4" s="3139" t="s">
        <v>2649</v>
      </c>
      <c r="H4" s="3152"/>
      <c r="I4" s="3139" t="s">
        <v>2650</v>
      </c>
      <c r="J4" s="3152"/>
      <c r="K4" s="609" t="s">
        <v>2651</v>
      </c>
      <c r="L4" s="1130"/>
      <c r="M4" s="1131"/>
      <c r="N4" s="1131"/>
      <c r="O4" s="1131"/>
      <c r="P4" s="3155" t="s">
        <v>2652</v>
      </c>
      <c r="Q4" s="3156"/>
      <c r="R4" s="3161" t="s">
        <v>2648</v>
      </c>
      <c r="S4" s="3162"/>
      <c r="T4" s="3161" t="s">
        <v>2649</v>
      </c>
      <c r="U4" s="3162"/>
      <c r="V4" s="3148" t="s">
        <v>2650</v>
      </c>
      <c r="W4" s="3148"/>
      <c r="X4" s="1814"/>
      <c r="Y4" s="3161" t="s">
        <v>2652</v>
      </c>
      <c r="Z4" s="3162"/>
      <c r="AA4" s="3149" t="s">
        <v>2648</v>
      </c>
      <c r="AB4" s="3150" t="s">
        <v>2649</v>
      </c>
      <c r="AC4" s="3149" t="s">
        <v>2650</v>
      </c>
    </row>
    <row r="5" spans="1:30" ht="15">
      <c r="A5" s="403"/>
      <c r="B5" s="404"/>
      <c r="C5" s="3169" t="s">
        <v>3131</v>
      </c>
      <c r="D5" s="3170"/>
      <c r="E5" s="3176" t="s">
        <v>3129</v>
      </c>
      <c r="F5" s="3177"/>
      <c r="G5" s="3169" t="s">
        <v>3140</v>
      </c>
      <c r="H5" s="3170"/>
      <c r="I5" s="3169" t="s">
        <v>3142</v>
      </c>
      <c r="J5" s="3170"/>
      <c r="K5" s="609"/>
      <c r="L5" s="1130"/>
      <c r="M5" s="1131"/>
      <c r="N5" s="1131"/>
      <c r="O5" s="1131"/>
      <c r="P5" s="3157"/>
      <c r="Q5" s="3158"/>
      <c r="R5" s="3163"/>
      <c r="S5" s="3164"/>
      <c r="T5" s="3163"/>
      <c r="U5" s="3164"/>
      <c r="V5" s="3148"/>
      <c r="W5" s="3148"/>
      <c r="X5" s="1814"/>
      <c r="Y5" s="3163"/>
      <c r="Z5" s="3164"/>
      <c r="AA5" s="3150"/>
      <c r="AB5" s="3150"/>
      <c r="AC5" s="3150"/>
    </row>
    <row r="6" spans="1:30" ht="45.75" customHeight="1" thickBot="1">
      <c r="A6" s="405"/>
      <c r="B6" s="406"/>
      <c r="C6" s="3167" t="s">
        <v>3131</v>
      </c>
      <c r="D6" s="3168"/>
      <c r="E6" s="3174" t="s">
        <v>3130</v>
      </c>
      <c r="F6" s="3175"/>
      <c r="G6" s="3167" t="s">
        <v>3141</v>
      </c>
      <c r="H6" s="3168"/>
      <c r="I6" s="3167" t="s">
        <v>3143</v>
      </c>
      <c r="J6" s="3168"/>
      <c r="K6" s="609" t="s">
        <v>2548</v>
      </c>
      <c r="L6" s="1130"/>
      <c r="M6" s="1131"/>
      <c r="N6" s="1131"/>
      <c r="O6" s="1131"/>
      <c r="P6" s="3159"/>
      <c r="Q6" s="3160"/>
      <c r="R6" s="3163"/>
      <c r="S6" s="3164"/>
      <c r="T6" s="3165"/>
      <c r="U6" s="3166"/>
      <c r="V6" s="3148"/>
      <c r="W6" s="3148"/>
      <c r="X6" s="1814"/>
      <c r="Y6" s="3165"/>
      <c r="Z6" s="3166"/>
      <c r="AA6" s="3151"/>
      <c r="AB6" s="3151"/>
      <c r="AC6" s="3151"/>
    </row>
    <row r="7" spans="1:30" s="116" customFormat="1" ht="15.75" thickBot="1">
      <c r="A7" s="407" t="s">
        <v>2549</v>
      </c>
      <c r="B7" s="408"/>
      <c r="C7" s="409">
        <f>'数据-取费表'!B2</f>
        <v>43025</v>
      </c>
      <c r="D7" s="410">
        <v>100</v>
      </c>
      <c r="E7" s="411">
        <v>42797</v>
      </c>
      <c r="F7" s="412">
        <f>SUMIF(70:70,YEAR(E7)&amp;"-"&amp;INT((MONTH(E7)+2)/3),71:71)</f>
        <v>92.5</v>
      </c>
      <c r="G7" s="2695">
        <v>42913</v>
      </c>
      <c r="H7" s="410">
        <f>SUMIF(70:70,YEAR(G7)&amp;"-"&amp;INT((MONTH(G7)+2)/3),71:71)</f>
        <v>95</v>
      </c>
      <c r="I7" s="2695">
        <v>42942</v>
      </c>
      <c r="J7" s="410">
        <f>SUMIF(70:70,YEAR(I7)&amp;"-"&amp;INT((MONTH(I7)+2)/3),71:71)</f>
        <v>97.5</v>
      </c>
      <c r="K7" s="610"/>
      <c r="L7" s="1132"/>
      <c r="M7" s="1133"/>
      <c r="N7" s="1133"/>
      <c r="O7" s="1133"/>
      <c r="P7" s="3171" t="s">
        <v>2550</v>
      </c>
      <c r="Q7" s="3173"/>
      <c r="R7" s="769" t="s">
        <v>17</v>
      </c>
      <c r="S7" s="770">
        <f t="shared" ref="S7:S15" si="0">F7</f>
        <v>92.5</v>
      </c>
      <c r="T7" s="769" t="s">
        <v>17</v>
      </c>
      <c r="U7" s="770">
        <f t="shared" ref="U7:U15" si="1">H7</f>
        <v>95</v>
      </c>
      <c r="V7" s="769" t="s">
        <v>17</v>
      </c>
      <c r="W7" s="770">
        <f t="shared" ref="W7:W15" si="2">J7</f>
        <v>97.5</v>
      </c>
      <c r="X7" s="771"/>
      <c r="Y7" s="3171" t="s">
        <v>2550</v>
      </c>
      <c r="Z7" s="3172"/>
      <c r="AA7" s="772">
        <f>D7/F7</f>
        <v>1.0810810810810811</v>
      </c>
      <c r="AB7" s="772">
        <f>D7/H7</f>
        <v>1.0526315789473684</v>
      </c>
      <c r="AC7" s="772">
        <f>D7/J7</f>
        <v>1.0256410256410255</v>
      </c>
    </row>
    <row r="8" spans="1:30" s="116" customFormat="1" ht="15.75" thickBot="1">
      <c r="A8" s="407" t="s">
        <v>2551</v>
      </c>
      <c r="B8" s="408"/>
      <c r="C8" s="413" t="s">
        <v>2552</v>
      </c>
      <c r="D8" s="410">
        <v>100</v>
      </c>
      <c r="E8" s="413" t="s">
        <v>3105</v>
      </c>
      <c r="F8" s="412">
        <f>SUMIF(73:73,E8,74:74)-SUMIF(73:73,C8,74:74)+100</f>
        <v>100</v>
      </c>
      <c r="G8" s="413" t="s">
        <v>3105</v>
      </c>
      <c r="H8" s="410">
        <f>SUMIF(73:73,G8,74:74)-SUMIF(73:73,C8,74:74)+100</f>
        <v>100</v>
      </c>
      <c r="I8" s="413" t="s">
        <v>3105</v>
      </c>
      <c r="J8" s="410">
        <f>SUMIF(73:73,I8,74:74)-SUMIF(73:73,C8,74:74)+100</f>
        <v>100</v>
      </c>
      <c r="K8" s="610"/>
      <c r="L8" s="1132"/>
      <c r="M8" s="1133"/>
      <c r="N8" s="1133"/>
      <c r="O8" s="1133"/>
      <c r="P8" s="3171" t="s">
        <v>2553</v>
      </c>
      <c r="Q8" s="3172"/>
      <c r="R8" s="769" t="s">
        <v>17</v>
      </c>
      <c r="S8" s="770">
        <f t="shared" si="0"/>
        <v>100</v>
      </c>
      <c r="T8" s="769" t="s">
        <v>17</v>
      </c>
      <c r="U8" s="770">
        <f t="shared" si="1"/>
        <v>100</v>
      </c>
      <c r="V8" s="769" t="s">
        <v>17</v>
      </c>
      <c r="W8" s="770">
        <f t="shared" si="2"/>
        <v>100</v>
      </c>
      <c r="X8" s="771"/>
      <c r="Y8" s="3171" t="s">
        <v>2553</v>
      </c>
      <c r="Z8" s="3172"/>
      <c r="AA8" s="772">
        <f t="shared" ref="AA8:AA45" si="3">D8/F8</f>
        <v>1</v>
      </c>
      <c r="AB8" s="772">
        <f t="shared" ref="AB8:AB45" si="4">D8/H8</f>
        <v>1</v>
      </c>
      <c r="AC8" s="772">
        <f t="shared" ref="AC8:AC45" si="5">D8/J8</f>
        <v>1</v>
      </c>
    </row>
    <row r="9" spans="1:30" s="116" customFormat="1" ht="28.5">
      <c r="A9" s="414" t="s">
        <v>2554</v>
      </c>
      <c r="B9" s="70" t="s">
        <v>2555</v>
      </c>
      <c r="C9" s="2698" t="s">
        <v>3106</v>
      </c>
      <c r="D9" s="133">
        <v>100</v>
      </c>
      <c r="E9" s="2698" t="s">
        <v>3106</v>
      </c>
      <c r="F9" s="133">
        <f>SUMIF(75:75,E9,76:76)-SUMIF(75:75,C9,76:76)+100</f>
        <v>100</v>
      </c>
      <c r="G9" s="2698" t="s">
        <v>3144</v>
      </c>
      <c r="H9" s="133">
        <f>SUMIF(75:75,G9,76:76)-SUMIF(75:75,C9,76:76)+100</f>
        <v>100</v>
      </c>
      <c r="I9" s="2698" t="s">
        <v>3144</v>
      </c>
      <c r="J9" s="133">
        <f>SUMIF(75:75,I9,76:76)-SUMIF(75:75,C9,76:76)+100</f>
        <v>100</v>
      </c>
      <c r="K9" s="610"/>
      <c r="L9" s="1132"/>
      <c r="M9" s="1133"/>
      <c r="N9" s="1133"/>
      <c r="O9" s="1134"/>
      <c r="P9" s="3142" t="s">
        <v>2556</v>
      </c>
      <c r="Q9" s="1796" t="str">
        <f t="shared" ref="Q9:Q15" si="6">B9</f>
        <v>用途</v>
      </c>
      <c r="R9" s="769" t="s">
        <v>17</v>
      </c>
      <c r="S9" s="770">
        <f t="shared" si="0"/>
        <v>100</v>
      </c>
      <c r="T9" s="769" t="s">
        <v>17</v>
      </c>
      <c r="U9" s="770">
        <f t="shared" si="1"/>
        <v>100</v>
      </c>
      <c r="V9" s="769" t="s">
        <v>17</v>
      </c>
      <c r="W9" s="770">
        <f t="shared" si="2"/>
        <v>100</v>
      </c>
      <c r="X9" s="771"/>
      <c r="Y9" s="2990" t="s">
        <v>2557</v>
      </c>
      <c r="Z9" s="55" t="str">
        <f t="shared" ref="Z9:Z15" si="7">Q9</f>
        <v>用途</v>
      </c>
      <c r="AA9" s="772">
        <f t="shared" si="3"/>
        <v>1</v>
      </c>
      <c r="AB9" s="772">
        <f t="shared" si="4"/>
        <v>1</v>
      </c>
      <c r="AC9" s="772">
        <f t="shared" si="5"/>
        <v>1</v>
      </c>
    </row>
    <row r="10" spans="1:30" s="426" customFormat="1" ht="42.75">
      <c r="A10" s="420"/>
      <c r="B10" s="421" t="s">
        <v>2558</v>
      </c>
      <c r="C10" s="431" t="str">
        <f>项目基本情况!F16</f>
        <v>住宅69.2年，商业39.2年，地下车库49.2年</v>
      </c>
      <c r="D10" s="134">
        <v>100</v>
      </c>
      <c r="E10" s="464" t="s">
        <v>3132</v>
      </c>
      <c r="F10" s="134">
        <f>ROUND(100/'数据-取费表'!G16,0)</f>
        <v>100</v>
      </c>
      <c r="G10" s="462" t="s">
        <v>3132</v>
      </c>
      <c r="H10" s="134">
        <f>ROUND(100/'数据-取费表'!G16,0)</f>
        <v>100</v>
      </c>
      <c r="I10" s="462" t="s">
        <v>3132</v>
      </c>
      <c r="J10" s="134">
        <f>ROUND(100/'数据-取费表'!G16,0)</f>
        <v>100</v>
      </c>
      <c r="K10" s="671"/>
      <c r="L10" s="1135"/>
      <c r="M10" s="1136"/>
      <c r="N10" s="1136"/>
      <c r="O10" s="1137"/>
      <c r="P10" s="3142"/>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30" ht="15.75" thickBot="1">
      <c r="A11" s="427"/>
      <c r="B11" s="421" t="s">
        <v>2559</v>
      </c>
      <c r="C11" s="2943">
        <f>'数据-汇总表'!I5</f>
        <v>3.45</v>
      </c>
      <c r="D11" s="134">
        <v>100</v>
      </c>
      <c r="E11" s="428">
        <v>2.8</v>
      </c>
      <c r="F11" s="134">
        <f>LOOKUP(E11,80:80,81:81)-LOOKUP(C11,80:80,81:81)+100</f>
        <v>100</v>
      </c>
      <c r="G11" s="429">
        <v>1.5</v>
      </c>
      <c r="H11" s="134">
        <f>LOOKUP(G11,80:80,81:81)-LOOKUP(C11,80:80,81:81)+100</f>
        <v>102</v>
      </c>
      <c r="I11" s="428">
        <v>1.5</v>
      </c>
      <c r="J11" s="134">
        <f>LOOKUP(I11,80:80,81:81)-LOOKUP(C11,80:80,81:81)+100</f>
        <v>102</v>
      </c>
      <c r="K11" s="672">
        <v>2</v>
      </c>
      <c r="L11" s="1138"/>
      <c r="M11" s="1131"/>
      <c r="N11" s="1131"/>
      <c r="O11" s="1139"/>
      <c r="P11" s="3142"/>
      <c r="Q11" s="1796" t="str">
        <f t="shared" si="6"/>
        <v>容积率</v>
      </c>
      <c r="R11" s="769" t="s">
        <v>17</v>
      </c>
      <c r="S11" s="770">
        <f t="shared" si="0"/>
        <v>100</v>
      </c>
      <c r="T11" s="769" t="s">
        <v>17</v>
      </c>
      <c r="U11" s="770">
        <f t="shared" si="1"/>
        <v>102</v>
      </c>
      <c r="V11" s="769" t="s">
        <v>17</v>
      </c>
      <c r="W11" s="770">
        <f t="shared" si="2"/>
        <v>102</v>
      </c>
      <c r="X11" s="771"/>
      <c r="Y11" s="2990"/>
      <c r="Z11" s="55" t="str">
        <f t="shared" si="7"/>
        <v>容积率</v>
      </c>
      <c r="AA11" s="772">
        <f t="shared" si="3"/>
        <v>1</v>
      </c>
      <c r="AB11" s="772">
        <f t="shared" si="4"/>
        <v>0.98039215686274506</v>
      </c>
      <c r="AC11" s="772">
        <f t="shared" si="5"/>
        <v>0.98039215686274506</v>
      </c>
    </row>
    <row r="12" spans="1:30" s="116" customFormat="1" ht="15" hidden="1">
      <c r="A12" s="430"/>
      <c r="B12" s="2599" t="s">
        <v>2748</v>
      </c>
      <c r="C12" s="431"/>
      <c r="D12" s="432">
        <v>100</v>
      </c>
      <c r="E12" s="464"/>
      <c r="F12" s="134">
        <f>SUMIF(82:82,E12,83:83)-SUMIF(82:82,C12,83:83)+100</f>
        <v>100</v>
      </c>
      <c r="G12" s="462"/>
      <c r="H12" s="134">
        <f>SUMIF(82:82,G12,83:83)-SUMIF(82:82,C12,83:83)+100</f>
        <v>100</v>
      </c>
      <c r="I12" s="464"/>
      <c r="J12" s="134">
        <f>SUMIF(82:82,I12,83:83)-SUMIF(82:82,C12,83:83)+100</f>
        <v>100</v>
      </c>
      <c r="K12" s="671"/>
      <c r="L12" s="1132"/>
      <c r="M12" s="1133"/>
      <c r="N12" s="1133"/>
      <c r="O12" s="1134"/>
      <c r="P12" s="3142"/>
      <c r="Q12" s="1796" t="str">
        <f t="shared" si="6"/>
        <v>配建</v>
      </c>
      <c r="R12" s="769" t="s">
        <v>17</v>
      </c>
      <c r="S12" s="770">
        <f t="shared" si="0"/>
        <v>100</v>
      </c>
      <c r="T12" s="769" t="s">
        <v>17</v>
      </c>
      <c r="U12" s="770">
        <f t="shared" si="1"/>
        <v>100</v>
      </c>
      <c r="V12" s="769" t="s">
        <v>17</v>
      </c>
      <c r="W12" s="770">
        <f t="shared" si="2"/>
        <v>100</v>
      </c>
      <c r="X12" s="771"/>
      <c r="Y12" s="2990"/>
      <c r="Z12" s="55" t="str">
        <f t="shared" si="7"/>
        <v>配建</v>
      </c>
      <c r="AA12" s="772">
        <f>D12/F12</f>
        <v>1</v>
      </c>
      <c r="AB12" s="772">
        <f>D12/H12</f>
        <v>1</v>
      </c>
      <c r="AC12" s="772">
        <f>D12/J12</f>
        <v>1</v>
      </c>
    </row>
    <row r="13" spans="1:30" ht="15" hidden="1">
      <c r="A13" s="427"/>
      <c r="B13" s="2599">
        <v>111</v>
      </c>
      <c r="C13" s="433"/>
      <c r="D13" s="434">
        <v>100</v>
      </c>
      <c r="E13" s="548"/>
      <c r="F13" s="134">
        <f>SUMIF(84:84,E13,85:85)-SUMIF(84:84,C13,85:85)+100</f>
        <v>100</v>
      </c>
      <c r="G13" s="673"/>
      <c r="H13" s="434">
        <f>SUMIF(84:84,G13,85:85)-SUMIF(84:84,C13,85:85)+100</f>
        <v>100</v>
      </c>
      <c r="I13" s="673"/>
      <c r="J13" s="434">
        <f>SUMIF(84:84,I13,85:85)-SUMIF(84:84,C13,85:85)+100</f>
        <v>100</v>
      </c>
      <c r="K13" s="671"/>
      <c r="L13" s="1140"/>
      <c r="M13" s="1131"/>
      <c r="N13" s="1131"/>
      <c r="O13" s="1139"/>
      <c r="P13" s="3142"/>
      <c r="Q13" s="1796">
        <f t="shared" si="6"/>
        <v>111</v>
      </c>
      <c r="R13" s="769" t="s">
        <v>17</v>
      </c>
      <c r="S13" s="770">
        <f t="shared" si="0"/>
        <v>100</v>
      </c>
      <c r="T13" s="769" t="s">
        <v>17</v>
      </c>
      <c r="U13" s="770">
        <f t="shared" si="1"/>
        <v>100</v>
      </c>
      <c r="V13" s="769" t="s">
        <v>17</v>
      </c>
      <c r="W13" s="770">
        <f t="shared" si="2"/>
        <v>100</v>
      </c>
      <c r="X13" s="771"/>
      <c r="Y13" s="2990"/>
      <c r="Z13" s="55">
        <f t="shared" si="7"/>
        <v>111</v>
      </c>
      <c r="AA13" s="772">
        <f>D13/F13</f>
        <v>1</v>
      </c>
      <c r="AB13" s="772">
        <f>D13/H13</f>
        <v>1</v>
      </c>
      <c r="AC13" s="772">
        <f>D13/J13</f>
        <v>1</v>
      </c>
    </row>
    <row r="14" spans="1:30" ht="15.75" hidden="1" thickBot="1">
      <c r="A14" s="435"/>
      <c r="B14" s="2601">
        <v>111</v>
      </c>
      <c r="C14" s="436"/>
      <c r="D14" s="437">
        <v>100</v>
      </c>
      <c r="E14" s="548"/>
      <c r="F14" s="437">
        <f>SUMIF(86:86,E14,87:87)-SUMIF(86:86,C14,87:87)+100</f>
        <v>100</v>
      </c>
      <c r="G14" s="673"/>
      <c r="H14" s="437">
        <f>SUMIF(86:86,G14,87:87)-SUMIF(86:86,C14,87:87)+100</f>
        <v>100</v>
      </c>
      <c r="I14" s="673"/>
      <c r="J14" s="437">
        <f>SUMIF(86:86,I14,87:87)-SUMIF(86:86,C14,87:87)+100</f>
        <v>100</v>
      </c>
      <c r="K14" s="671"/>
      <c r="L14" s="1140"/>
      <c r="M14" s="1131"/>
      <c r="N14" s="1131"/>
      <c r="O14" s="1139"/>
      <c r="P14" s="3142"/>
      <c r="Q14" s="1796">
        <f t="shared" si="6"/>
        <v>111</v>
      </c>
      <c r="R14" s="769" t="s">
        <v>17</v>
      </c>
      <c r="S14" s="770">
        <f t="shared" si="0"/>
        <v>100</v>
      </c>
      <c r="T14" s="769" t="s">
        <v>17</v>
      </c>
      <c r="U14" s="770">
        <f t="shared" si="1"/>
        <v>100</v>
      </c>
      <c r="V14" s="769" t="s">
        <v>17</v>
      </c>
      <c r="W14" s="770">
        <f t="shared" si="2"/>
        <v>100</v>
      </c>
      <c r="X14" s="771"/>
      <c r="Y14" s="2990"/>
      <c r="Z14" s="55">
        <f t="shared" si="7"/>
        <v>111</v>
      </c>
      <c r="AA14" s="772">
        <f>D14/F14</f>
        <v>1</v>
      </c>
      <c r="AB14" s="772">
        <f>D14/H14</f>
        <v>1</v>
      </c>
      <c r="AC14" s="772">
        <f>D14/J14</f>
        <v>1</v>
      </c>
    </row>
    <row r="15" spans="1:30" ht="99.75">
      <c r="A15" s="439" t="s">
        <v>2560</v>
      </c>
      <c r="B15" s="68" t="s">
        <v>2087</v>
      </c>
      <c r="C15" s="2602" t="str">
        <f>估价对象房地状况!C15</f>
        <v>估价对象周边居住用地比例、居住小区规模和社区发展完善程度，综合评价居住社区成熟度一般</v>
      </c>
      <c r="D15" s="440">
        <v>100</v>
      </c>
      <c r="E15" s="441"/>
      <c r="F15" s="440">
        <f>SUMIF(88:88,E16,89:89)-SUMIF(88:88,C16,89:89)+100</f>
        <v>97</v>
      </c>
      <c r="G15" s="441"/>
      <c r="H15" s="440">
        <f>SUMIF(88:88,G16,89:89)-SUMIF(88:88,C16,89:89)+100</f>
        <v>97</v>
      </c>
      <c r="I15" s="443"/>
      <c r="J15" s="440">
        <f>SUMIF(88:88,I16,89:89)-SUMIF(88:88,C16,89:89)+100</f>
        <v>97</v>
      </c>
      <c r="K15" s="672">
        <v>3</v>
      </c>
      <c r="L15" s="1140"/>
      <c r="M15" s="1131"/>
      <c r="N15" s="1131"/>
      <c r="O15" s="1139"/>
      <c r="P15" s="3144" t="s">
        <v>2561</v>
      </c>
      <c r="Q15" s="1811" t="str">
        <f t="shared" si="6"/>
        <v>居住社区成熟度</v>
      </c>
      <c r="R15" s="773" t="s">
        <v>17</v>
      </c>
      <c r="S15" s="774">
        <f t="shared" si="0"/>
        <v>97</v>
      </c>
      <c r="T15" s="773" t="s">
        <v>17</v>
      </c>
      <c r="U15" s="774">
        <f t="shared" si="1"/>
        <v>97</v>
      </c>
      <c r="V15" s="773" t="s">
        <v>17</v>
      </c>
      <c r="W15" s="774">
        <f t="shared" si="2"/>
        <v>97</v>
      </c>
      <c r="X15" s="1814"/>
      <c r="Y15" s="3144" t="s">
        <v>2561</v>
      </c>
      <c r="Z15" s="1815" t="str">
        <f t="shared" si="7"/>
        <v>居住社区成熟度</v>
      </c>
      <c r="AA15" s="1812">
        <f t="shared" si="3"/>
        <v>1.0309278350515463</v>
      </c>
      <c r="AB15" s="1812">
        <f t="shared" si="4"/>
        <v>1.0309278350515463</v>
      </c>
      <c r="AC15" s="1812">
        <f t="shared" si="5"/>
        <v>1.0309278350515463</v>
      </c>
    </row>
    <row r="16" spans="1:30" ht="15">
      <c r="A16" s="427"/>
      <c r="B16" s="445"/>
      <c r="C16" s="446" t="s">
        <v>3108</v>
      </c>
      <c r="D16" s="447"/>
      <c r="E16" s="2604" t="s">
        <v>3133</v>
      </c>
      <c r="F16" s="447"/>
      <c r="G16" s="2604" t="s">
        <v>3133</v>
      </c>
      <c r="H16" s="449"/>
      <c r="I16" s="2603" t="s">
        <v>3133</v>
      </c>
      <c r="J16" s="447"/>
      <c r="K16" s="671"/>
      <c r="L16" s="1140"/>
      <c r="M16" s="1131"/>
      <c r="N16" s="1131"/>
      <c r="O16" s="1139"/>
      <c r="P16" s="3145"/>
      <c r="Q16" s="1811"/>
      <c r="R16" s="773"/>
      <c r="S16" s="774"/>
      <c r="T16" s="773"/>
      <c r="U16" s="774"/>
      <c r="V16" s="773"/>
      <c r="W16" s="774"/>
      <c r="X16" s="1814"/>
      <c r="Y16" s="3145"/>
      <c r="Z16" s="1815"/>
      <c r="AA16" s="1812">
        <v>1</v>
      </c>
      <c r="AB16" s="1812">
        <v>1</v>
      </c>
      <c r="AC16" s="1812">
        <v>1</v>
      </c>
    </row>
    <row r="17" spans="1:29" ht="71.25">
      <c r="A17" s="427"/>
      <c r="B17" s="450" t="s">
        <v>2654</v>
      </c>
      <c r="C17" s="2663" t="str">
        <f>估价对象房地状况!C16</f>
        <v>估价对象位于XX商圈，周边商业氛围成熟，人流量大，商业繁华度好</v>
      </c>
      <c r="D17" s="449">
        <v>100</v>
      </c>
      <c r="E17" s="451"/>
      <c r="F17" s="449">
        <f>SUMIF(90:90,E18,91:91)-SUMIF(90:90,C18,91:91)+100</f>
        <v>97</v>
      </c>
      <c r="G17" s="451"/>
      <c r="H17" s="454">
        <f>SUMIF(90:90,G18,91:91)-SUMIF(90:90,C18,91:91)+100</f>
        <v>94</v>
      </c>
      <c r="I17" s="453"/>
      <c r="J17" s="454">
        <f>SUMIF(90:90,I18,91:91)-SUMIF(90:90,C18,91:91)+100</f>
        <v>94</v>
      </c>
      <c r="K17" s="672">
        <v>3</v>
      </c>
      <c r="L17" s="1140"/>
      <c r="M17" s="1131"/>
      <c r="N17" s="1131"/>
      <c r="O17" s="1139"/>
      <c r="P17" s="3145"/>
      <c r="Q17" s="1811" t="str">
        <f>B17</f>
        <v>商业繁华度</v>
      </c>
      <c r="R17" s="773" t="s">
        <v>17</v>
      </c>
      <c r="S17" s="774">
        <f>F17</f>
        <v>97</v>
      </c>
      <c r="T17" s="773" t="s">
        <v>17</v>
      </c>
      <c r="U17" s="774">
        <f>H17</f>
        <v>94</v>
      </c>
      <c r="V17" s="773" t="s">
        <v>17</v>
      </c>
      <c r="W17" s="774">
        <f>J17</f>
        <v>94</v>
      </c>
      <c r="X17" s="1814"/>
      <c r="Y17" s="3145"/>
      <c r="Z17" s="1815" t="str">
        <f>Q17</f>
        <v>商业繁华度</v>
      </c>
      <c r="AA17" s="1812">
        <f t="shared" si="3"/>
        <v>1.0309278350515463</v>
      </c>
      <c r="AB17" s="1812">
        <f t="shared" si="4"/>
        <v>1.0638297872340425</v>
      </c>
      <c r="AC17" s="1812">
        <f t="shared" si="5"/>
        <v>1.0638297872340425</v>
      </c>
    </row>
    <row r="18" spans="1:29" ht="15">
      <c r="A18" s="427"/>
      <c r="B18" s="455"/>
      <c r="C18" s="2607" t="s">
        <v>3109</v>
      </c>
      <c r="D18" s="449"/>
      <c r="E18" s="2609" t="s">
        <v>3108</v>
      </c>
      <c r="F18" s="449"/>
      <c r="G18" s="2609" t="s">
        <v>3133</v>
      </c>
      <c r="H18" s="447"/>
      <c r="I18" s="2608" t="s">
        <v>3133</v>
      </c>
      <c r="J18" s="447"/>
      <c r="K18" s="671"/>
      <c r="L18" s="1140"/>
      <c r="M18" s="1131"/>
      <c r="N18" s="1131"/>
      <c r="O18" s="1139"/>
      <c r="P18" s="3145"/>
      <c r="Q18" s="1811"/>
      <c r="R18" s="773"/>
      <c r="S18" s="774"/>
      <c r="T18" s="773"/>
      <c r="U18" s="774"/>
      <c r="V18" s="773"/>
      <c r="W18" s="774"/>
      <c r="X18" s="1814"/>
      <c r="Y18" s="3145"/>
      <c r="Z18" s="1815"/>
      <c r="AA18" s="1812">
        <v>1</v>
      </c>
      <c r="AB18" s="1812">
        <v>1</v>
      </c>
      <c r="AC18" s="1812">
        <v>1</v>
      </c>
    </row>
    <row r="19" spans="1:29" ht="71.25" hidden="1">
      <c r="A19" s="427"/>
      <c r="B19" s="450" t="s">
        <v>2688</v>
      </c>
      <c r="C19" s="2663"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0"/>
      <c r="M19" s="1131"/>
      <c r="N19" s="1131"/>
      <c r="O19" s="1139"/>
      <c r="P19" s="3145"/>
      <c r="Q19" s="1811" t="str">
        <f>B19</f>
        <v>办公集聚程度</v>
      </c>
      <c r="R19" s="773" t="s">
        <v>17</v>
      </c>
      <c r="S19" s="774">
        <f>F19</f>
        <v>100</v>
      </c>
      <c r="T19" s="773" t="s">
        <v>17</v>
      </c>
      <c r="U19" s="774">
        <f>H19</f>
        <v>100</v>
      </c>
      <c r="V19" s="773" t="s">
        <v>17</v>
      </c>
      <c r="W19" s="774">
        <f>J19</f>
        <v>100</v>
      </c>
      <c r="X19" s="1814"/>
      <c r="Y19" s="3145"/>
      <c r="Z19" s="1815" t="str">
        <f>Q19</f>
        <v>办公集聚程度</v>
      </c>
      <c r="AA19" s="1812">
        <f t="shared" si="3"/>
        <v>1</v>
      </c>
      <c r="AB19" s="1812">
        <f t="shared" si="4"/>
        <v>1</v>
      </c>
      <c r="AC19" s="1812">
        <f t="shared" si="5"/>
        <v>1</v>
      </c>
    </row>
    <row r="20" spans="1:29" ht="15" hidden="1">
      <c r="A20" s="427"/>
      <c r="B20" s="455"/>
      <c r="C20" s="446"/>
      <c r="D20" s="447"/>
      <c r="E20" s="2604"/>
      <c r="F20" s="447"/>
      <c r="G20" s="2604"/>
      <c r="H20" s="447"/>
      <c r="I20" s="2603"/>
      <c r="J20" s="447"/>
      <c r="K20" s="671"/>
      <c r="L20" s="1140"/>
      <c r="M20" s="1131"/>
      <c r="N20" s="1131"/>
      <c r="O20" s="1139"/>
      <c r="P20" s="3145"/>
      <c r="Q20" s="1811"/>
      <c r="R20" s="773"/>
      <c r="S20" s="774"/>
      <c r="T20" s="773"/>
      <c r="U20" s="774"/>
      <c r="V20" s="773"/>
      <c r="W20" s="774"/>
      <c r="X20" s="1814"/>
      <c r="Y20" s="3145"/>
      <c r="Z20" s="1815"/>
      <c r="AA20" s="1812">
        <v>1</v>
      </c>
      <c r="AB20" s="1812">
        <v>1</v>
      </c>
      <c r="AC20" s="1812">
        <v>1</v>
      </c>
    </row>
    <row r="21" spans="1:29" ht="85.5">
      <c r="A21" s="427"/>
      <c r="B21" s="450" t="s">
        <v>2710</v>
      </c>
      <c r="C21" s="2606" t="str">
        <f>估价对象房地状况!C18</f>
        <v>估价对象周边道路状况、公共交通通达情况、停车便捷程度，综合评价交通便捷度较好</v>
      </c>
      <c r="D21" s="449">
        <v>100</v>
      </c>
      <c r="E21" s="451"/>
      <c r="F21" s="454">
        <f>SUMIF(94:94,E22,95:95)-SUMIF(94:94,C22,95:95)+100</f>
        <v>97</v>
      </c>
      <c r="G21" s="451"/>
      <c r="H21" s="449">
        <f>SUMIF(94:94,G22,95:95)-SUMIF(94:94,C22,95:95)+100</f>
        <v>97</v>
      </c>
      <c r="I21" s="453"/>
      <c r="J21" s="449">
        <f>SUMIF(94:94,I22,95:95)-SUMIF(94:94,C22,95:95)+100</f>
        <v>97</v>
      </c>
      <c r="K21" s="672">
        <v>3</v>
      </c>
      <c r="L21" s="1140"/>
      <c r="M21" s="1131"/>
      <c r="N21" s="1131"/>
      <c r="O21" s="1139"/>
      <c r="P21" s="3145"/>
      <c r="Q21" s="1811" t="str">
        <f>B21</f>
        <v>交通便捷度</v>
      </c>
      <c r="R21" s="773" t="s">
        <v>17</v>
      </c>
      <c r="S21" s="774">
        <f>F21</f>
        <v>97</v>
      </c>
      <c r="T21" s="773" t="s">
        <v>17</v>
      </c>
      <c r="U21" s="774">
        <f>H21</f>
        <v>97</v>
      </c>
      <c r="V21" s="773" t="s">
        <v>17</v>
      </c>
      <c r="W21" s="774">
        <f>J21</f>
        <v>97</v>
      </c>
      <c r="X21" s="1814"/>
      <c r="Y21" s="3145"/>
      <c r="Z21" s="1815" t="str">
        <f>Q21</f>
        <v>交通便捷度</v>
      </c>
      <c r="AA21" s="1812">
        <f t="shared" si="3"/>
        <v>1.0309278350515463</v>
      </c>
      <c r="AB21" s="1812">
        <f t="shared" si="4"/>
        <v>1.0309278350515463</v>
      </c>
      <c r="AC21" s="1812">
        <f t="shared" si="5"/>
        <v>1.0309278350515463</v>
      </c>
    </row>
    <row r="22" spans="1:29" ht="15">
      <c r="A22" s="427"/>
      <c r="B22" s="1384"/>
      <c r="C22" s="446" t="s">
        <v>3109</v>
      </c>
      <c r="D22" s="449"/>
      <c r="E22" s="2604" t="s">
        <v>3108</v>
      </c>
      <c r="F22" s="447"/>
      <c r="G22" s="2604" t="s">
        <v>3108</v>
      </c>
      <c r="H22" s="447"/>
      <c r="I22" s="2603" t="s">
        <v>3108</v>
      </c>
      <c r="J22" s="447"/>
      <c r="K22" s="671"/>
      <c r="L22" s="1140"/>
      <c r="M22" s="1131"/>
      <c r="N22" s="1131"/>
      <c r="O22" s="1139"/>
      <c r="P22" s="3145"/>
      <c r="Q22" s="1811"/>
      <c r="R22" s="773"/>
      <c r="S22" s="774"/>
      <c r="T22" s="773"/>
      <c r="U22" s="774"/>
      <c r="V22" s="773"/>
      <c r="W22" s="774"/>
      <c r="X22" s="1814"/>
      <c r="Y22" s="3145"/>
      <c r="Z22" s="1815"/>
      <c r="AA22" s="1812">
        <v>1</v>
      </c>
      <c r="AB22" s="1812">
        <v>1</v>
      </c>
      <c r="AC22" s="1812">
        <v>1</v>
      </c>
    </row>
    <row r="23" spans="1:29" ht="15">
      <c r="A23" s="403"/>
      <c r="B23" s="450" t="s">
        <v>2749</v>
      </c>
      <c r="C23" s="1389">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0"/>
      <c r="M23" s="1131"/>
      <c r="N23" s="1131"/>
      <c r="O23" s="1139"/>
      <c r="P23" s="3145"/>
      <c r="Q23" s="1811" t="str">
        <f t="shared" ref="Q23:Q37" si="8">B23</f>
        <v>区域土地利用方向</v>
      </c>
      <c r="R23" s="773" t="s">
        <v>17</v>
      </c>
      <c r="S23" s="774">
        <f>F23</f>
        <v>100</v>
      </c>
      <c r="T23" s="773" t="s">
        <v>17</v>
      </c>
      <c r="U23" s="774">
        <f>H23</f>
        <v>100</v>
      </c>
      <c r="V23" s="773" t="s">
        <v>17</v>
      </c>
      <c r="W23" s="774">
        <f>J23</f>
        <v>100</v>
      </c>
      <c r="X23" s="1814"/>
      <c r="Y23" s="3145"/>
      <c r="Z23" s="1815" t="str">
        <f>Q23</f>
        <v>区域土地利用方向</v>
      </c>
      <c r="AA23" s="1812">
        <f t="shared" si="3"/>
        <v>1</v>
      </c>
      <c r="AB23" s="1812">
        <f t="shared" si="4"/>
        <v>1</v>
      </c>
      <c r="AC23" s="1812">
        <f t="shared" si="5"/>
        <v>1</v>
      </c>
    </row>
    <row r="24" spans="1:29" ht="15">
      <c r="A24" s="403"/>
      <c r="B24" s="455"/>
      <c r="C24" s="615" t="s">
        <v>3108</v>
      </c>
      <c r="D24" s="447"/>
      <c r="E24" s="2604" t="s">
        <v>3108</v>
      </c>
      <c r="F24" s="447"/>
      <c r="G24" s="2603" t="s">
        <v>3108</v>
      </c>
      <c r="H24" s="447"/>
      <c r="I24" s="2603" t="s">
        <v>3108</v>
      </c>
      <c r="J24" s="447"/>
      <c r="K24" s="811"/>
      <c r="L24" s="1140"/>
      <c r="M24" s="1131"/>
      <c r="N24" s="1131"/>
      <c r="O24" s="1139"/>
      <c r="P24" s="3145"/>
      <c r="Q24" s="1811"/>
      <c r="R24" s="773"/>
      <c r="S24" s="774"/>
      <c r="T24" s="773"/>
      <c r="U24" s="774"/>
      <c r="V24" s="773"/>
      <c r="W24" s="774"/>
      <c r="X24" s="1814"/>
      <c r="Y24" s="3145"/>
      <c r="Z24" s="1815"/>
      <c r="AA24" s="1812"/>
      <c r="AB24" s="1812"/>
      <c r="AC24" s="1812"/>
    </row>
    <row r="25" spans="1:29" ht="57">
      <c r="A25" s="403"/>
      <c r="B25" s="1384" t="s">
        <v>2750</v>
      </c>
      <c r="C25" s="2663" t="str">
        <f>估价对象房地状况!C20</f>
        <v>区域自然环境：；人文环境；综合评价环境状况一般</v>
      </c>
      <c r="D25" s="449">
        <v>100</v>
      </c>
      <c r="E25" s="451"/>
      <c r="F25" s="449">
        <f>SUMIF(98:98,E26,99:99)-SUMIF(98:98,C26,99:99)+100</f>
        <v>97</v>
      </c>
      <c r="G25" s="451"/>
      <c r="H25" s="449">
        <f>SUMIF(98:98,G26,99:99)-SUMIF(98:98,C26,99:99)+100</f>
        <v>97</v>
      </c>
      <c r="I25" s="453"/>
      <c r="J25" s="449">
        <f>SUMIF(98:98,I26,99:99)-SUMIF(98:98,C26,99:99)+100</f>
        <v>94</v>
      </c>
      <c r="K25" s="672">
        <v>3</v>
      </c>
      <c r="L25" s="1140"/>
      <c r="M25" s="1131"/>
      <c r="N25" s="1131"/>
      <c r="O25" s="1139"/>
      <c r="P25" s="3145"/>
      <c r="Q25" s="1811" t="str">
        <f t="shared" si="8"/>
        <v>自然及人文环境状况</v>
      </c>
      <c r="R25" s="773" t="s">
        <v>17</v>
      </c>
      <c r="S25" s="774">
        <f>F25</f>
        <v>97</v>
      </c>
      <c r="T25" s="773" t="s">
        <v>17</v>
      </c>
      <c r="U25" s="774">
        <f>H25</f>
        <v>97</v>
      </c>
      <c r="V25" s="773" t="s">
        <v>17</v>
      </c>
      <c r="W25" s="774">
        <f>J25</f>
        <v>94</v>
      </c>
      <c r="X25" s="1814"/>
      <c r="Y25" s="3145"/>
      <c r="Z25" s="1815" t="str">
        <f>Q25</f>
        <v>自然及人文环境状况</v>
      </c>
      <c r="AA25" s="1812">
        <f t="shared" si="3"/>
        <v>1.0309278350515463</v>
      </c>
      <c r="AB25" s="1812">
        <f t="shared" si="4"/>
        <v>1.0309278350515463</v>
      </c>
      <c r="AC25" s="1812">
        <f t="shared" si="5"/>
        <v>1.0638297872340425</v>
      </c>
    </row>
    <row r="26" spans="1:29" ht="15">
      <c r="A26" s="403"/>
      <c r="B26" s="455"/>
      <c r="C26" s="446" t="s">
        <v>3109</v>
      </c>
      <c r="D26" s="447"/>
      <c r="E26" s="2610" t="s">
        <v>3108</v>
      </c>
      <c r="F26" s="447"/>
      <c r="G26" s="2610" t="s">
        <v>3108</v>
      </c>
      <c r="H26" s="447"/>
      <c r="I26" s="446" t="s">
        <v>3133</v>
      </c>
      <c r="J26" s="447"/>
      <c r="K26" s="671"/>
      <c r="L26" s="1140"/>
      <c r="M26" s="1131"/>
      <c r="N26" s="1131"/>
      <c r="O26" s="1139"/>
      <c r="P26" s="3145"/>
      <c r="Q26" s="1811"/>
      <c r="R26" s="773"/>
      <c r="S26" s="774"/>
      <c r="T26" s="773"/>
      <c r="U26" s="774"/>
      <c r="V26" s="773"/>
      <c r="W26" s="774"/>
      <c r="X26" s="1814"/>
      <c r="Y26" s="3145"/>
      <c r="Z26" s="1815"/>
      <c r="AA26" s="1812">
        <v>1</v>
      </c>
      <c r="AB26" s="1812">
        <v>1</v>
      </c>
      <c r="AC26" s="1812">
        <v>1</v>
      </c>
    </row>
    <row r="27" spans="1:29" s="116" customFormat="1" ht="42.75">
      <c r="A27" s="648"/>
      <c r="B27" s="1384" t="s">
        <v>2655</v>
      </c>
      <c r="C27" s="2606" t="str">
        <f>估价对象房地状况!C21</f>
        <v>估价对象所在区域公共配套设施齐备情况</v>
      </c>
      <c r="D27" s="449">
        <v>100</v>
      </c>
      <c r="E27" s="451"/>
      <c r="F27" s="449">
        <f>SUMIF(100:100,E28,101:101)-SUMIF(100:100,C28,101:101)+100</f>
        <v>100</v>
      </c>
      <c r="G27" s="451"/>
      <c r="H27" s="449">
        <f>SUMIF(100:100,G28,101:101)-SUMIF(100:100,C28,101:101)+100</f>
        <v>98</v>
      </c>
      <c r="I27" s="453"/>
      <c r="J27" s="449">
        <f>SUMIF(100:100,I28,101:101)-SUMIF(100:100,C28,101:101)+100</f>
        <v>98</v>
      </c>
      <c r="K27" s="672">
        <v>2</v>
      </c>
      <c r="L27" s="1132"/>
      <c r="M27" s="1133"/>
      <c r="N27" s="1133"/>
      <c r="O27" s="1134"/>
      <c r="P27" s="3145"/>
      <c r="Q27" s="1796" t="str">
        <f t="shared" si="8"/>
        <v>公共配套设施</v>
      </c>
      <c r="R27" s="769" t="s">
        <v>17</v>
      </c>
      <c r="S27" s="770">
        <f>F27</f>
        <v>100</v>
      </c>
      <c r="T27" s="769" t="s">
        <v>17</v>
      </c>
      <c r="U27" s="770">
        <f>H27</f>
        <v>98</v>
      </c>
      <c r="V27" s="769" t="s">
        <v>17</v>
      </c>
      <c r="W27" s="770">
        <f>J27</f>
        <v>98</v>
      </c>
      <c r="X27" s="771"/>
      <c r="Y27" s="3145"/>
      <c r="Z27" s="55" t="str">
        <f>Q27</f>
        <v>公共配套设施</v>
      </c>
      <c r="AA27" s="1812">
        <f>D27/F27</f>
        <v>1</v>
      </c>
      <c r="AB27" s="1812">
        <f>D27/H27</f>
        <v>1.0204081632653061</v>
      </c>
      <c r="AC27" s="1812">
        <f>D27/J27</f>
        <v>1.0204081632653061</v>
      </c>
    </row>
    <row r="28" spans="1:29" s="116" customFormat="1" ht="15">
      <c r="A28" s="648"/>
      <c r="B28" s="455"/>
      <c r="C28" s="2699" t="s">
        <v>3108</v>
      </c>
      <c r="D28" s="447"/>
      <c r="E28" s="2610" t="s">
        <v>3108</v>
      </c>
      <c r="F28" s="447"/>
      <c r="G28" s="2610" t="s">
        <v>3133</v>
      </c>
      <c r="H28" s="447"/>
      <c r="I28" s="446" t="s">
        <v>3133</v>
      </c>
      <c r="J28" s="447"/>
      <c r="K28" s="671"/>
      <c r="L28" s="1132"/>
      <c r="M28" s="1133"/>
      <c r="N28" s="1133"/>
      <c r="O28" s="1134"/>
      <c r="P28" s="3145"/>
      <c r="Q28" s="1796"/>
      <c r="R28" s="769"/>
      <c r="S28" s="770"/>
      <c r="T28" s="769"/>
      <c r="U28" s="770"/>
      <c r="V28" s="769"/>
      <c r="W28" s="770"/>
      <c r="X28" s="771"/>
      <c r="Y28" s="3145"/>
      <c r="Z28" s="55"/>
      <c r="AA28" s="1812">
        <v>1</v>
      </c>
      <c r="AB28" s="1812">
        <v>1</v>
      </c>
      <c r="AC28" s="1812">
        <v>1</v>
      </c>
    </row>
    <row r="29" spans="1:29" s="116" customFormat="1" ht="28.5">
      <c r="A29" s="648"/>
      <c r="B29" s="1384" t="s">
        <v>2656</v>
      </c>
      <c r="C29" s="2606"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2"/>
      <c r="M29" s="1133"/>
      <c r="N29" s="1133"/>
      <c r="O29" s="1134"/>
      <c r="P29" s="3145"/>
      <c r="Q29" s="1796" t="str">
        <f t="shared" ref="Q29" si="9">B29</f>
        <v>基础设施水平</v>
      </c>
      <c r="R29" s="769" t="s">
        <v>17</v>
      </c>
      <c r="S29" s="770">
        <f>F29</f>
        <v>100</v>
      </c>
      <c r="T29" s="769" t="s">
        <v>17</v>
      </c>
      <c r="U29" s="770">
        <f>H29</f>
        <v>100</v>
      </c>
      <c r="V29" s="769" t="s">
        <v>17</v>
      </c>
      <c r="W29" s="770">
        <f>J29</f>
        <v>100</v>
      </c>
      <c r="X29" s="771"/>
      <c r="Y29" s="3145"/>
      <c r="Z29" s="55" t="str">
        <f>Q29</f>
        <v>基础设施水平</v>
      </c>
      <c r="AA29" s="1812">
        <f>D29/F29</f>
        <v>1</v>
      </c>
      <c r="AB29" s="1812">
        <f>D29/H29</f>
        <v>1</v>
      </c>
      <c r="AC29" s="1812">
        <f>D29/J29</f>
        <v>1</v>
      </c>
    </row>
    <row r="30" spans="1:29" s="116" customFormat="1" ht="15">
      <c r="A30" s="648"/>
      <c r="B30" s="455"/>
      <c r="C30" s="2699" t="s">
        <v>3110</v>
      </c>
      <c r="D30" s="447"/>
      <c r="E30" s="2700" t="s">
        <v>3110</v>
      </c>
      <c r="F30" s="447"/>
      <c r="G30" s="2700" t="s">
        <v>3110</v>
      </c>
      <c r="H30" s="447"/>
      <c r="I30" s="2700" t="s">
        <v>3110</v>
      </c>
      <c r="J30" s="447"/>
      <c r="K30" s="671"/>
      <c r="L30" s="1132"/>
      <c r="M30" s="1133"/>
      <c r="N30" s="1133"/>
      <c r="O30" s="1134"/>
      <c r="P30" s="3145"/>
      <c r="Q30" s="1796"/>
      <c r="R30" s="769"/>
      <c r="S30" s="770"/>
      <c r="T30" s="769"/>
      <c r="U30" s="770"/>
      <c r="V30" s="769"/>
      <c r="W30" s="770"/>
      <c r="X30" s="771"/>
      <c r="Y30" s="3145"/>
      <c r="Z30" s="55"/>
      <c r="AA30" s="1812">
        <v>1</v>
      </c>
      <c r="AB30" s="1812">
        <v>1</v>
      </c>
      <c r="AC30" s="1812">
        <v>1</v>
      </c>
    </row>
    <row r="31" spans="1:29" ht="15">
      <c r="A31" s="427"/>
      <c r="B31" s="455" t="s">
        <v>2657</v>
      </c>
      <c r="C31" s="615" t="s">
        <v>3111</v>
      </c>
      <c r="D31" s="434">
        <v>100</v>
      </c>
      <c r="E31" s="633" t="s">
        <v>3111</v>
      </c>
      <c r="F31" s="434">
        <f>SUMIF(104:104,E31,105:105)-SUMIF(104:104,C31,105:105)+100</f>
        <v>100</v>
      </c>
      <c r="G31" s="633" t="s">
        <v>3111</v>
      </c>
      <c r="H31" s="434">
        <f>SUMIF(104:104,G31,105:105)-SUMIF(104:104,C31,105:105)+100</f>
        <v>100</v>
      </c>
      <c r="I31" s="633" t="s">
        <v>3111</v>
      </c>
      <c r="J31" s="434">
        <f>SUMIF(104:104,I31,105:105)-SUMIF(104:104,C31,105:105)+100</f>
        <v>100</v>
      </c>
      <c r="K31" s="672">
        <v>2</v>
      </c>
      <c r="L31" s="1140"/>
      <c r="M31" s="1131"/>
      <c r="N31" s="1131"/>
      <c r="O31" s="1139"/>
      <c r="P31" s="3145"/>
      <c r="Q31" s="1811" t="str">
        <f t="shared" si="8"/>
        <v>临街状况</v>
      </c>
      <c r="R31" s="773" t="s">
        <v>17</v>
      </c>
      <c r="S31" s="774">
        <f t="shared" ref="S31:S45" si="10">F31</f>
        <v>100</v>
      </c>
      <c r="T31" s="773" t="s">
        <v>17</v>
      </c>
      <c r="U31" s="774">
        <f t="shared" ref="U31:U45" si="11">H31</f>
        <v>100</v>
      </c>
      <c r="V31" s="773" t="s">
        <v>17</v>
      </c>
      <c r="W31" s="774">
        <f t="shared" ref="W31:W45" si="12">J31</f>
        <v>100</v>
      </c>
      <c r="X31" s="1814"/>
      <c r="Y31" s="3145"/>
      <c r="Z31" s="1815" t="str">
        <f t="shared" ref="Z31:Z45" si="13">Q31</f>
        <v>临街状况</v>
      </c>
      <c r="AA31" s="1812">
        <f t="shared" si="3"/>
        <v>1</v>
      </c>
      <c r="AB31" s="1812">
        <f t="shared" si="4"/>
        <v>1</v>
      </c>
      <c r="AC31" s="1812">
        <f t="shared" si="5"/>
        <v>1</v>
      </c>
    </row>
    <row r="32" spans="1:29" ht="27">
      <c r="A32" s="427"/>
      <c r="B32" s="1384" t="s">
        <v>2692</v>
      </c>
      <c r="C32" s="453"/>
      <c r="D32" s="449">
        <v>100</v>
      </c>
      <c r="E32" s="451"/>
      <c r="F32" s="449">
        <f>SUMIF(106:106,E33,107:107)-SUMIF(106:106,C33,107:107)+100</f>
        <v>98</v>
      </c>
      <c r="G32" s="451"/>
      <c r="H32" s="449">
        <f>SUMIF(106:106,G33,107:107)-SUMIF(106:106,C33,107:107)+100</f>
        <v>98</v>
      </c>
      <c r="I32" s="453"/>
      <c r="J32" s="449">
        <f>SUMIF(106:106,I33,107:107)-SUMIF(106:106,C33,107:107)+100</f>
        <v>100</v>
      </c>
      <c r="K32" s="672">
        <v>2</v>
      </c>
      <c r="L32" s="1140"/>
      <c r="M32" s="1131"/>
      <c r="N32" s="1131"/>
      <c r="O32" s="1139"/>
      <c r="P32" s="3145"/>
      <c r="Q32" s="1811" t="str">
        <f t="shared" si="8"/>
        <v>毗邻道路的类型与等级</v>
      </c>
      <c r="R32" s="773" t="s">
        <v>17</v>
      </c>
      <c r="S32" s="774">
        <f t="shared" si="10"/>
        <v>98</v>
      </c>
      <c r="T32" s="773" t="s">
        <v>17</v>
      </c>
      <c r="U32" s="774">
        <f t="shared" si="11"/>
        <v>98</v>
      </c>
      <c r="V32" s="773" t="s">
        <v>17</v>
      </c>
      <c r="W32" s="774">
        <f t="shared" si="12"/>
        <v>100</v>
      </c>
      <c r="X32" s="1814"/>
      <c r="Y32" s="3145"/>
      <c r="Z32" s="1815" t="str">
        <f t="shared" si="13"/>
        <v>毗邻道路的类型与等级</v>
      </c>
      <c r="AA32" s="1812">
        <f t="shared" si="3"/>
        <v>1.0204081632653061</v>
      </c>
      <c r="AB32" s="1812">
        <f t="shared" si="4"/>
        <v>1.0204081632653061</v>
      </c>
      <c r="AC32" s="1812">
        <f t="shared" si="5"/>
        <v>1</v>
      </c>
    </row>
    <row r="33" spans="1:29" ht="15">
      <c r="A33" s="427"/>
      <c r="B33" s="455"/>
      <c r="C33" s="446" t="s">
        <v>3113</v>
      </c>
      <c r="D33" s="447"/>
      <c r="E33" s="2610" t="s">
        <v>3115</v>
      </c>
      <c r="F33" s="447"/>
      <c r="G33" s="2610" t="s">
        <v>3115</v>
      </c>
      <c r="H33" s="447"/>
      <c r="I33" s="446" t="s">
        <v>3113</v>
      </c>
      <c r="J33" s="447"/>
      <c r="K33" s="612"/>
      <c r="L33" s="1140"/>
      <c r="M33" s="1131"/>
      <c r="N33" s="1131"/>
      <c r="O33" s="1139"/>
      <c r="P33" s="3145"/>
      <c r="Q33" s="1811"/>
      <c r="R33" s="773"/>
      <c r="S33" s="774"/>
      <c r="T33" s="773"/>
      <c r="U33" s="774"/>
      <c r="V33" s="773"/>
      <c r="W33" s="774"/>
      <c r="X33" s="1814"/>
      <c r="Y33" s="3145"/>
      <c r="Z33" s="1815"/>
      <c r="AA33" s="1812">
        <v>1</v>
      </c>
      <c r="AB33" s="1812">
        <v>1</v>
      </c>
      <c r="AC33" s="1812">
        <v>1</v>
      </c>
    </row>
    <row r="34" spans="1:29" ht="15.75" thickBot="1">
      <c r="A34" s="427"/>
      <c r="B34" s="421" t="s">
        <v>2751</v>
      </c>
      <c r="C34" s="615" t="s">
        <v>442</v>
      </c>
      <c r="D34" s="434">
        <v>100</v>
      </c>
      <c r="E34" s="633" t="s">
        <v>137</v>
      </c>
      <c r="F34" s="434">
        <f>SUMIF(108:108,E34,109:109)-SUMIF(108:108,C34,109:109)+100</f>
        <v>99</v>
      </c>
      <c r="G34" s="633" t="s">
        <v>523</v>
      </c>
      <c r="H34" s="434">
        <f>SUMIF(108:108,G34,109:109)-SUMIF(108:108,C34,109:109)+100</f>
        <v>98</v>
      </c>
      <c r="I34" s="615" t="s">
        <v>523</v>
      </c>
      <c r="J34" s="434">
        <f>SUMIF(108:108,I34,109:109)-SUMIF(108:108,C34,109:109)+100</f>
        <v>98</v>
      </c>
      <c r="K34" s="611">
        <v>1</v>
      </c>
      <c r="L34" s="1140"/>
      <c r="M34" s="1131"/>
      <c r="N34" s="1131"/>
      <c r="O34" s="1139"/>
      <c r="P34" s="3145"/>
      <c r="Q34" s="1811" t="str">
        <f t="shared" si="8"/>
        <v>土地级别</v>
      </c>
      <c r="R34" s="773" t="s">
        <v>17</v>
      </c>
      <c r="S34" s="774">
        <f t="shared" si="10"/>
        <v>99</v>
      </c>
      <c r="T34" s="773" t="s">
        <v>17</v>
      </c>
      <c r="U34" s="774">
        <f t="shared" si="11"/>
        <v>98</v>
      </c>
      <c r="V34" s="773" t="s">
        <v>17</v>
      </c>
      <c r="W34" s="774">
        <f t="shared" si="12"/>
        <v>98</v>
      </c>
      <c r="X34" s="1814"/>
      <c r="Y34" s="3145"/>
      <c r="Z34" s="1815" t="str">
        <f t="shared" si="13"/>
        <v>土地级别</v>
      </c>
      <c r="AA34" s="1812">
        <f t="shared" si="3"/>
        <v>1.0101010101010102</v>
      </c>
      <c r="AB34" s="1812">
        <f t="shared" si="4"/>
        <v>1.0204081632653061</v>
      </c>
      <c r="AC34" s="1812">
        <f t="shared" si="5"/>
        <v>1.0204081632653061</v>
      </c>
    </row>
    <row r="35" spans="1:29" ht="15" hidden="1">
      <c r="A35" s="403"/>
      <c r="B35" s="1386">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0"/>
      <c r="M35" s="1131"/>
      <c r="N35" s="1131"/>
      <c r="O35" s="1139"/>
      <c r="P35" s="3145"/>
      <c r="Q35" s="1811">
        <f t="shared" si="8"/>
        <v>111</v>
      </c>
      <c r="R35" s="773" t="s">
        <v>17</v>
      </c>
      <c r="S35" s="774">
        <f t="shared" si="10"/>
        <v>100</v>
      </c>
      <c r="T35" s="773" t="s">
        <v>17</v>
      </c>
      <c r="U35" s="774">
        <f t="shared" si="11"/>
        <v>100</v>
      </c>
      <c r="V35" s="773" t="s">
        <v>17</v>
      </c>
      <c r="W35" s="774">
        <f t="shared" si="12"/>
        <v>100</v>
      </c>
      <c r="X35" s="1814"/>
      <c r="Y35" s="3145"/>
      <c r="Z35" s="1815">
        <f t="shared" si="13"/>
        <v>111</v>
      </c>
      <c r="AA35" s="1812">
        <f t="shared" si="3"/>
        <v>1</v>
      </c>
      <c r="AB35" s="1812">
        <f t="shared" si="4"/>
        <v>1</v>
      </c>
      <c r="AC35" s="1812">
        <f t="shared" si="5"/>
        <v>1</v>
      </c>
    </row>
    <row r="36" spans="1:29" ht="15" hidden="1">
      <c r="A36" s="674"/>
      <c r="B36" s="1387">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0"/>
      <c r="M36" s="1131"/>
      <c r="N36" s="1131"/>
      <c r="O36" s="1139"/>
      <c r="P36" s="3146" t="s">
        <v>2566</v>
      </c>
      <c r="Q36" s="1811">
        <f t="shared" si="8"/>
        <v>111</v>
      </c>
      <c r="R36" s="773" t="s">
        <v>17</v>
      </c>
      <c r="S36" s="774">
        <f t="shared" si="10"/>
        <v>100</v>
      </c>
      <c r="T36" s="773" t="s">
        <v>17</v>
      </c>
      <c r="U36" s="774">
        <f t="shared" si="11"/>
        <v>100</v>
      </c>
      <c r="V36" s="773" t="s">
        <v>17</v>
      </c>
      <c r="W36" s="774">
        <f t="shared" si="12"/>
        <v>100</v>
      </c>
      <c r="X36" s="1814"/>
      <c r="Y36" s="3147" t="s">
        <v>2566</v>
      </c>
      <c r="Z36" s="1815">
        <f t="shared" si="13"/>
        <v>111</v>
      </c>
      <c r="AA36" s="1812">
        <f t="shared" si="3"/>
        <v>1</v>
      </c>
      <c r="AB36" s="1812">
        <f t="shared" si="4"/>
        <v>1</v>
      </c>
      <c r="AC36" s="1812">
        <f t="shared" si="5"/>
        <v>1</v>
      </c>
    </row>
    <row r="37" spans="1:29" s="470" customFormat="1" ht="15.75" hidden="1" thickBot="1">
      <c r="A37" s="675"/>
      <c r="B37" s="1388">
        <v>111</v>
      </c>
      <c r="C37" s="677"/>
      <c r="D37" s="135">
        <v>100</v>
      </c>
      <c r="E37" s="700"/>
      <c r="F37" s="437">
        <f>SUMIF(114:114,E37,115:115)-SUMIF(114:114,C37,115:115)+100</f>
        <v>100</v>
      </c>
      <c r="G37" s="700"/>
      <c r="H37" s="437">
        <f>SUMIF(114:114,G37,115:115)-SUMIF(114:114,C37,115:115)+100</f>
        <v>100</v>
      </c>
      <c r="I37" s="677"/>
      <c r="J37" s="437">
        <f>SUMIF(114:114,I37,115:115)-SUMIF(114:114,C37,115:115)+100</f>
        <v>100</v>
      </c>
      <c r="K37" s="612"/>
      <c r="L37" s="1138"/>
      <c r="M37" s="1141"/>
      <c r="N37" s="1141"/>
      <c r="O37" s="1142"/>
      <c r="P37" s="3147"/>
      <c r="Q37" s="1811">
        <f t="shared" si="8"/>
        <v>111</v>
      </c>
      <c r="R37" s="776" t="s">
        <v>17</v>
      </c>
      <c r="S37" s="777">
        <f t="shared" si="10"/>
        <v>100</v>
      </c>
      <c r="T37" s="776" t="s">
        <v>17</v>
      </c>
      <c r="U37" s="777">
        <f t="shared" si="11"/>
        <v>100</v>
      </c>
      <c r="V37" s="776" t="s">
        <v>17</v>
      </c>
      <c r="W37" s="777">
        <f t="shared" si="12"/>
        <v>100</v>
      </c>
      <c r="X37" s="778"/>
      <c r="Y37" s="3147"/>
      <c r="Z37" s="779">
        <f t="shared" si="13"/>
        <v>111</v>
      </c>
      <c r="AA37" s="1812">
        <f t="shared" si="3"/>
        <v>1</v>
      </c>
      <c r="AB37" s="1812">
        <f t="shared" si="4"/>
        <v>1</v>
      </c>
      <c r="AC37" s="1812">
        <f t="shared" si="5"/>
        <v>1</v>
      </c>
    </row>
    <row r="38" spans="1:29" ht="15">
      <c r="A38" s="471" t="s">
        <v>2564</v>
      </c>
      <c r="B38" s="455" t="s">
        <v>2752</v>
      </c>
      <c r="C38" s="2944">
        <f>'数据-基础表'!A3</f>
        <v>70334.78</v>
      </c>
      <c r="D38" s="466">
        <v>100</v>
      </c>
      <c r="E38" s="678">
        <v>20579.64</v>
      </c>
      <c r="F38" s="466">
        <f>LOOKUP(E38,117:117,118:118)-LOOKUP(C38,117:117,118:118)+100</f>
        <v>100</v>
      </c>
      <c r="G38" s="678">
        <v>56142.3</v>
      </c>
      <c r="H38" s="466">
        <f>LOOKUP(G38,117:117,118:118)-LOOKUP(C38,117:117,118:118)+100</f>
        <v>100</v>
      </c>
      <c r="I38" s="529">
        <v>41446.550000000003</v>
      </c>
      <c r="J38" s="466">
        <f>LOOKUP(I38,117:117,118:118)-LOOKUP(C38,117:117,118:118)+100</f>
        <v>100</v>
      </c>
      <c r="K38" s="612"/>
      <c r="L38" s="1140"/>
      <c r="M38" s="1131"/>
      <c r="N38" s="1131"/>
      <c r="O38" s="1139"/>
      <c r="P38" s="3147"/>
      <c r="Q38" s="1811" t="str">
        <f>B38</f>
        <v>宗地面积</v>
      </c>
      <c r="R38" s="773" t="s">
        <v>17</v>
      </c>
      <c r="S38" s="774">
        <f t="shared" si="10"/>
        <v>100</v>
      </c>
      <c r="T38" s="773" t="s">
        <v>17</v>
      </c>
      <c r="U38" s="774">
        <f t="shared" si="11"/>
        <v>100</v>
      </c>
      <c r="V38" s="773" t="s">
        <v>17</v>
      </c>
      <c r="W38" s="774">
        <f t="shared" si="12"/>
        <v>100</v>
      </c>
      <c r="X38" s="1814"/>
      <c r="Y38" s="3147"/>
      <c r="Z38" s="1815" t="str">
        <f t="shared" si="13"/>
        <v>宗地面积</v>
      </c>
      <c r="AA38" s="1812">
        <f t="shared" si="3"/>
        <v>1</v>
      </c>
      <c r="AB38" s="1812">
        <f t="shared" si="4"/>
        <v>1</v>
      </c>
      <c r="AC38" s="1812">
        <f t="shared" si="5"/>
        <v>1</v>
      </c>
    </row>
    <row r="39" spans="1:29" ht="15">
      <c r="A39" s="471"/>
      <c r="B39" s="421" t="s">
        <v>2753</v>
      </c>
      <c r="C39" s="2612" t="s">
        <v>3218</v>
      </c>
      <c r="D39" s="434">
        <v>100</v>
      </c>
      <c r="E39" s="2612" t="s">
        <v>3218</v>
      </c>
      <c r="F39" s="434">
        <f>SUMIF(119:119,E39,120:120)-SUMIF(119:119,C39,120:120)+100</f>
        <v>100</v>
      </c>
      <c r="G39" s="2612" t="s">
        <v>3218</v>
      </c>
      <c r="H39" s="434">
        <f>SUMIF(119:119,G39,120:120)-SUMIF(119:119,C39,120:120)+100</f>
        <v>100</v>
      </c>
      <c r="I39" s="2612" t="s">
        <v>3120</v>
      </c>
      <c r="J39" s="434">
        <f>SUMIF(119:119,I39,120:120)-SUMIF(119:119,C39,120:120)+100</f>
        <v>102</v>
      </c>
      <c r="K39" s="611">
        <v>2</v>
      </c>
      <c r="L39" s="1140"/>
      <c r="M39" s="1131"/>
      <c r="N39" s="1131"/>
      <c r="O39" s="1139"/>
      <c r="P39" s="3147"/>
      <c r="Q39" s="1811" t="str">
        <f t="shared" ref="Q39:Q45" si="14">B39</f>
        <v>宗地形状</v>
      </c>
      <c r="R39" s="773" t="s">
        <v>17</v>
      </c>
      <c r="S39" s="774">
        <f t="shared" si="10"/>
        <v>100</v>
      </c>
      <c r="T39" s="773" t="s">
        <v>17</v>
      </c>
      <c r="U39" s="774">
        <f t="shared" si="11"/>
        <v>100</v>
      </c>
      <c r="V39" s="773" t="s">
        <v>17</v>
      </c>
      <c r="W39" s="774">
        <f t="shared" si="12"/>
        <v>102</v>
      </c>
      <c r="X39" s="1814"/>
      <c r="Y39" s="3147"/>
      <c r="Z39" s="1815" t="str">
        <f t="shared" si="13"/>
        <v>宗地形状</v>
      </c>
      <c r="AA39" s="1812">
        <f t="shared" si="3"/>
        <v>1</v>
      </c>
      <c r="AB39" s="1812">
        <f t="shared" si="4"/>
        <v>1</v>
      </c>
      <c r="AC39" s="1812">
        <f t="shared" si="5"/>
        <v>0.98039215686274506</v>
      </c>
    </row>
    <row r="40" spans="1:29" ht="15">
      <c r="A40" s="471"/>
      <c r="B40" s="421" t="s">
        <v>2754</v>
      </c>
      <c r="C40" s="2612" t="s">
        <v>3108</v>
      </c>
      <c r="D40" s="434">
        <v>100</v>
      </c>
      <c r="E40" s="2612" t="s">
        <v>3108</v>
      </c>
      <c r="F40" s="434">
        <f>SUMIF(121:121,E40,122:122)-SUMIF(121:121,C40,122:122)+100</f>
        <v>100</v>
      </c>
      <c r="G40" s="2612" t="s">
        <v>3108</v>
      </c>
      <c r="H40" s="434">
        <f>SUMIF(121:121,G40,122:122)-SUMIF(121:121,C40,122:122)+100</f>
        <v>100</v>
      </c>
      <c r="I40" s="2612" t="s">
        <v>3108</v>
      </c>
      <c r="J40" s="434">
        <f>SUMIF(121:121,I40,122:122)-SUMIF(121:121,C40,122:122)+100</f>
        <v>100</v>
      </c>
      <c r="K40" s="611"/>
      <c r="L40" s="1140"/>
      <c r="M40" s="1131"/>
      <c r="N40" s="1131"/>
      <c r="O40" s="1139"/>
      <c r="P40" s="3147"/>
      <c r="Q40" s="1811" t="str">
        <f t="shared" si="14"/>
        <v>临街宽度及深度</v>
      </c>
      <c r="R40" s="773" t="s">
        <v>17</v>
      </c>
      <c r="S40" s="774">
        <f t="shared" si="10"/>
        <v>100</v>
      </c>
      <c r="T40" s="773" t="s">
        <v>17</v>
      </c>
      <c r="U40" s="774">
        <f t="shared" si="11"/>
        <v>100</v>
      </c>
      <c r="V40" s="773" t="s">
        <v>17</v>
      </c>
      <c r="W40" s="774">
        <f t="shared" si="12"/>
        <v>100</v>
      </c>
      <c r="X40" s="1814"/>
      <c r="Y40" s="3147"/>
      <c r="Z40" s="1815" t="str">
        <f t="shared" si="13"/>
        <v>临街宽度及深度</v>
      </c>
      <c r="AA40" s="1812">
        <f t="shared" si="3"/>
        <v>1</v>
      </c>
      <c r="AB40" s="1812">
        <f t="shared" si="4"/>
        <v>1</v>
      </c>
      <c r="AC40" s="1812">
        <f t="shared" si="5"/>
        <v>1</v>
      </c>
    </row>
    <row r="41" spans="1:29" s="116" customFormat="1" ht="15">
      <c r="A41" s="472"/>
      <c r="B41" s="421" t="s">
        <v>2755</v>
      </c>
      <c r="C41" s="2701" t="s">
        <v>3110</v>
      </c>
      <c r="D41" s="134">
        <v>100</v>
      </c>
      <c r="E41" s="2701" t="s">
        <v>3110</v>
      </c>
      <c r="F41" s="434">
        <f>SUMIF(123:123,E41,124:124)-SUMIF(123:123,C41,124:124)+100</f>
        <v>100</v>
      </c>
      <c r="G41" s="2701" t="s">
        <v>3110</v>
      </c>
      <c r="H41" s="434">
        <f>SUMIF(123:123,G41,124:124)-SUMIF(123:123,C41,124:124)+100</f>
        <v>100</v>
      </c>
      <c r="I41" s="2701" t="s">
        <v>3110</v>
      </c>
      <c r="J41" s="434">
        <f>SUMIF(123:123,I41,124:124)-SUMIF(123:123,C41,124:124)+100</f>
        <v>100</v>
      </c>
      <c r="K41" s="611"/>
      <c r="L41" s="1132"/>
      <c r="M41" s="1133"/>
      <c r="N41" s="1133"/>
      <c r="O41" s="1134"/>
      <c r="P41" s="3147"/>
      <c r="Q41" s="1811" t="str">
        <f t="shared" si="14"/>
        <v>宗地开发程度</v>
      </c>
      <c r="R41" s="769" t="s">
        <v>17</v>
      </c>
      <c r="S41" s="770">
        <f t="shared" si="10"/>
        <v>100</v>
      </c>
      <c r="T41" s="769" t="s">
        <v>17</v>
      </c>
      <c r="U41" s="770">
        <f t="shared" si="11"/>
        <v>100</v>
      </c>
      <c r="V41" s="769" t="s">
        <v>17</v>
      </c>
      <c r="W41" s="770">
        <f t="shared" si="12"/>
        <v>100</v>
      </c>
      <c r="X41" s="771"/>
      <c r="Y41" s="3147"/>
      <c r="Z41" s="55" t="str">
        <f t="shared" si="13"/>
        <v>宗地开发程度</v>
      </c>
      <c r="AA41" s="772">
        <f t="shared" si="3"/>
        <v>1</v>
      </c>
      <c r="AB41" s="772">
        <f t="shared" si="4"/>
        <v>1</v>
      </c>
      <c r="AC41" s="772">
        <f t="shared" si="5"/>
        <v>1</v>
      </c>
    </row>
    <row r="42" spans="1:29" ht="15.75" thickBot="1">
      <c r="A42" s="471"/>
      <c r="B42" s="421" t="s">
        <v>2756</v>
      </c>
      <c r="C42" s="2612" t="s">
        <v>3108</v>
      </c>
      <c r="D42" s="434">
        <v>100</v>
      </c>
      <c r="E42" s="2612" t="s">
        <v>3108</v>
      </c>
      <c r="F42" s="434">
        <f>SUMIF(125:125,E42,126:126)-SUMIF(125:125,C42,126:126)+100</f>
        <v>100</v>
      </c>
      <c r="G42" s="2612" t="s">
        <v>3108</v>
      </c>
      <c r="H42" s="434">
        <f>SUMIF(125:125,G42,126:126)-SUMIF(125:125,C42,126:126)+100</f>
        <v>100</v>
      </c>
      <c r="I42" s="2612" t="s">
        <v>3108</v>
      </c>
      <c r="J42" s="434">
        <f>SUMIF(125:125,I42,126:126)-SUMIF(125:125,C42,126:126)+100</f>
        <v>100</v>
      </c>
      <c r="K42" s="611"/>
      <c r="L42" s="1140"/>
      <c r="M42" s="1131"/>
      <c r="N42" s="1131"/>
      <c r="O42" s="1139"/>
      <c r="P42" s="3147" t="s">
        <v>2566</v>
      </c>
      <c r="Q42" s="1811" t="str">
        <f t="shared" si="14"/>
        <v>工程地质条件</v>
      </c>
      <c r="R42" s="773" t="s">
        <v>17</v>
      </c>
      <c r="S42" s="774">
        <f t="shared" si="10"/>
        <v>100</v>
      </c>
      <c r="T42" s="773" t="s">
        <v>17</v>
      </c>
      <c r="U42" s="774">
        <f t="shared" si="11"/>
        <v>100</v>
      </c>
      <c r="V42" s="773" t="s">
        <v>17</v>
      </c>
      <c r="W42" s="774">
        <f t="shared" si="12"/>
        <v>100</v>
      </c>
      <c r="X42" s="1814"/>
      <c r="Y42" s="3147" t="s">
        <v>2566</v>
      </c>
      <c r="Z42" s="1815" t="str">
        <f t="shared" si="13"/>
        <v>工程地质条件</v>
      </c>
      <c r="AA42" s="1812">
        <f t="shared" si="3"/>
        <v>1</v>
      </c>
      <c r="AB42" s="1812">
        <f t="shared" si="4"/>
        <v>1</v>
      </c>
      <c r="AC42" s="1812">
        <f t="shared" si="5"/>
        <v>1</v>
      </c>
    </row>
    <row r="43" spans="1:29" ht="15" hidden="1">
      <c r="A43" s="471"/>
      <c r="B43" s="1387">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0"/>
      <c r="M43" s="1131"/>
      <c r="N43" s="1131"/>
      <c r="O43" s="1139"/>
      <c r="P43" s="3147"/>
      <c r="Q43" s="1811">
        <f t="shared" si="14"/>
        <v>111</v>
      </c>
      <c r="R43" s="773" t="s">
        <v>17</v>
      </c>
      <c r="S43" s="774">
        <f t="shared" si="10"/>
        <v>100</v>
      </c>
      <c r="T43" s="773" t="s">
        <v>17</v>
      </c>
      <c r="U43" s="774">
        <f t="shared" si="11"/>
        <v>100</v>
      </c>
      <c r="V43" s="773" t="s">
        <v>17</v>
      </c>
      <c r="W43" s="774">
        <f t="shared" si="12"/>
        <v>100</v>
      </c>
      <c r="X43" s="1814"/>
      <c r="Y43" s="3147"/>
      <c r="Z43" s="1815">
        <f t="shared" si="13"/>
        <v>111</v>
      </c>
      <c r="AA43" s="1812">
        <f t="shared" si="3"/>
        <v>1</v>
      </c>
      <c r="AB43" s="1812">
        <f t="shared" si="4"/>
        <v>1</v>
      </c>
      <c r="AC43" s="1812">
        <f t="shared" si="5"/>
        <v>1</v>
      </c>
    </row>
    <row r="44" spans="1:29" ht="15" hidden="1">
      <c r="A44" s="471"/>
      <c r="B44" s="1387">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0"/>
      <c r="M44" s="1131"/>
      <c r="N44" s="1131"/>
      <c r="O44" s="1139"/>
      <c r="P44" s="3147"/>
      <c r="Q44" s="1811">
        <f t="shared" si="14"/>
        <v>111</v>
      </c>
      <c r="R44" s="773" t="s">
        <v>17</v>
      </c>
      <c r="S44" s="774">
        <f t="shared" si="10"/>
        <v>100</v>
      </c>
      <c r="T44" s="773" t="s">
        <v>17</v>
      </c>
      <c r="U44" s="774">
        <f t="shared" si="11"/>
        <v>100</v>
      </c>
      <c r="V44" s="773" t="s">
        <v>17</v>
      </c>
      <c r="W44" s="774">
        <f t="shared" si="12"/>
        <v>100</v>
      </c>
      <c r="X44" s="1814"/>
      <c r="Y44" s="3147"/>
      <c r="Z44" s="1815">
        <f t="shared" si="13"/>
        <v>111</v>
      </c>
      <c r="AA44" s="1812">
        <f t="shared" si="3"/>
        <v>1</v>
      </c>
      <c r="AB44" s="1812">
        <f t="shared" si="4"/>
        <v>1</v>
      </c>
      <c r="AC44" s="1812">
        <f t="shared" si="5"/>
        <v>1</v>
      </c>
    </row>
    <row r="45" spans="1:29" s="470" customFormat="1" ht="15.75" hidden="1" thickBot="1">
      <c r="A45" s="467"/>
      <c r="B45" s="1387">
        <v>111</v>
      </c>
      <c r="C45" s="2702"/>
      <c r="D45" s="679">
        <v>100</v>
      </c>
      <c r="E45" s="673"/>
      <c r="F45" s="437">
        <f>SUMIF(131:131,E45,132:132)-SUMIF(131:131,C45,132:132)+100</f>
        <v>100</v>
      </c>
      <c r="G45" s="673"/>
      <c r="H45" s="437">
        <f>SUMIF(131:131,G45,132:132)-SUMIF(131:131,C45,132:132)+100</f>
        <v>100</v>
      </c>
      <c r="I45" s="673"/>
      <c r="J45" s="437">
        <f>SUMIF(131:131,I45,132:132)-SUMIF(131:131,C45,132:132)+100</f>
        <v>100</v>
      </c>
      <c r="K45" s="680"/>
      <c r="L45" s="1138"/>
      <c r="M45" s="1141"/>
      <c r="N45" s="1141"/>
      <c r="O45" s="1142"/>
      <c r="P45" s="3147"/>
      <c r="Q45" s="1811">
        <f t="shared" si="14"/>
        <v>111</v>
      </c>
      <c r="R45" s="776" t="s">
        <v>17</v>
      </c>
      <c r="S45" s="777">
        <f t="shared" si="10"/>
        <v>100</v>
      </c>
      <c r="T45" s="776" t="s">
        <v>17</v>
      </c>
      <c r="U45" s="777">
        <f t="shared" si="11"/>
        <v>100</v>
      </c>
      <c r="V45" s="776" t="s">
        <v>17</v>
      </c>
      <c r="W45" s="777">
        <f t="shared" si="12"/>
        <v>100</v>
      </c>
      <c r="X45" s="778"/>
      <c r="Y45" s="3147"/>
      <c r="Z45" s="779">
        <f t="shared" si="13"/>
        <v>111</v>
      </c>
      <c r="AA45" s="1812">
        <f t="shared" si="3"/>
        <v>1</v>
      </c>
      <c r="AB45" s="1812">
        <f t="shared" si="4"/>
        <v>1</v>
      </c>
      <c r="AC45" s="1812">
        <f t="shared" si="5"/>
        <v>1</v>
      </c>
    </row>
    <row r="46" spans="1:29" ht="15">
      <c r="A46" s="478" t="s">
        <v>2721</v>
      </c>
      <c r="B46" s="2703" t="s">
        <v>2757</v>
      </c>
      <c r="C46" s="681" t="s">
        <v>1</v>
      </c>
      <c r="D46" s="480"/>
      <c r="E46" s="481">
        <v>4415</v>
      </c>
      <c r="F46" s="482"/>
      <c r="G46" s="483">
        <v>4845</v>
      </c>
      <c r="H46" s="484"/>
      <c r="I46" s="481">
        <v>5342</v>
      </c>
      <c r="J46" s="484"/>
      <c r="K46" s="782"/>
      <c r="L46" s="1143"/>
      <c r="M46" s="1144"/>
      <c r="N46" s="1131"/>
      <c r="O46" s="1144"/>
      <c r="P46" s="3142" t="str">
        <f>A46</f>
        <v>成交单价</v>
      </c>
      <c r="Q46" s="3142"/>
      <c r="R46" s="3148">
        <f>E46</f>
        <v>4415</v>
      </c>
      <c r="S46" s="3148"/>
      <c r="T46" s="3148">
        <f>G46</f>
        <v>4845</v>
      </c>
      <c r="U46" s="3148"/>
      <c r="V46" s="3148">
        <f>I46</f>
        <v>5342</v>
      </c>
      <c r="W46" s="3148"/>
      <c r="X46" s="758"/>
      <c r="Y46" s="780"/>
      <c r="Z46" s="758"/>
      <c r="AA46" s="758"/>
      <c r="AB46" s="758"/>
      <c r="AC46" s="758"/>
    </row>
    <row r="47" spans="1:29" ht="15.75" thickBot="1">
      <c r="A47" s="485" t="s">
        <v>2670</v>
      </c>
      <c r="B47" s="682"/>
      <c r="C47" s="489">
        <f>R48</f>
        <v>6115</v>
      </c>
      <c r="D47" s="488"/>
      <c r="E47" s="489">
        <f>R47</f>
        <v>5557</v>
      </c>
      <c r="F47" s="490"/>
      <c r="G47" s="487">
        <f>T47</f>
        <v>6192</v>
      </c>
      <c r="H47" s="488"/>
      <c r="I47" s="489">
        <f>V47</f>
        <v>6595</v>
      </c>
      <c r="J47" s="488"/>
      <c r="K47" s="783"/>
      <c r="L47" s="1143"/>
      <c r="M47" s="1144"/>
      <c r="N47" s="1144"/>
      <c r="O47" s="1144"/>
      <c r="P47" s="3142" t="str">
        <f>A47</f>
        <v>比较价值（元/平方米）</v>
      </c>
      <c r="Q47" s="3142"/>
      <c r="R47" s="3135">
        <f>ROUND(PRODUCT(R46,AA7:AA45),0)</f>
        <v>5557</v>
      </c>
      <c r="S47" s="3135"/>
      <c r="T47" s="3135">
        <f>ROUND(PRODUCT(T46,AB7:AB45),0)</f>
        <v>6192</v>
      </c>
      <c r="U47" s="3135"/>
      <c r="V47" s="3135">
        <f>ROUND(PRODUCT(V46,AC7:AC45),0)</f>
        <v>6595</v>
      </c>
      <c r="W47" s="3135"/>
      <c r="X47" s="758"/>
      <c r="Y47" s="758"/>
      <c r="Z47" s="758"/>
      <c r="AA47" s="758"/>
      <c r="AB47" s="758"/>
      <c r="AC47" s="758"/>
    </row>
    <row r="48" spans="1:29" ht="15.75" thickBot="1">
      <c r="A48" s="491" t="s">
        <v>2758</v>
      </c>
      <c r="B48" s="492"/>
      <c r="C48" s="493">
        <f>R48</f>
        <v>6115</v>
      </c>
      <c r="D48" s="493"/>
      <c r="E48" s="493"/>
      <c r="F48" s="493"/>
      <c r="G48" s="493"/>
      <c r="H48" s="493"/>
      <c r="I48" s="493"/>
      <c r="J48" s="493"/>
      <c r="K48" s="784"/>
      <c r="L48" s="1143"/>
      <c r="M48" s="1144"/>
      <c r="N48" s="1144"/>
      <c r="O48" s="1144"/>
      <c r="P48" s="3136" t="str">
        <f>A48</f>
        <v>估价对象XX用房的比较价值（楼面单价，元/平方米）</v>
      </c>
      <c r="Q48" s="3137"/>
      <c r="R48" s="3138">
        <f>ROUND(AVERAGE(R47:V47),0)</f>
        <v>6115</v>
      </c>
      <c r="S48" s="3138"/>
      <c r="T48" s="3138"/>
      <c r="U48" s="3138"/>
      <c r="V48" s="3138"/>
      <c r="W48" s="3138"/>
      <c r="X48" s="758"/>
      <c r="Y48" s="758"/>
      <c r="Z48" s="758"/>
      <c r="AA48" s="758"/>
      <c r="AB48" s="758"/>
      <c r="AC48" s="758"/>
    </row>
    <row r="49" spans="1:15">
      <c r="A49" s="1144"/>
      <c r="B49" s="1144"/>
      <c r="C49" s="1144"/>
      <c r="D49" s="1144"/>
      <c r="E49" s="1144"/>
      <c r="F49" s="1144"/>
      <c r="G49" s="1147"/>
      <c r="H49" s="1144"/>
      <c r="I49" s="1144"/>
      <c r="J49" s="1144"/>
      <c r="K49" s="1106"/>
      <c r="L49" s="1107"/>
      <c r="M49" s="1144"/>
      <c r="N49" s="1144"/>
      <c r="O49" s="1144"/>
    </row>
    <row r="50" spans="1:15">
      <c r="A50" s="1144"/>
      <c r="B50" s="1144"/>
      <c r="C50" s="1144"/>
      <c r="D50" s="1144"/>
      <c r="E50" s="1144"/>
      <c r="F50" s="1144"/>
      <c r="G50" s="1144"/>
      <c r="H50" s="1144"/>
      <c r="I50" s="1144"/>
      <c r="J50" s="1144"/>
      <c r="K50" s="1106"/>
      <c r="L50" s="1107"/>
      <c r="M50" s="1144"/>
      <c r="N50" s="1144"/>
      <c r="O50" s="1144"/>
    </row>
    <row r="51" spans="1:15" ht="13.5" customHeight="1">
      <c r="A51" s="1144"/>
      <c r="B51" s="1144"/>
      <c r="C51" s="496" t="s">
        <v>2672</v>
      </c>
      <c r="D51" s="497"/>
      <c r="E51" s="498">
        <f>IF(E46&lt;E47,E47/E46-1,E46/E47-1)</f>
        <v>0.25866364665911656</v>
      </c>
      <c r="F51" s="499" t="str">
        <f>IF(OR(E51&gt;=0.3,E51&lt;=-0.3),"超过30%","")</f>
        <v/>
      </c>
      <c r="G51" s="498">
        <f>IF(G46&lt;G47,G47/G46-1,G46/G47-1)</f>
        <v>0.27801857585139311</v>
      </c>
      <c r="H51" s="499" t="str">
        <f>IF(OR(G51&gt;=0.3,G51&lt;=-0.3),"超过30%","")</f>
        <v/>
      </c>
      <c r="I51" s="498">
        <f>IF(I46&lt;I47,I47/I46-1,I46/I47-1)</f>
        <v>0.23455634593785102</v>
      </c>
      <c r="J51" s="499" t="str">
        <f>IF(OR(I51&gt;=0.3,I51&lt;=-0.3),"超过30%","")</f>
        <v/>
      </c>
      <c r="K51" s="1106"/>
      <c r="L51" s="1107"/>
      <c r="M51" s="1144"/>
      <c r="N51" s="1144"/>
      <c r="O51" s="1144"/>
    </row>
    <row r="52" spans="1:15" ht="13.5" customHeight="1">
      <c r="A52" s="1144"/>
      <c r="B52" s="1144"/>
      <c r="C52" s="496" t="s">
        <v>2673</v>
      </c>
      <c r="D52" s="500"/>
      <c r="E52" s="498">
        <f>IF(E47&lt;G47,G47/E47-1,E47/G47-1)</f>
        <v>0.11427028972467168</v>
      </c>
      <c r="F52" s="499" t="str">
        <f>IF(OR(E52&gt;=0.2,E52&lt;=-0.2),"超过20%","")</f>
        <v/>
      </c>
      <c r="G52" s="498">
        <f>IF(G47&lt;I47,I47/G47-1,G47/I47-1)</f>
        <v>6.5083979328165453E-2</v>
      </c>
      <c r="H52" s="499" t="str">
        <f>IF(OR(G52&gt;=0.2,G52&lt;=-0.2),"超过20%","")</f>
        <v/>
      </c>
      <c r="I52" s="498">
        <f>IF(I47&lt;E47,E47/I47-1,I47/E47-1)</f>
        <v>0.18679143422710087</v>
      </c>
      <c r="J52" s="499" t="str">
        <f>IF(OR(I52&gt;=0.2,I52&lt;=-0.2),"超过20%","")</f>
        <v/>
      </c>
      <c r="K52" s="1106"/>
      <c r="L52" s="1107"/>
      <c r="M52" s="1144"/>
      <c r="N52" s="1144"/>
      <c r="O52" s="1144"/>
    </row>
    <row r="53" spans="1:15" s="501" customFormat="1" ht="13.5" customHeight="1">
      <c r="A53" s="1145"/>
      <c r="B53" s="1145"/>
      <c r="C53" s="496" t="s">
        <v>2674</v>
      </c>
      <c r="D53" s="500"/>
      <c r="E53" s="498">
        <f>IF(E46&lt;G46,G46/E46-1,E46/G46-1)</f>
        <v>9.7395243488108685E-2</v>
      </c>
      <c r="F53" s="499" t="str">
        <f>IF(OR(E53&gt;=0.3,E53&lt;=-0.3),"超过30%","")</f>
        <v/>
      </c>
      <c r="G53" s="498">
        <f>IF(G46&lt;I46,I46/G46-1,G46/I46-1)</f>
        <v>0.10257997936016516</v>
      </c>
      <c r="H53" s="499" t="str">
        <f>IF(OR(G53&gt;=0.3,G53&lt;=-0.3),"超过30%","")</f>
        <v/>
      </c>
      <c r="I53" s="498">
        <f>IF(I46&lt;E46,E46/I46-1,I46/E46-1)</f>
        <v>0.20996602491506233</v>
      </c>
      <c r="J53" s="499" t="str">
        <f>IF(OR(I53&gt;=0.3,I53&lt;=-0.3),"超过30%","")</f>
        <v/>
      </c>
      <c r="K53" s="1148"/>
      <c r="L53" s="1149"/>
      <c r="M53" s="1145"/>
      <c r="N53" s="1145"/>
      <c r="O53" s="1145"/>
    </row>
    <row r="54" spans="1:15" s="501" customFormat="1" ht="15" thickBot="1">
      <c r="A54" s="1145"/>
      <c r="B54" s="1146"/>
      <c r="C54" s="761"/>
      <c r="D54" s="759"/>
      <c r="E54" s="759"/>
      <c r="F54" s="759"/>
      <c r="G54" s="759"/>
      <c r="H54" s="759"/>
      <c r="I54" s="759"/>
      <c r="J54" s="759"/>
      <c r="K54" s="1148"/>
      <c r="L54" s="1149"/>
      <c r="M54" s="1145"/>
      <c r="N54" s="1145"/>
      <c r="O54" s="1145"/>
    </row>
    <row r="55" spans="1:15" ht="27" customHeight="1">
      <c r="A55" s="683" t="s">
        <v>2759</v>
      </c>
      <c r="B55" s="684" t="s">
        <v>2760</v>
      </c>
      <c r="C55" s="2704" t="s">
        <v>3104</v>
      </c>
      <c r="D55" s="2705" t="s">
        <v>2762</v>
      </c>
      <c r="E55" s="685" t="s">
        <v>2763</v>
      </c>
      <c r="F55" s="1108" t="s">
        <v>2764</v>
      </c>
      <c r="G55" s="3139" t="s">
        <v>2765</v>
      </c>
      <c r="H55" s="3140"/>
      <c r="I55" s="142" t="s">
        <v>2766</v>
      </c>
      <c r="J55" s="2706" t="str">
        <f>项目基本情况!F35</f>
        <v>陕西省西安市</v>
      </c>
      <c r="K55" s="2707" t="s">
        <v>2767</v>
      </c>
      <c r="L55" s="1107"/>
      <c r="M55" s="1144"/>
      <c r="N55" s="1144"/>
      <c r="O55" s="1144"/>
    </row>
    <row r="56" spans="1:15" s="691" customFormat="1">
      <c r="A56" s="687" t="s">
        <v>2768</v>
      </c>
      <c r="B56" s="688">
        <f>C48</f>
        <v>6115</v>
      </c>
      <c r="C56" s="689">
        <v>1</v>
      </c>
      <c r="D56" s="1163">
        <v>1</v>
      </c>
      <c r="E56" s="689">
        <f>'数据-汇总表'!E8+'数据-汇总表'!E9</f>
        <v>135723.97</v>
      </c>
      <c r="F56" s="1104">
        <f t="shared" ref="F56:F65" si="15">ROUND(B56*E56/10000,0)</f>
        <v>82995</v>
      </c>
      <c r="G56" s="3141"/>
      <c r="H56" s="3142"/>
      <c r="I56" s="1109">
        <v>1</v>
      </c>
      <c r="J56" s="1112">
        <v>1</v>
      </c>
      <c r="K56" s="1145"/>
      <c r="L56" s="943"/>
      <c r="M56" s="943"/>
      <c r="N56" s="943"/>
      <c r="O56" s="943"/>
    </row>
    <row r="57" spans="1:15" s="691" customFormat="1">
      <c r="A57" s="692" t="s">
        <v>2769</v>
      </c>
      <c r="B57" s="261">
        <f>ROUND($C$48*C57*D57,0)</f>
        <v>0</v>
      </c>
      <c r="C57" s="199">
        <f t="shared" ref="C57:C65" si="16">IF($C$55="北京市系数",I57,J57)</f>
        <v>0</v>
      </c>
      <c r="D57" s="1164">
        <v>0.25</v>
      </c>
      <c r="E57" s="693"/>
      <c r="F57" s="1104">
        <f t="shared" si="15"/>
        <v>0</v>
      </c>
      <c r="G57" s="3143" t="s">
        <v>2770</v>
      </c>
      <c r="H57" s="1105">
        <f>项目基本情况!B37</f>
        <v>0</v>
      </c>
      <c r="I57" s="1109">
        <f>SUMIF(修正!A45:A56,H57,修正!B45:B56)</f>
        <v>0</v>
      </c>
      <c r="J57" s="1113">
        <v>0</v>
      </c>
      <c r="K57" s="1144"/>
      <c r="L57" s="943"/>
      <c r="M57" s="943"/>
      <c r="N57" s="943"/>
      <c r="O57" s="943"/>
    </row>
    <row r="58" spans="1:15" s="691" customFormat="1">
      <c r="A58" s="692" t="s">
        <v>2771</v>
      </c>
      <c r="B58" s="261">
        <f t="shared" ref="B58:B65" si="17">ROUND($C$48*C58*D58,0)</f>
        <v>0</v>
      </c>
      <c r="C58" s="199">
        <f t="shared" si="16"/>
        <v>0</v>
      </c>
      <c r="D58" s="1164">
        <v>0.25</v>
      </c>
      <c r="E58" s="693"/>
      <c r="F58" s="1104">
        <f t="shared" si="15"/>
        <v>0</v>
      </c>
      <c r="G58" s="3143"/>
      <c r="H58" s="1105">
        <f>项目基本情况!B37</f>
        <v>0</v>
      </c>
      <c r="I58" s="1109">
        <f>SUMIF(修正!A45:A56,H58,修正!C45:C56)</f>
        <v>0</v>
      </c>
      <c r="J58" s="1113">
        <v>0</v>
      </c>
      <c r="K58" s="1145"/>
      <c r="L58" s="943"/>
      <c r="M58" s="943"/>
      <c r="N58" s="943"/>
      <c r="O58" s="943"/>
    </row>
    <row r="59" spans="1:15" s="691" customFormat="1">
      <c r="A59" s="692" t="s">
        <v>2772</v>
      </c>
      <c r="B59" s="261">
        <f t="shared" si="17"/>
        <v>0</v>
      </c>
      <c r="C59" s="199">
        <f t="shared" si="16"/>
        <v>0</v>
      </c>
      <c r="D59" s="1164">
        <v>0.25</v>
      </c>
      <c r="E59" s="693"/>
      <c r="F59" s="1104">
        <f t="shared" si="15"/>
        <v>0</v>
      </c>
      <c r="G59" s="3143"/>
      <c r="H59" s="1105">
        <f>项目基本情况!B37</f>
        <v>0</v>
      </c>
      <c r="I59" s="1109">
        <f>SUMIF(修正!A45:A56,H59,修正!D45:D56)</f>
        <v>0</v>
      </c>
      <c r="J59" s="1113">
        <v>0</v>
      </c>
      <c r="K59" s="1144"/>
      <c r="L59" s="943"/>
      <c r="M59" s="943"/>
      <c r="N59" s="943"/>
      <c r="O59" s="943"/>
    </row>
    <row r="60" spans="1:15" s="691" customFormat="1">
      <c r="A60" s="692" t="s">
        <v>2773</v>
      </c>
      <c r="B60" s="261">
        <f t="shared" si="17"/>
        <v>0</v>
      </c>
      <c r="C60" s="199">
        <f t="shared" si="16"/>
        <v>0</v>
      </c>
      <c r="D60" s="1164">
        <v>0.25</v>
      </c>
      <c r="E60" s="693"/>
      <c r="F60" s="1104">
        <f t="shared" si="15"/>
        <v>0</v>
      </c>
      <c r="G60" s="3143"/>
      <c r="H60" s="1105">
        <f>项目基本情况!B37</f>
        <v>0</v>
      </c>
      <c r="I60" s="1109">
        <f>SUMIF(修正!A45:A56,H60,修正!E45:E56)</f>
        <v>0</v>
      </c>
      <c r="J60" s="1113">
        <v>0</v>
      </c>
      <c r="K60" s="1145"/>
      <c r="L60" s="943"/>
      <c r="M60" s="943"/>
      <c r="N60" s="943"/>
      <c r="O60" s="943"/>
    </row>
    <row r="61" spans="1:15" s="691" customFormat="1">
      <c r="A61" s="692" t="s">
        <v>2774</v>
      </c>
      <c r="B61" s="261">
        <f t="shared" si="17"/>
        <v>0</v>
      </c>
      <c r="C61" s="199">
        <f t="shared" si="16"/>
        <v>0</v>
      </c>
      <c r="D61" s="1164">
        <v>0.25</v>
      </c>
      <c r="E61" s="260">
        <f>'数据-汇总表'!E11</f>
        <v>0</v>
      </c>
      <c r="F61" s="1104">
        <f t="shared" si="15"/>
        <v>0</v>
      </c>
      <c r="G61" s="2708" t="s">
        <v>2775</v>
      </c>
      <c r="H61" s="1105">
        <f>项目基本情况!C37</f>
        <v>0</v>
      </c>
      <c r="I61" s="1109">
        <f>SUMIF(修正!A45:A56,H61,修正!F45:F56)</f>
        <v>0</v>
      </c>
      <c r="J61" s="1113">
        <v>0</v>
      </c>
      <c r="K61" s="1144"/>
      <c r="L61" s="943"/>
      <c r="M61" s="943"/>
      <c r="N61" s="943"/>
      <c r="O61" s="943"/>
    </row>
    <row r="62" spans="1:15" s="691" customFormat="1">
      <c r="A62" s="692" t="s">
        <v>2776</v>
      </c>
      <c r="B62" s="261">
        <f t="shared" si="17"/>
        <v>0</v>
      </c>
      <c r="C62" s="199">
        <f t="shared" si="16"/>
        <v>0</v>
      </c>
      <c r="D62" s="1164">
        <v>0.25</v>
      </c>
      <c r="E62" s="260">
        <f>'数据-汇总表'!E12</f>
        <v>0</v>
      </c>
      <c r="F62" s="1104">
        <f t="shared" si="15"/>
        <v>0</v>
      </c>
      <c r="G62" s="1110" t="s">
        <v>2777</v>
      </c>
      <c r="H62" s="1105">
        <f>IF(G62="商业",项目基本情况!B37,IF(G62="办公",项目基本情况!C37,IF(G62="住宅",项目基本情况!D37,项目基本情况!E37)))</f>
        <v>0</v>
      </c>
      <c r="I62" s="1109">
        <f>SUMIF(修正!A45:A56,H62,修正!G45:G56)</f>
        <v>0</v>
      </c>
      <c r="J62" s="1113">
        <v>0</v>
      </c>
      <c r="K62" s="1145"/>
      <c r="L62" s="943"/>
      <c r="M62" s="943"/>
      <c r="N62" s="943"/>
      <c r="O62" s="943"/>
    </row>
    <row r="63" spans="1:15" s="691" customFormat="1">
      <c r="A63" s="692" t="s">
        <v>2778</v>
      </c>
      <c r="B63" s="261">
        <f t="shared" si="17"/>
        <v>0</v>
      </c>
      <c r="C63" s="199">
        <f t="shared" si="16"/>
        <v>0</v>
      </c>
      <c r="D63" s="1164">
        <v>0.25</v>
      </c>
      <c r="E63" s="260">
        <f>'数据-汇总表'!E13</f>
        <v>74071</v>
      </c>
      <c r="F63" s="1104">
        <f t="shared" si="15"/>
        <v>0</v>
      </c>
      <c r="G63" s="1110" t="s">
        <v>2779</v>
      </c>
      <c r="H63" s="1105">
        <f>IF(G63="商业",项目基本情况!B37,IF(G63="办公",项目基本情况!C37,IF(G63="住宅",项目基本情况!D37,项目基本情况!E37)))</f>
        <v>0</v>
      </c>
      <c r="I63" s="1109">
        <f>SUMIF(修正!A45:A56,H63,修正!H45:H56)</f>
        <v>0</v>
      </c>
      <c r="J63" s="1113">
        <v>0</v>
      </c>
      <c r="K63" s="1144"/>
      <c r="L63" s="943"/>
      <c r="M63" s="943"/>
      <c r="N63" s="943"/>
      <c r="O63" s="943"/>
    </row>
    <row r="64" spans="1:15" s="691" customFormat="1">
      <c r="A64" s="692" t="s">
        <v>2780</v>
      </c>
      <c r="B64" s="261">
        <f t="shared" si="17"/>
        <v>0</v>
      </c>
      <c r="C64" s="199">
        <f t="shared" si="16"/>
        <v>0</v>
      </c>
      <c r="D64" s="1164">
        <v>0.25</v>
      </c>
      <c r="E64" s="260">
        <f>'数据-汇总表'!E14</f>
        <v>0</v>
      </c>
      <c r="F64" s="1104">
        <f t="shared" si="15"/>
        <v>0</v>
      </c>
      <c r="G64" s="2708" t="s">
        <v>2770</v>
      </c>
      <c r="H64" s="1105">
        <f>项目基本情况!B37</f>
        <v>0</v>
      </c>
      <c r="I64" s="1109">
        <f>SUMIF(修正!A45:A56,H64,修正!H45:H56)</f>
        <v>0</v>
      </c>
      <c r="J64" s="1113">
        <v>0</v>
      </c>
      <c r="K64" s="1145"/>
      <c r="L64" s="943"/>
      <c r="M64" s="943"/>
      <c r="N64" s="943"/>
      <c r="O64" s="943"/>
    </row>
    <row r="65" spans="1:17" s="691" customFormat="1" ht="15" thickBot="1">
      <c r="A65" s="692" t="s">
        <v>2781</v>
      </c>
      <c r="B65" s="261">
        <f t="shared" si="17"/>
        <v>0</v>
      </c>
      <c r="C65" s="199">
        <f t="shared" si="16"/>
        <v>0</v>
      </c>
      <c r="D65" s="1164">
        <v>0.25</v>
      </c>
      <c r="E65" s="260">
        <f>'数据-汇总表'!E15</f>
        <v>0</v>
      </c>
      <c r="F65" s="1104">
        <f t="shared" si="15"/>
        <v>0</v>
      </c>
      <c r="G65" s="2709" t="s">
        <v>2775</v>
      </c>
      <c r="H65" s="1114">
        <f>项目基本情况!C37</f>
        <v>0</v>
      </c>
      <c r="I65" s="1111">
        <f>SUMIF(修正!A45:A56,H65,修正!H45:H56)</f>
        <v>0</v>
      </c>
      <c r="J65" s="1113">
        <v>0</v>
      </c>
      <c r="K65" s="1144"/>
      <c r="L65" s="943"/>
      <c r="M65" s="943"/>
      <c r="N65" s="943"/>
      <c r="O65" s="943"/>
    </row>
    <row r="66" spans="1:17" s="691" customFormat="1" ht="13.5" thickBot="1">
      <c r="A66" s="694" t="s">
        <v>2782</v>
      </c>
      <c r="B66" s="695" t="s">
        <v>28</v>
      </c>
      <c r="C66" s="695" t="s">
        <v>29</v>
      </c>
      <c r="D66" s="695" t="s">
        <v>1029</v>
      </c>
      <c r="E66" s="695">
        <f>IF(B46="楼面地价",SUM(E56:E65),'数据-汇总表'!D3)</f>
        <v>209794.97</v>
      </c>
      <c r="F66" s="696">
        <f>IF(B46="楼面地价",SUM(F56:F65),ROUND(C48*E66/10000,0))</f>
        <v>82995</v>
      </c>
      <c r="G66" s="786"/>
      <c r="H66" s="786"/>
      <c r="I66" s="786"/>
      <c r="J66" s="786"/>
      <c r="K66" s="1158"/>
      <c r="L66" s="943"/>
      <c r="M66" s="943"/>
      <c r="N66" s="943"/>
      <c r="O66" s="943"/>
    </row>
    <row r="67" spans="1:17">
      <c r="A67" s="758"/>
      <c r="B67" s="760"/>
      <c r="C67" s="761"/>
      <c r="D67" s="758"/>
      <c r="E67" s="758"/>
      <c r="F67" s="758"/>
      <c r="G67" s="758"/>
      <c r="H67" s="758"/>
      <c r="I67" s="758"/>
      <c r="J67" s="1144"/>
      <c r="K67" s="1106"/>
      <c r="L67" s="1107"/>
      <c r="M67" s="1144"/>
      <c r="N67" s="1144"/>
      <c r="O67" s="1144"/>
    </row>
    <row r="68" spans="1:17">
      <c r="A68" s="758"/>
      <c r="B68" s="760"/>
      <c r="C68" s="760" t="str">
        <f>YEAR(C7)&amp;"-"&amp;MONTH(C7)&amp;"-1"</f>
        <v>2017-10-1</v>
      </c>
      <c r="D68" s="760">
        <f>EDATE(C68,-3)</f>
        <v>42917</v>
      </c>
      <c r="E68" s="760">
        <f>EDATE(D68,-3)</f>
        <v>42826</v>
      </c>
      <c r="F68" s="760">
        <f t="shared" ref="F68:O68" si="18">EDATE(E68,-3)</f>
        <v>42736</v>
      </c>
      <c r="G68" s="760">
        <f t="shared" si="18"/>
        <v>42644</v>
      </c>
      <c r="H68" s="760">
        <f t="shared" si="18"/>
        <v>42552</v>
      </c>
      <c r="I68" s="760">
        <f t="shared" si="18"/>
        <v>42461</v>
      </c>
      <c r="J68" s="760">
        <f t="shared" si="18"/>
        <v>42370</v>
      </c>
      <c r="K68" s="760">
        <f t="shared" si="18"/>
        <v>42278</v>
      </c>
      <c r="L68" s="760">
        <f t="shared" si="18"/>
        <v>42186</v>
      </c>
      <c r="M68" s="760">
        <f t="shared" si="18"/>
        <v>42095</v>
      </c>
      <c r="N68" s="760">
        <f t="shared" si="18"/>
        <v>42005</v>
      </c>
      <c r="O68" s="760">
        <f t="shared" si="18"/>
        <v>41913</v>
      </c>
    </row>
    <row r="69" spans="1:17" ht="21.75" thickBot="1">
      <c r="A69" s="762" t="s">
        <v>2675</v>
      </c>
      <c r="B69" s="758"/>
      <c r="C69" s="763"/>
      <c r="D69" s="763"/>
      <c r="E69" s="763"/>
      <c r="F69" s="764"/>
      <c r="G69" s="764"/>
      <c r="H69" s="763"/>
      <c r="I69" s="763"/>
      <c r="J69" s="1159"/>
      <c r="K69" s="1160"/>
      <c r="L69" s="1161"/>
      <c r="M69" s="1159"/>
      <c r="N69" s="1159"/>
      <c r="O69" s="1159"/>
      <c r="P69" s="502"/>
      <c r="Q69" s="503"/>
    </row>
    <row r="70" spans="1:17" s="507" customFormat="1" ht="15">
      <c r="A70" s="2710" t="s">
        <v>2783</v>
      </c>
      <c r="B70" s="1359"/>
      <c r="C70" s="1573" t="str">
        <f>YEAR(C68)&amp;"-"&amp;ROUNDUP(MONTH(C68)/3,0)</f>
        <v>2017-4</v>
      </c>
      <c r="D70" s="1573" t="str">
        <f>YEAR(D68)&amp;"-"&amp;ROUNDUP(MONTH(D68)/3,0)</f>
        <v>2017-3</v>
      </c>
      <c r="E70" s="1573" t="str">
        <f t="shared" ref="E70:O70" si="19">YEAR(E68)&amp;"-"&amp;ROUNDUP(MONTH(E68)/3,0)</f>
        <v>2017-2</v>
      </c>
      <c r="F70" s="1573" t="str">
        <f t="shared" si="19"/>
        <v>2017-1</v>
      </c>
      <c r="G70" s="1573" t="str">
        <f t="shared" si="19"/>
        <v>2016-4</v>
      </c>
      <c r="H70" s="1573" t="str">
        <f t="shared" si="19"/>
        <v>2016-3</v>
      </c>
      <c r="I70" s="1573" t="str">
        <f t="shared" si="19"/>
        <v>2016-2</v>
      </c>
      <c r="J70" s="1573" t="str">
        <f t="shared" si="19"/>
        <v>2016-1</v>
      </c>
      <c r="K70" s="1573" t="str">
        <f t="shared" si="19"/>
        <v>2015-4</v>
      </c>
      <c r="L70" s="1573" t="str">
        <f t="shared" si="19"/>
        <v>2015-3</v>
      </c>
      <c r="M70" s="1573" t="str">
        <f t="shared" si="19"/>
        <v>2015-2</v>
      </c>
      <c r="N70" s="1573" t="str">
        <f t="shared" si="19"/>
        <v>2015-1</v>
      </c>
      <c r="O70" s="1573" t="str">
        <f t="shared" si="19"/>
        <v>2014-4</v>
      </c>
      <c r="P70" s="506"/>
    </row>
    <row r="71" spans="1:17" s="116" customFormat="1" ht="30" customHeight="1">
      <c r="A71" s="2711" t="s">
        <v>2784</v>
      </c>
      <c r="B71" s="331" t="str">
        <f>"北京市平均增长率"&amp;TEXT(SUMIF(基准地价修正!N21:N25,A71,基准地价修正!P21:P25),"0.00%")</f>
        <v>北京市平均增长率2.78%</v>
      </c>
      <c r="C71" s="602">
        <v>100</v>
      </c>
      <c r="D71" s="594">
        <f>C71-2.5</f>
        <v>97.5</v>
      </c>
      <c r="E71" s="594">
        <f>D71-2.5</f>
        <v>95</v>
      </c>
      <c r="F71" s="594">
        <f>E71-2.5</f>
        <v>92.5</v>
      </c>
      <c r="G71" s="594"/>
      <c r="H71" s="594"/>
      <c r="I71" s="594"/>
      <c r="J71" s="594"/>
      <c r="K71" s="594"/>
      <c r="L71" s="594"/>
      <c r="M71" s="1568"/>
      <c r="N71" s="594"/>
      <c r="O71" s="1569"/>
      <c r="P71" s="503"/>
    </row>
    <row r="72" spans="1:17" s="116" customFormat="1" ht="15.75" thickBot="1">
      <c r="A72" s="514" t="s">
        <v>2586</v>
      </c>
      <c r="B72" s="515"/>
      <c r="C72" s="516"/>
      <c r="D72" s="517"/>
      <c r="E72" s="517"/>
      <c r="F72" s="517"/>
      <c r="G72" s="517"/>
      <c r="H72" s="517"/>
      <c r="I72" s="517"/>
      <c r="J72" s="517"/>
      <c r="K72" s="517"/>
      <c r="L72" s="517"/>
      <c r="M72" s="518"/>
      <c r="N72" s="517"/>
      <c r="O72" s="1162"/>
      <c r="P72" s="503"/>
      <c r="Q72" s="503"/>
    </row>
    <row r="73" spans="1:17" s="116" customFormat="1" ht="15">
      <c r="A73" s="520" t="s">
        <v>2551</v>
      </c>
      <c r="B73" s="509"/>
      <c r="C73" s="521" t="s">
        <v>2653</v>
      </c>
      <c r="D73" s="522"/>
      <c r="E73" s="522"/>
      <c r="F73" s="522"/>
      <c r="G73" s="522"/>
      <c r="H73" s="522"/>
      <c r="I73" s="522"/>
      <c r="J73" s="522"/>
      <c r="K73" s="522"/>
      <c r="L73" s="523"/>
      <c r="M73" s="524"/>
      <c r="N73" s="1151"/>
      <c r="O73" s="1151"/>
      <c r="P73" s="525"/>
      <c r="Q73" s="503"/>
    </row>
    <row r="74" spans="1:17" s="116" customFormat="1" ht="15.75" thickBot="1">
      <c r="A74" s="520"/>
      <c r="B74" s="509"/>
      <c r="C74" s="638">
        <v>100</v>
      </c>
      <c r="D74" s="511"/>
      <c r="E74" s="511"/>
      <c r="F74" s="511"/>
      <c r="G74" s="511"/>
      <c r="H74" s="511"/>
      <c r="I74" s="511"/>
      <c r="J74" s="511"/>
      <c r="K74" s="511"/>
      <c r="L74" s="511"/>
      <c r="M74" s="513"/>
      <c r="N74" s="1151"/>
      <c r="O74" s="1151"/>
      <c r="P74" s="503"/>
      <c r="Q74" s="503"/>
    </row>
    <row r="75" spans="1:17" ht="27">
      <c r="A75" s="526" t="s">
        <v>2589</v>
      </c>
      <c r="B75" s="527" t="s">
        <v>2555</v>
      </c>
      <c r="C75" s="2935" t="s">
        <v>3107</v>
      </c>
      <c r="D75" s="2935" t="s">
        <v>3145</v>
      </c>
      <c r="E75" s="529"/>
      <c r="F75" s="529"/>
      <c r="G75" s="529"/>
      <c r="H75" s="529"/>
      <c r="I75" s="529"/>
      <c r="J75" s="529"/>
      <c r="K75" s="530"/>
      <c r="L75" s="531"/>
      <c r="M75" s="532"/>
      <c r="N75" s="1152"/>
      <c r="O75" s="1152"/>
      <c r="P75" s="45"/>
      <c r="Q75" s="503"/>
    </row>
    <row r="76" spans="1:17" ht="15.75" thickBot="1">
      <c r="A76" s="533"/>
      <c r="B76" s="534"/>
      <c r="C76" s="535">
        <v>100</v>
      </c>
      <c r="D76" s="535">
        <v>100</v>
      </c>
      <c r="E76" s="535"/>
      <c r="F76" s="535"/>
      <c r="G76" s="535"/>
      <c r="H76" s="535"/>
      <c r="I76" s="535"/>
      <c r="J76" s="535"/>
      <c r="K76" s="535"/>
      <c r="L76" s="535"/>
      <c r="M76" s="536"/>
      <c r="N76" s="1153"/>
      <c r="O76" s="1153"/>
      <c r="P76" s="45"/>
      <c r="Q76" s="503"/>
    </row>
    <row r="77" spans="1:17" ht="27.75" thickTop="1">
      <c r="A77" s="533"/>
      <c r="B77" s="537" t="s">
        <v>2558</v>
      </c>
      <c r="C77" s="538"/>
      <c r="D77" s="538"/>
      <c r="E77" s="538"/>
      <c r="F77" s="538"/>
      <c r="G77" s="538"/>
      <c r="H77" s="538"/>
      <c r="I77" s="538"/>
      <c r="J77" s="538"/>
      <c r="K77" s="539"/>
      <c r="L77" s="540"/>
      <c r="M77" s="541"/>
      <c r="N77" s="1152"/>
      <c r="O77" s="1152"/>
      <c r="P77" s="45"/>
      <c r="Q77" s="503"/>
    </row>
    <row r="78" spans="1:17" ht="15.75" thickBot="1">
      <c r="A78" s="533"/>
      <c r="B78" s="542"/>
      <c r="C78" s="543"/>
      <c r="D78" s="543"/>
      <c r="E78" s="543"/>
      <c r="F78" s="543"/>
      <c r="G78" s="543"/>
      <c r="H78" s="543"/>
      <c r="I78" s="543"/>
      <c r="J78" s="543"/>
      <c r="K78" s="543"/>
      <c r="L78" s="543"/>
      <c r="M78" s="544"/>
      <c r="N78" s="1153"/>
      <c r="O78" s="1153"/>
      <c r="P78" s="45"/>
      <c r="Q78" s="503"/>
    </row>
    <row r="79" spans="1:17" ht="15.75" thickTop="1">
      <c r="A79" s="533"/>
      <c r="B79" s="545" t="s">
        <v>2559</v>
      </c>
      <c r="C79" s="546" t="str">
        <f>C80&amp;"（含）"&amp;"-"&amp;D80</f>
        <v>0（含）-2</v>
      </c>
      <c r="D79" s="546" t="str">
        <f t="shared" ref="D79:L79" si="20">D80&amp;"（含）"&amp;"-"&amp;E80</f>
        <v>2（含）-4</v>
      </c>
      <c r="E79" s="546" t="str">
        <f t="shared" si="20"/>
        <v>4（含）-6</v>
      </c>
      <c r="F79" s="546" t="str">
        <f t="shared" si="20"/>
        <v>6（含）-8</v>
      </c>
      <c r="G79" s="546" t="str">
        <f t="shared" si="20"/>
        <v>8（含）-10</v>
      </c>
      <c r="H79" s="546" t="str">
        <f t="shared" si="20"/>
        <v>10（含）-</v>
      </c>
      <c r="I79" s="546" t="str">
        <f t="shared" si="20"/>
        <v>（含）-</v>
      </c>
      <c r="J79" s="546" t="str">
        <f t="shared" si="20"/>
        <v>（含）-</v>
      </c>
      <c r="K79" s="546" t="str">
        <f t="shared" si="20"/>
        <v>（含）-</v>
      </c>
      <c r="L79" s="546" t="str">
        <f t="shared" si="20"/>
        <v>（含）-</v>
      </c>
      <c r="M79" s="447" t="str">
        <f>M80&amp;"（含）"&amp;"-"&amp;P80</f>
        <v>（含）-</v>
      </c>
      <c r="N79" s="1153"/>
      <c r="O79" s="1153"/>
      <c r="P79" s="45"/>
      <c r="Q79" s="503"/>
    </row>
    <row r="80" spans="1:17" ht="15">
      <c r="A80" s="533"/>
      <c r="B80" s="547"/>
      <c r="C80" s="548">
        <v>0</v>
      </c>
      <c r="D80" s="548">
        <v>2</v>
      </c>
      <c r="E80" s="548">
        <v>4</v>
      </c>
      <c r="F80" s="548">
        <v>6</v>
      </c>
      <c r="G80" s="548">
        <v>8</v>
      </c>
      <c r="H80" s="548">
        <v>10</v>
      </c>
      <c r="I80" s="548"/>
      <c r="J80" s="548"/>
      <c r="K80" s="549"/>
      <c r="L80" s="550"/>
      <c r="M80" s="551"/>
      <c r="N80" s="1152"/>
      <c r="O80" s="1152"/>
      <c r="P80" s="45"/>
      <c r="Q80" s="503"/>
    </row>
    <row r="81" spans="1:17" ht="15.75" thickBot="1">
      <c r="A81" s="533"/>
      <c r="B81" s="534"/>
      <c r="C81" s="543">
        <v>100</v>
      </c>
      <c r="D81" s="543">
        <f t="shared" ref="D81:M81" si="21">IF($B$46="单位面积地价",C81+$K11,C81-$K11)</f>
        <v>98</v>
      </c>
      <c r="E81" s="543">
        <f t="shared" si="21"/>
        <v>96</v>
      </c>
      <c r="F81" s="543">
        <f t="shared" si="21"/>
        <v>94</v>
      </c>
      <c r="G81" s="543">
        <f t="shared" si="21"/>
        <v>92</v>
      </c>
      <c r="H81" s="543">
        <f t="shared" si="21"/>
        <v>90</v>
      </c>
      <c r="I81" s="543">
        <f t="shared" si="21"/>
        <v>88</v>
      </c>
      <c r="J81" s="543">
        <f t="shared" si="21"/>
        <v>86</v>
      </c>
      <c r="K81" s="543">
        <f t="shared" si="21"/>
        <v>84</v>
      </c>
      <c r="L81" s="543">
        <f t="shared" si="21"/>
        <v>82</v>
      </c>
      <c r="M81" s="543">
        <f t="shared" si="21"/>
        <v>80</v>
      </c>
      <c r="N81" s="1153"/>
      <c r="O81" s="1153"/>
      <c r="P81" s="45"/>
      <c r="Q81" s="503"/>
    </row>
    <row r="82" spans="1:17" s="470" customFormat="1" ht="15.75" hidden="1" thickTop="1">
      <c r="A82" s="552"/>
      <c r="B82" s="537" t="str">
        <f>B12</f>
        <v>配建</v>
      </c>
      <c r="C82" s="553"/>
      <c r="D82" s="553"/>
      <c r="E82" s="553"/>
      <c r="F82" s="553"/>
      <c r="G82" s="553"/>
      <c r="H82" s="554"/>
      <c r="I82" s="554"/>
      <c r="J82" s="554"/>
      <c r="K82" s="554"/>
      <c r="L82" s="555"/>
      <c r="M82" s="556"/>
      <c r="N82" s="1154"/>
      <c r="O82" s="1154"/>
      <c r="P82" s="557"/>
      <c r="Q82" s="558"/>
    </row>
    <row r="83" spans="1:17" s="470" customFormat="1" ht="15.75" hidden="1" thickBot="1">
      <c r="A83" s="552"/>
      <c r="B83" s="542"/>
      <c r="C83" s="559"/>
      <c r="D83" s="535"/>
      <c r="E83" s="535"/>
      <c r="F83" s="535"/>
      <c r="G83" s="535"/>
      <c r="H83" s="535"/>
      <c r="I83" s="535"/>
      <c r="J83" s="535"/>
      <c r="K83" s="535"/>
      <c r="L83" s="535"/>
      <c r="M83" s="536"/>
      <c r="N83" s="1153"/>
      <c r="O83" s="1153"/>
      <c r="P83" s="557"/>
      <c r="Q83" s="558"/>
    </row>
    <row r="84" spans="1:17" s="470" customFormat="1" ht="15.75" hidden="1" thickTop="1">
      <c r="A84" s="552"/>
      <c r="B84" s="537">
        <f>B13</f>
        <v>111</v>
      </c>
      <c r="C84" s="553"/>
      <c r="D84" s="553"/>
      <c r="E84" s="553"/>
      <c r="F84" s="553"/>
      <c r="G84" s="553"/>
      <c r="H84" s="554"/>
      <c r="I84" s="554"/>
      <c r="J84" s="554"/>
      <c r="K84" s="554"/>
      <c r="L84" s="555"/>
      <c r="M84" s="556"/>
      <c r="N84" s="1154"/>
      <c r="O84" s="1154"/>
      <c r="P84" s="469"/>
      <c r="Q84" s="560"/>
    </row>
    <row r="85" spans="1:17" s="470" customFormat="1" ht="15.75" hidden="1" thickBot="1">
      <c r="A85" s="552"/>
      <c r="B85" s="542"/>
      <c r="C85" s="559"/>
      <c r="D85" s="559"/>
      <c r="E85" s="559"/>
      <c r="F85" s="559"/>
      <c r="G85" s="559"/>
      <c r="H85" s="561"/>
      <c r="I85" s="561"/>
      <c r="J85" s="561"/>
      <c r="K85" s="561"/>
      <c r="L85" s="561"/>
      <c r="M85" s="562"/>
      <c r="N85" s="1154"/>
      <c r="O85" s="1154"/>
      <c r="P85" s="557"/>
      <c r="Q85" s="558"/>
    </row>
    <row r="86" spans="1:17" s="470" customFormat="1" ht="15.75" hidden="1" thickTop="1">
      <c r="A86" s="552"/>
      <c r="B86" s="545">
        <f>B14</f>
        <v>111</v>
      </c>
      <c r="C86" s="522"/>
      <c r="D86" s="522"/>
      <c r="E86" s="522"/>
      <c r="F86" s="522"/>
      <c r="G86" s="522"/>
      <c r="H86" s="563"/>
      <c r="I86" s="563"/>
      <c r="J86" s="563"/>
      <c r="K86" s="563"/>
      <c r="L86" s="564"/>
      <c r="M86" s="565"/>
      <c r="N86" s="1154"/>
      <c r="O86" s="1154"/>
      <c r="P86" s="566"/>
      <c r="Q86" s="558"/>
    </row>
    <row r="87" spans="1:17" s="470" customFormat="1" ht="15.75" hidden="1" thickBot="1">
      <c r="A87" s="567"/>
      <c r="B87" s="568"/>
      <c r="C87" s="569"/>
      <c r="D87" s="569"/>
      <c r="E87" s="569"/>
      <c r="F87" s="569"/>
      <c r="G87" s="569"/>
      <c r="H87" s="570"/>
      <c r="I87" s="570"/>
      <c r="J87" s="570"/>
      <c r="K87" s="570"/>
      <c r="L87" s="570"/>
      <c r="M87" s="571"/>
      <c r="N87" s="1154"/>
      <c r="O87" s="1154"/>
      <c r="P87" s="557"/>
      <c r="Q87" s="558"/>
    </row>
    <row r="88" spans="1:17" ht="15" thickTop="1">
      <c r="A88" s="526" t="s">
        <v>2560</v>
      </c>
      <c r="B88" s="527" t="s">
        <v>2597</v>
      </c>
      <c r="C88" s="572" t="s">
        <v>2598</v>
      </c>
      <c r="D88" s="572" t="s">
        <v>2599</v>
      </c>
      <c r="E88" s="572" t="s">
        <v>2600</v>
      </c>
      <c r="F88" s="572" t="s">
        <v>2601</v>
      </c>
      <c r="G88" s="572" t="s">
        <v>2602</v>
      </c>
      <c r="H88" s="528"/>
      <c r="I88" s="528"/>
      <c r="J88" s="528"/>
      <c r="K88" s="573"/>
      <c r="L88" s="574"/>
      <c r="M88" s="575"/>
      <c r="N88" s="1152"/>
      <c r="O88" s="1152"/>
      <c r="P88" s="576"/>
      <c r="Q88" s="503"/>
    </row>
    <row r="89" spans="1:17" ht="15.75" thickBot="1">
      <c r="A89" s="533"/>
      <c r="B89" s="542"/>
      <c r="C89" s="543">
        <v>100</v>
      </c>
      <c r="D89" s="543">
        <f>C89-$K15</f>
        <v>97</v>
      </c>
      <c r="E89" s="543">
        <f>D89-$K15</f>
        <v>94</v>
      </c>
      <c r="F89" s="543">
        <f>E89-$K15</f>
        <v>91</v>
      </c>
      <c r="G89" s="543">
        <f>F89-$K15</f>
        <v>88</v>
      </c>
      <c r="H89" s="543"/>
      <c r="I89" s="543"/>
      <c r="J89" s="543"/>
      <c r="K89" s="543"/>
      <c r="L89" s="543"/>
      <c r="M89" s="544"/>
      <c r="N89" s="1153"/>
      <c r="O89" s="1153"/>
      <c r="P89" s="45"/>
      <c r="Q89" s="503"/>
    </row>
    <row r="90" spans="1:17" ht="15.75" thickTop="1">
      <c r="A90" s="533"/>
      <c r="B90" s="537" t="s">
        <v>2785</v>
      </c>
      <c r="C90" s="577" t="s">
        <v>2598</v>
      </c>
      <c r="D90" s="577" t="s">
        <v>2599</v>
      </c>
      <c r="E90" s="577" t="s">
        <v>2600</v>
      </c>
      <c r="F90" s="577" t="s">
        <v>2601</v>
      </c>
      <c r="G90" s="577" t="s">
        <v>2602</v>
      </c>
      <c r="H90" s="538"/>
      <c r="I90" s="538"/>
      <c r="J90" s="538"/>
      <c r="K90" s="539"/>
      <c r="L90" s="540"/>
      <c r="M90" s="541"/>
      <c r="N90" s="1152"/>
      <c r="O90" s="1152"/>
      <c r="P90" s="45"/>
      <c r="Q90" s="503"/>
    </row>
    <row r="91" spans="1:17" ht="15.75" thickBot="1">
      <c r="A91" s="533"/>
      <c r="B91" s="542"/>
      <c r="C91" s="543">
        <v>100</v>
      </c>
      <c r="D91" s="543">
        <f>C91-$K17</f>
        <v>97</v>
      </c>
      <c r="E91" s="543">
        <f>D91-$K17</f>
        <v>94</v>
      </c>
      <c r="F91" s="543">
        <f>E91-$K17</f>
        <v>91</v>
      </c>
      <c r="G91" s="543">
        <f>F91-$K17</f>
        <v>88</v>
      </c>
      <c r="H91" s="543"/>
      <c r="I91" s="543"/>
      <c r="J91" s="543"/>
      <c r="K91" s="543"/>
      <c r="L91" s="543"/>
      <c r="M91" s="544"/>
      <c r="N91" s="1153"/>
      <c r="O91" s="1153"/>
      <c r="P91" s="45"/>
      <c r="Q91" s="503"/>
    </row>
    <row r="92" spans="1:17" ht="15.75" thickTop="1">
      <c r="A92" s="533"/>
      <c r="B92" s="537" t="s">
        <v>2698</v>
      </c>
      <c r="C92" s="577" t="s">
        <v>2598</v>
      </c>
      <c r="D92" s="577" t="s">
        <v>2599</v>
      </c>
      <c r="E92" s="577" t="s">
        <v>2600</v>
      </c>
      <c r="F92" s="577" t="s">
        <v>2601</v>
      </c>
      <c r="G92" s="577" t="s">
        <v>2602</v>
      </c>
      <c r="H92" s="538"/>
      <c r="I92" s="538"/>
      <c r="J92" s="538"/>
      <c r="K92" s="539"/>
      <c r="L92" s="540"/>
      <c r="M92" s="541"/>
      <c r="N92" s="1152"/>
      <c r="O92" s="1152"/>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3"/>
      <c r="O93" s="1153"/>
      <c r="P93" s="45"/>
      <c r="Q93" s="503"/>
    </row>
    <row r="94" spans="1:17" ht="15.75" thickTop="1">
      <c r="A94" s="533"/>
      <c r="B94" s="537" t="s">
        <v>2603</v>
      </c>
      <c r="C94" s="577" t="s">
        <v>2598</v>
      </c>
      <c r="D94" s="577" t="s">
        <v>2599</v>
      </c>
      <c r="E94" s="577" t="s">
        <v>2600</v>
      </c>
      <c r="F94" s="577" t="s">
        <v>2601</v>
      </c>
      <c r="G94" s="577" t="s">
        <v>2602</v>
      </c>
      <c r="H94" s="538"/>
      <c r="I94" s="538"/>
      <c r="J94" s="538"/>
      <c r="K94" s="539"/>
      <c r="L94" s="540"/>
      <c r="M94" s="541"/>
      <c r="N94" s="1152"/>
      <c r="O94" s="1152"/>
      <c r="P94" s="45"/>
      <c r="Q94" s="503"/>
    </row>
    <row r="95" spans="1:17" ht="15.75" thickBot="1">
      <c r="A95" s="533"/>
      <c r="B95" s="542"/>
      <c r="C95" s="543">
        <v>100</v>
      </c>
      <c r="D95" s="543">
        <f>C95-$K21</f>
        <v>97</v>
      </c>
      <c r="E95" s="543">
        <f>D95-$K21</f>
        <v>94</v>
      </c>
      <c r="F95" s="543">
        <f>E95-$K21</f>
        <v>91</v>
      </c>
      <c r="G95" s="543">
        <f>F95-$K21</f>
        <v>88</v>
      </c>
      <c r="H95" s="543"/>
      <c r="I95" s="543"/>
      <c r="J95" s="543"/>
      <c r="K95" s="543"/>
      <c r="L95" s="543"/>
      <c r="M95" s="544"/>
      <c r="N95" s="1153"/>
      <c r="O95" s="1153"/>
      <c r="P95" s="45"/>
      <c r="Q95" s="503"/>
    </row>
    <row r="96" spans="1:17" s="116" customFormat="1" ht="15.75" thickTop="1">
      <c r="A96" s="578"/>
      <c r="B96" s="537" t="s">
        <v>2786</v>
      </c>
      <c r="C96" s="577" t="s">
        <v>2598</v>
      </c>
      <c r="D96" s="577" t="s">
        <v>2599</v>
      </c>
      <c r="E96" s="577" t="s">
        <v>2600</v>
      </c>
      <c r="F96" s="577" t="s">
        <v>2601</v>
      </c>
      <c r="G96" s="577" t="s">
        <v>2602</v>
      </c>
      <c r="H96" s="577"/>
      <c r="I96" s="577"/>
      <c r="J96" s="577"/>
      <c r="K96" s="577"/>
      <c r="L96" s="697"/>
      <c r="M96" s="621"/>
      <c r="N96" s="1151"/>
      <c r="O96" s="1151"/>
      <c r="P96" s="45"/>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53"/>
      <c r="O97" s="1153"/>
      <c r="P97" s="45"/>
      <c r="Q97" s="503"/>
    </row>
    <row r="98" spans="1:17" s="116" customFormat="1" ht="27.75" thickTop="1">
      <c r="A98" s="578"/>
      <c r="B98" s="537" t="s">
        <v>2787</v>
      </c>
      <c r="C98" s="572" t="s">
        <v>2598</v>
      </c>
      <c r="D98" s="572" t="s">
        <v>2599</v>
      </c>
      <c r="E98" s="572" t="s">
        <v>2600</v>
      </c>
      <c r="F98" s="572" t="s">
        <v>2601</v>
      </c>
      <c r="G98" s="572" t="s">
        <v>2602</v>
      </c>
      <c r="H98" s="577"/>
      <c r="I98" s="577"/>
      <c r="J98" s="577"/>
      <c r="K98" s="577"/>
      <c r="L98" s="577"/>
      <c r="M98" s="621"/>
      <c r="N98" s="1151"/>
      <c r="O98" s="1151"/>
      <c r="P98" s="45"/>
      <c r="Q98" s="503"/>
    </row>
    <row r="99" spans="1:17" s="116" customFormat="1" ht="15.75" thickBot="1">
      <c r="A99" s="578"/>
      <c r="B99" s="542"/>
      <c r="C99" s="543">
        <v>100</v>
      </c>
      <c r="D99" s="543">
        <f>C99-$K25</f>
        <v>97</v>
      </c>
      <c r="E99" s="543">
        <f>D99-$K25</f>
        <v>94</v>
      </c>
      <c r="F99" s="543">
        <f>E99-$K25</f>
        <v>91</v>
      </c>
      <c r="G99" s="543">
        <f>F99-$K25</f>
        <v>88</v>
      </c>
      <c r="H99" s="543"/>
      <c r="I99" s="543"/>
      <c r="J99" s="543"/>
      <c r="K99" s="543"/>
      <c r="L99" s="543"/>
      <c r="M99" s="544"/>
      <c r="N99" s="1153"/>
      <c r="O99" s="1153"/>
      <c r="P99" s="45"/>
      <c r="Q99" s="503"/>
    </row>
    <row r="100" spans="1:17" s="470" customFormat="1" ht="15.75" thickTop="1">
      <c r="A100" s="552"/>
      <c r="B100" s="537" t="s">
        <v>2655</v>
      </c>
      <c r="C100" s="572" t="s">
        <v>2598</v>
      </c>
      <c r="D100" s="572" t="s">
        <v>2599</v>
      </c>
      <c r="E100" s="572" t="s">
        <v>2600</v>
      </c>
      <c r="F100" s="572" t="s">
        <v>2601</v>
      </c>
      <c r="G100" s="572" t="s">
        <v>2602</v>
      </c>
      <c r="H100" s="599"/>
      <c r="I100" s="599"/>
      <c r="J100" s="599"/>
      <c r="K100" s="599"/>
      <c r="L100" s="600"/>
      <c r="M100" s="601"/>
      <c r="N100" s="1154"/>
      <c r="O100" s="1154"/>
      <c r="P100" s="557"/>
      <c r="Q100" s="558"/>
    </row>
    <row r="101" spans="1:17" s="470" customFormat="1" ht="15.75" thickBot="1">
      <c r="A101" s="552"/>
      <c r="B101" s="542"/>
      <c r="C101" s="543">
        <v>100</v>
      </c>
      <c r="D101" s="543">
        <f>C101-$K27</f>
        <v>98</v>
      </c>
      <c r="E101" s="543">
        <f>D101-$K27</f>
        <v>96</v>
      </c>
      <c r="F101" s="543">
        <f>E101-$K27</f>
        <v>94</v>
      </c>
      <c r="G101" s="543">
        <f>F101-$K27</f>
        <v>92</v>
      </c>
      <c r="H101" s="606"/>
      <c r="I101" s="606"/>
      <c r="J101" s="606"/>
      <c r="K101" s="606"/>
      <c r="L101" s="606"/>
      <c r="M101" s="607"/>
      <c r="N101" s="1154"/>
      <c r="O101" s="1154"/>
      <c r="P101" s="557"/>
      <c r="Q101" s="558"/>
    </row>
    <row r="102" spans="1:17" s="470" customFormat="1" ht="15.75" thickTop="1">
      <c r="A102" s="552"/>
      <c r="B102" s="545" t="s">
        <v>2656</v>
      </c>
      <c r="C102" s="659" t="s">
        <v>2676</v>
      </c>
      <c r="D102" s="659" t="s">
        <v>2677</v>
      </c>
      <c r="E102" s="659" t="s">
        <v>2678</v>
      </c>
      <c r="F102" s="659" t="s">
        <v>2679</v>
      </c>
      <c r="G102" s="659" t="s">
        <v>2680</v>
      </c>
      <c r="H102" s="599"/>
      <c r="I102" s="599"/>
      <c r="J102" s="599"/>
      <c r="K102" s="599"/>
      <c r="L102" s="599"/>
      <c r="M102" s="1385"/>
      <c r="N102" s="1154"/>
      <c r="O102" s="1154"/>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5"/>
      <c r="N103" s="1154"/>
      <c r="O103" s="1154"/>
      <c r="P103" s="557"/>
      <c r="Q103" s="558"/>
    </row>
    <row r="104" spans="1:17" ht="15.75" thickTop="1">
      <c r="A104" s="533"/>
      <c r="B104" s="537" t="str">
        <f>B31</f>
        <v>临街状况</v>
      </c>
      <c r="C104" s="538" t="s">
        <v>2788</v>
      </c>
      <c r="D104" s="538" t="s">
        <v>2789</v>
      </c>
      <c r="E104" s="538" t="s">
        <v>2790</v>
      </c>
      <c r="F104" s="538" t="s">
        <v>2791</v>
      </c>
      <c r="G104" s="538"/>
      <c r="H104" s="538"/>
      <c r="I104" s="538"/>
      <c r="J104" s="538"/>
      <c r="K104" s="539"/>
      <c r="L104" s="540"/>
      <c r="M104" s="541"/>
      <c r="N104" s="1152"/>
      <c r="O104" s="1152"/>
      <c r="P104" s="45"/>
      <c r="Q104" s="503"/>
    </row>
    <row r="105" spans="1:17" ht="15.75" thickBot="1">
      <c r="A105" s="533"/>
      <c r="B105" s="542"/>
      <c r="C105" s="543">
        <v>100</v>
      </c>
      <c r="D105" s="543">
        <f>C105-$K31</f>
        <v>98</v>
      </c>
      <c r="E105" s="543">
        <f t="shared" ref="E105:M105" si="22">D105-$K31</f>
        <v>96</v>
      </c>
      <c r="F105" s="543">
        <f t="shared" si="22"/>
        <v>94</v>
      </c>
      <c r="G105" s="543">
        <f t="shared" si="22"/>
        <v>92</v>
      </c>
      <c r="H105" s="543">
        <f t="shared" si="22"/>
        <v>90</v>
      </c>
      <c r="I105" s="543">
        <f t="shared" si="22"/>
        <v>88</v>
      </c>
      <c r="J105" s="543">
        <f t="shared" si="22"/>
        <v>86</v>
      </c>
      <c r="K105" s="543">
        <f t="shared" si="22"/>
        <v>84</v>
      </c>
      <c r="L105" s="543">
        <f t="shared" si="22"/>
        <v>82</v>
      </c>
      <c r="M105" s="543">
        <f t="shared" si="22"/>
        <v>80</v>
      </c>
      <c r="N105" s="1153"/>
      <c r="O105" s="1153"/>
      <c r="P105" s="45"/>
      <c r="Q105" s="503"/>
    </row>
    <row r="106" spans="1:17" ht="27.75" thickTop="1">
      <c r="A106" s="533"/>
      <c r="B106" s="537" t="s">
        <v>2692</v>
      </c>
      <c r="C106" s="2936" t="s">
        <v>3112</v>
      </c>
      <c r="D106" s="2936" t="s">
        <v>3114</v>
      </c>
      <c r="E106" s="2936" t="s">
        <v>3116</v>
      </c>
      <c r="F106" s="2936" t="s">
        <v>3117</v>
      </c>
      <c r="G106" s="2936" t="s">
        <v>3118</v>
      </c>
      <c r="H106" s="582"/>
      <c r="I106" s="582"/>
      <c r="J106" s="582"/>
      <c r="K106" s="583"/>
      <c r="L106" s="584"/>
      <c r="M106" s="585"/>
      <c r="N106" s="1152"/>
      <c r="O106" s="1152"/>
      <c r="P106" s="45"/>
      <c r="Q106" s="503"/>
    </row>
    <row r="107" spans="1:17" ht="15.75" thickBot="1">
      <c r="A107" s="533"/>
      <c r="B107" s="542"/>
      <c r="C107" s="543">
        <v>100</v>
      </c>
      <c r="D107" s="543">
        <f>C107-$K32</f>
        <v>98</v>
      </c>
      <c r="E107" s="543">
        <f t="shared" ref="E107:M107" si="23">D107-$K32</f>
        <v>96</v>
      </c>
      <c r="F107" s="543">
        <f t="shared" si="23"/>
        <v>94</v>
      </c>
      <c r="G107" s="543">
        <f t="shared" si="23"/>
        <v>92</v>
      </c>
      <c r="H107" s="543">
        <f t="shared" si="23"/>
        <v>90</v>
      </c>
      <c r="I107" s="543">
        <f t="shared" si="23"/>
        <v>88</v>
      </c>
      <c r="J107" s="543">
        <f t="shared" si="23"/>
        <v>86</v>
      </c>
      <c r="K107" s="543">
        <f t="shared" si="23"/>
        <v>84</v>
      </c>
      <c r="L107" s="543">
        <f t="shared" si="23"/>
        <v>82</v>
      </c>
      <c r="M107" s="543">
        <f t="shared" si="23"/>
        <v>80</v>
      </c>
      <c r="N107" s="1153"/>
      <c r="O107" s="1153"/>
      <c r="P107" s="45"/>
      <c r="Q107" s="503"/>
    </row>
    <row r="108" spans="1:17" ht="15.75" thickTop="1">
      <c r="A108" s="533"/>
      <c r="B108" s="537" t="s">
        <v>2751</v>
      </c>
      <c r="C108" s="2937" t="s">
        <v>3135</v>
      </c>
      <c r="D108" s="2937" t="s">
        <v>3136</v>
      </c>
      <c r="E108" s="2937" t="s">
        <v>3137</v>
      </c>
      <c r="F108" s="2937" t="s">
        <v>3138</v>
      </c>
      <c r="G108" s="2937" t="s">
        <v>3139</v>
      </c>
      <c r="H108" s="582"/>
      <c r="I108" s="582"/>
      <c r="J108" s="582"/>
      <c r="K108" s="583"/>
      <c r="L108" s="584"/>
      <c r="M108" s="585"/>
      <c r="N108" s="1152"/>
      <c r="O108" s="1152"/>
      <c r="P108" s="45"/>
      <c r="Q108" s="503"/>
    </row>
    <row r="109" spans="1:17" ht="15.75" thickBot="1">
      <c r="A109" s="533"/>
      <c r="B109" s="542"/>
      <c r="C109" s="543">
        <v>100</v>
      </c>
      <c r="D109" s="543">
        <f>C109-$K34</f>
        <v>99</v>
      </c>
      <c r="E109" s="543">
        <f t="shared" ref="E109:M109" si="24">D109-$K34</f>
        <v>98</v>
      </c>
      <c r="F109" s="543">
        <f t="shared" si="24"/>
        <v>97</v>
      </c>
      <c r="G109" s="543">
        <f t="shared" si="24"/>
        <v>96</v>
      </c>
      <c r="H109" s="543">
        <f t="shared" si="24"/>
        <v>95</v>
      </c>
      <c r="I109" s="543">
        <f t="shared" si="24"/>
        <v>94</v>
      </c>
      <c r="J109" s="543">
        <f t="shared" si="24"/>
        <v>93</v>
      </c>
      <c r="K109" s="543">
        <f t="shared" si="24"/>
        <v>92</v>
      </c>
      <c r="L109" s="543">
        <f t="shared" si="24"/>
        <v>91</v>
      </c>
      <c r="M109" s="543">
        <f t="shared" si="24"/>
        <v>90</v>
      </c>
      <c r="N109" s="1153"/>
      <c r="O109" s="1153"/>
      <c r="P109" s="45"/>
      <c r="Q109" s="503"/>
    </row>
    <row r="110" spans="1:17" ht="15.75" hidden="1" thickTop="1">
      <c r="A110" s="533"/>
      <c r="B110" s="545">
        <f>B35</f>
        <v>111</v>
      </c>
      <c r="C110" s="553"/>
      <c r="D110" s="553"/>
      <c r="E110" s="553"/>
      <c r="F110" s="553"/>
      <c r="G110" s="586"/>
      <c r="H110" s="586"/>
      <c r="I110" s="586"/>
      <c r="J110" s="586"/>
      <c r="K110" s="587"/>
      <c r="L110" s="588"/>
      <c r="M110" s="589"/>
      <c r="N110" s="1152"/>
      <c r="O110" s="1152"/>
      <c r="P110" s="45"/>
      <c r="Q110" s="503"/>
    </row>
    <row r="111" spans="1:17" ht="15.75" hidden="1" thickBot="1">
      <c r="A111" s="533"/>
      <c r="B111" s="568"/>
      <c r="C111" s="559"/>
      <c r="D111" s="559"/>
      <c r="E111" s="559"/>
      <c r="F111" s="559"/>
      <c r="G111" s="590"/>
      <c r="H111" s="590"/>
      <c r="I111" s="590"/>
      <c r="J111" s="590"/>
      <c r="K111" s="590"/>
      <c r="L111" s="590"/>
      <c r="M111" s="591"/>
      <c r="N111" s="1153"/>
      <c r="O111" s="1153"/>
      <c r="P111" s="45"/>
      <c r="Q111" s="503"/>
    </row>
    <row r="112" spans="1:17" ht="15" hidden="1" thickTop="1">
      <c r="A112" s="674"/>
      <c r="B112" s="537">
        <f>B36</f>
        <v>111</v>
      </c>
      <c r="C112" s="522"/>
      <c r="D112" s="522"/>
      <c r="E112" s="522"/>
      <c r="F112" s="522"/>
      <c r="G112" s="582"/>
      <c r="H112" s="582"/>
      <c r="I112" s="582"/>
      <c r="J112" s="582"/>
      <c r="K112" s="583"/>
      <c r="L112" s="584"/>
      <c r="M112" s="585"/>
      <c r="N112" s="1152"/>
      <c r="O112" s="1152"/>
      <c r="P112" s="45"/>
      <c r="Q112" s="503"/>
    </row>
    <row r="113" spans="1:17" ht="15.75" hidden="1" thickBot="1">
      <c r="A113" s="533"/>
      <c r="B113" s="542"/>
      <c r="C113" s="569"/>
      <c r="D113" s="569"/>
      <c r="E113" s="569"/>
      <c r="F113" s="569"/>
      <c r="G113" s="535"/>
      <c r="H113" s="535"/>
      <c r="I113" s="535"/>
      <c r="J113" s="535"/>
      <c r="K113" s="535"/>
      <c r="L113" s="535"/>
      <c r="M113" s="536"/>
      <c r="N113" s="1153"/>
      <c r="O113" s="1153"/>
      <c r="P113" s="45"/>
      <c r="Q113" s="503"/>
    </row>
    <row r="114" spans="1:17" s="470" customFormat="1" ht="15" hidden="1" thickTop="1">
      <c r="A114" s="592"/>
      <c r="B114" s="593">
        <f>B37</f>
        <v>111</v>
      </c>
      <c r="C114" s="594"/>
      <c r="D114" s="594"/>
      <c r="E114" s="594"/>
      <c r="F114" s="594"/>
      <c r="G114" s="594"/>
      <c r="H114" s="594"/>
      <c r="I114" s="594"/>
      <c r="J114" s="595"/>
      <c r="K114" s="595"/>
      <c r="L114" s="596"/>
      <c r="M114" s="597"/>
      <c r="N114" s="1154"/>
      <c r="O114" s="1154"/>
      <c r="P114" s="557"/>
      <c r="Q114" s="558"/>
    </row>
    <row r="115" spans="1:17" s="470" customFormat="1" ht="15.75" hidden="1" thickBot="1">
      <c r="A115" s="552"/>
      <c r="B115" s="545"/>
      <c r="C115" s="511"/>
      <c r="D115" s="676"/>
      <c r="E115" s="676"/>
      <c r="F115" s="676"/>
      <c r="G115" s="676"/>
      <c r="H115" s="676"/>
      <c r="I115" s="676"/>
      <c r="J115" s="676"/>
      <c r="K115" s="676"/>
      <c r="L115" s="676"/>
      <c r="M115" s="698"/>
      <c r="N115" s="1153"/>
      <c r="O115" s="1153"/>
      <c r="P115" s="557"/>
      <c r="Q115" s="558"/>
    </row>
    <row r="116" spans="1:17" ht="29.25" thickTop="1">
      <c r="A116" s="526" t="s">
        <v>2564</v>
      </c>
      <c r="B116" s="527" t="s">
        <v>2792</v>
      </c>
      <c r="C116" s="528" t="str">
        <f>C117&amp;"(含)"&amp;"-"&amp;D117</f>
        <v>0(含)-100000</v>
      </c>
      <c r="D116" s="528" t="str">
        <f t="shared" ref="D116:M116" si="25">D117&amp;"(含)"&amp;"-"&amp;E117</f>
        <v>100000(含)-200000</v>
      </c>
      <c r="E116" s="528" t="str">
        <f t="shared" si="25"/>
        <v>200000(含)-300000</v>
      </c>
      <c r="F116" s="528" t="str">
        <f t="shared" si="25"/>
        <v>300000(含)-400000</v>
      </c>
      <c r="G116" s="528" t="str">
        <f t="shared" si="25"/>
        <v>400000(含)-500000</v>
      </c>
      <c r="H116" s="528" t="str">
        <f t="shared" si="25"/>
        <v>500000(含)-</v>
      </c>
      <c r="I116" s="528" t="str">
        <f t="shared" si="25"/>
        <v>(含)-</v>
      </c>
      <c r="J116" s="528" t="str">
        <f t="shared" si="25"/>
        <v>(含)-</v>
      </c>
      <c r="K116" s="528" t="str">
        <f t="shared" si="25"/>
        <v>(含)-</v>
      </c>
      <c r="L116" s="528" t="str">
        <f t="shared" si="25"/>
        <v>(含)-</v>
      </c>
      <c r="M116" s="528" t="str">
        <f t="shared" si="25"/>
        <v>(含)-</v>
      </c>
      <c r="N116" s="1152"/>
      <c r="O116" s="1152"/>
      <c r="P116" s="45"/>
      <c r="Q116" s="503"/>
    </row>
    <row r="117" spans="1:17" ht="15">
      <c r="A117" s="533"/>
      <c r="B117" s="545"/>
      <c r="C117" s="594">
        <v>0</v>
      </c>
      <c r="D117" s="594">
        <v>100000</v>
      </c>
      <c r="E117" s="594">
        <v>200000</v>
      </c>
      <c r="F117" s="594">
        <v>300000</v>
      </c>
      <c r="G117" s="594">
        <v>400000</v>
      </c>
      <c r="H117" s="594">
        <v>500000</v>
      </c>
      <c r="I117" s="594"/>
      <c r="J117" s="595"/>
      <c r="K117" s="595"/>
      <c r="L117" s="596"/>
      <c r="M117" s="597"/>
      <c r="N117" s="1152"/>
      <c r="O117" s="1152"/>
      <c r="P117" s="45"/>
      <c r="Q117" s="503"/>
    </row>
    <row r="118" spans="1:17" ht="15.75" thickBot="1">
      <c r="A118" s="533"/>
      <c r="B118" s="542"/>
      <c r="C118" s="569">
        <v>100</v>
      </c>
      <c r="D118" s="590">
        <v>101</v>
      </c>
      <c r="E118" s="590">
        <v>102</v>
      </c>
      <c r="F118" s="590">
        <v>103</v>
      </c>
      <c r="G118" s="590">
        <v>104</v>
      </c>
      <c r="H118" s="590">
        <v>105</v>
      </c>
      <c r="I118" s="590"/>
      <c r="J118" s="590"/>
      <c r="K118" s="590"/>
      <c r="L118" s="590"/>
      <c r="M118" s="591"/>
      <c r="N118" s="1153"/>
      <c r="O118" s="1153"/>
      <c r="P118" s="45"/>
      <c r="Q118" s="503"/>
    </row>
    <row r="119" spans="1:17" ht="15" thickTop="1">
      <c r="A119" s="598"/>
      <c r="B119" s="537" t="s">
        <v>2793</v>
      </c>
      <c r="C119" s="2937" t="s">
        <v>3119</v>
      </c>
      <c r="D119" s="2937" t="s">
        <v>3121</v>
      </c>
      <c r="E119" s="2937" t="s">
        <v>3122</v>
      </c>
      <c r="F119" s="2937" t="s">
        <v>3123</v>
      </c>
      <c r="G119" s="582"/>
      <c r="H119" s="582"/>
      <c r="I119" s="582"/>
      <c r="J119" s="582"/>
      <c r="K119" s="583"/>
      <c r="L119" s="584"/>
      <c r="M119" s="585"/>
      <c r="N119" s="1152"/>
      <c r="O119" s="1152"/>
      <c r="P119" s="45"/>
      <c r="Q119" s="503"/>
    </row>
    <row r="120" spans="1:17" ht="15.75" thickBot="1">
      <c r="A120" s="533"/>
      <c r="B120" s="542"/>
      <c r="C120" s="543">
        <v>100</v>
      </c>
      <c r="D120" s="543">
        <f t="shared" ref="D120:M120" si="26">C120-$K39</f>
        <v>98</v>
      </c>
      <c r="E120" s="543">
        <f t="shared" si="26"/>
        <v>96</v>
      </c>
      <c r="F120" s="543">
        <f t="shared" si="26"/>
        <v>94</v>
      </c>
      <c r="G120" s="543">
        <f t="shared" si="26"/>
        <v>92</v>
      </c>
      <c r="H120" s="543">
        <f t="shared" si="26"/>
        <v>90</v>
      </c>
      <c r="I120" s="543">
        <f t="shared" si="26"/>
        <v>88</v>
      </c>
      <c r="J120" s="543">
        <f t="shared" si="26"/>
        <v>86</v>
      </c>
      <c r="K120" s="543">
        <f t="shared" si="26"/>
        <v>84</v>
      </c>
      <c r="L120" s="543">
        <f t="shared" si="26"/>
        <v>82</v>
      </c>
      <c r="M120" s="544">
        <f t="shared" si="26"/>
        <v>80</v>
      </c>
      <c r="N120" s="1153"/>
      <c r="O120" s="1153"/>
      <c r="P120" s="45"/>
      <c r="Q120" s="503"/>
    </row>
    <row r="121" spans="1:17" ht="15" thickTop="1">
      <c r="A121" s="598"/>
      <c r="B121" s="537" t="s">
        <v>2794</v>
      </c>
      <c r="C121" s="2938" t="s">
        <v>2598</v>
      </c>
      <c r="D121" s="2938" t="s">
        <v>2599</v>
      </c>
      <c r="E121" s="2938" t="s">
        <v>2600</v>
      </c>
      <c r="F121" s="2938" t="s">
        <v>2601</v>
      </c>
      <c r="G121" s="2938" t="s">
        <v>2602</v>
      </c>
      <c r="H121" s="582"/>
      <c r="I121" s="582"/>
      <c r="J121" s="582"/>
      <c r="K121" s="583"/>
      <c r="L121" s="584"/>
      <c r="M121" s="585"/>
      <c r="N121" s="1152"/>
      <c r="O121" s="1152"/>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3"/>
      <c r="O122" s="1153"/>
      <c r="P122" s="45"/>
      <c r="Q122" s="503"/>
    </row>
    <row r="123" spans="1:17" s="470" customFormat="1" ht="15" thickTop="1">
      <c r="A123" s="592"/>
      <c r="B123" s="537" t="s">
        <v>2795</v>
      </c>
      <c r="C123" s="2936" t="s">
        <v>3124</v>
      </c>
      <c r="D123" s="2936" t="s">
        <v>3125</v>
      </c>
      <c r="E123" s="2936" t="s">
        <v>3126</v>
      </c>
      <c r="F123" s="2936" t="s">
        <v>3127</v>
      </c>
      <c r="G123" s="2936" t="s">
        <v>3128</v>
      </c>
      <c r="H123" s="582"/>
      <c r="I123" s="582"/>
      <c r="J123" s="582"/>
      <c r="K123" s="583"/>
      <c r="L123" s="584"/>
      <c r="M123" s="585"/>
      <c r="N123" s="1154"/>
      <c r="O123" s="1154"/>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4"/>
      <c r="O124" s="1154"/>
      <c r="P124" s="557"/>
      <c r="Q124" s="558"/>
    </row>
    <row r="125" spans="1:17" ht="15" thickTop="1">
      <c r="A125" s="598"/>
      <c r="B125" s="537" t="s">
        <v>2796</v>
      </c>
      <c r="C125" s="2938" t="s">
        <v>2598</v>
      </c>
      <c r="D125" s="2938" t="s">
        <v>2599</v>
      </c>
      <c r="E125" s="2938" t="s">
        <v>2600</v>
      </c>
      <c r="F125" s="2938" t="s">
        <v>2601</v>
      </c>
      <c r="G125" s="2938" t="s">
        <v>2602</v>
      </c>
      <c r="H125" s="582"/>
      <c r="I125" s="582"/>
      <c r="J125" s="582"/>
      <c r="K125" s="583"/>
      <c r="L125" s="584"/>
      <c r="M125" s="585"/>
      <c r="N125" s="1152"/>
      <c r="O125" s="1152"/>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3"/>
      <c r="O126" s="1153"/>
      <c r="P126" s="45"/>
      <c r="Q126" s="503"/>
    </row>
    <row r="127" spans="1:17" ht="15" hidden="1" thickTop="1">
      <c r="A127" s="598"/>
      <c r="B127" s="537">
        <f>B43</f>
        <v>111</v>
      </c>
      <c r="C127" s="553"/>
      <c r="D127" s="553"/>
      <c r="E127" s="553"/>
      <c r="F127" s="553"/>
      <c r="G127" s="553"/>
      <c r="H127" s="582"/>
      <c r="I127" s="582"/>
      <c r="J127" s="582"/>
      <c r="K127" s="583"/>
      <c r="L127" s="584"/>
      <c r="M127" s="585"/>
      <c r="N127" s="1152"/>
      <c r="O127" s="1152"/>
      <c r="P127" s="45"/>
      <c r="Q127" s="503"/>
    </row>
    <row r="128" spans="1:17" ht="15.75" hidden="1" thickBot="1">
      <c r="A128" s="533"/>
      <c r="B128" s="542"/>
      <c r="C128" s="559"/>
      <c r="D128" s="559"/>
      <c r="E128" s="559"/>
      <c r="F128" s="559"/>
      <c r="G128" s="535"/>
      <c r="H128" s="535"/>
      <c r="I128" s="535"/>
      <c r="J128" s="535"/>
      <c r="K128" s="535"/>
      <c r="L128" s="535"/>
      <c r="M128" s="536"/>
      <c r="N128" s="1153"/>
      <c r="O128" s="1153"/>
      <c r="P128" s="45"/>
      <c r="Q128" s="503"/>
    </row>
    <row r="129" spans="1:17" ht="15" hidden="1" thickTop="1">
      <c r="A129" s="598"/>
      <c r="B129" s="537">
        <f>B44</f>
        <v>111</v>
      </c>
      <c r="C129" s="522"/>
      <c r="D129" s="522"/>
      <c r="E129" s="522"/>
      <c r="F129" s="522"/>
      <c r="G129" s="582"/>
      <c r="H129" s="582"/>
      <c r="I129" s="582"/>
      <c r="J129" s="582"/>
      <c r="K129" s="583"/>
      <c r="L129" s="584"/>
      <c r="M129" s="585"/>
      <c r="N129" s="1152"/>
      <c r="O129" s="1152"/>
      <c r="P129" s="45"/>
      <c r="Q129" s="503"/>
    </row>
    <row r="130" spans="1:17" ht="15.75" hidden="1" thickBot="1">
      <c r="A130" s="533"/>
      <c r="B130" s="542"/>
      <c r="C130" s="569"/>
      <c r="D130" s="569"/>
      <c r="E130" s="569"/>
      <c r="F130" s="569"/>
      <c r="G130" s="535"/>
      <c r="H130" s="535"/>
      <c r="I130" s="535"/>
      <c r="J130" s="535"/>
      <c r="K130" s="535"/>
      <c r="L130" s="535"/>
      <c r="M130" s="536"/>
      <c r="N130" s="1153"/>
      <c r="O130" s="1153"/>
      <c r="P130" s="45"/>
      <c r="Q130" s="503"/>
    </row>
    <row r="131" spans="1:17" s="470" customFormat="1" ht="15" hidden="1" thickTop="1">
      <c r="A131" s="592"/>
      <c r="B131" s="537">
        <f>B45</f>
        <v>111</v>
      </c>
      <c r="C131" s="522"/>
      <c r="D131" s="522"/>
      <c r="E131" s="522"/>
      <c r="F131" s="522"/>
      <c r="G131" s="554"/>
      <c r="H131" s="554"/>
      <c r="I131" s="554"/>
      <c r="J131" s="554"/>
      <c r="K131" s="554"/>
      <c r="L131" s="555"/>
      <c r="M131" s="556"/>
      <c r="N131" s="1154"/>
      <c r="O131" s="1154"/>
      <c r="P131" s="557"/>
      <c r="Q131" s="558"/>
    </row>
    <row r="132" spans="1:17" s="470" customFormat="1" ht="15.75" hidden="1" thickBot="1">
      <c r="A132" s="567"/>
      <c r="B132" s="699"/>
      <c r="C132" s="569"/>
      <c r="D132" s="569"/>
      <c r="E132" s="569"/>
      <c r="F132" s="569"/>
      <c r="G132" s="590"/>
      <c r="H132" s="590"/>
      <c r="I132" s="590"/>
      <c r="J132" s="590"/>
      <c r="K132" s="590"/>
      <c r="L132" s="590"/>
      <c r="M132" s="591"/>
      <c r="N132" s="1154"/>
      <c r="O132" s="1154"/>
      <c r="P132" s="557"/>
      <c r="Q132" s="558"/>
    </row>
    <row r="133" spans="1:17" ht="15" thickTop="1"/>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sheetPr codeName="Sheet6">
    <tabColor rgb="FF00B0F0"/>
    <pageSetUpPr fitToPage="1"/>
  </sheetPr>
  <dimension ref="A1:AG34"/>
  <sheetViews>
    <sheetView topLeftCell="A4" workbookViewId="0">
      <selection activeCell="J8" sqref="J8"/>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2463</v>
      </c>
      <c r="B1" s="1582"/>
      <c r="C1" s="1583"/>
      <c r="D1" s="1581"/>
      <c r="E1" s="319"/>
      <c r="F1" s="319"/>
      <c r="G1" s="1582"/>
      <c r="H1" s="319"/>
      <c r="I1" s="319"/>
      <c r="J1" s="319"/>
      <c r="K1" s="319" t="e">
        <f>MATCH(C1,'数据-取费表'!A6:A16,0)+5</f>
        <v>#N/A</v>
      </c>
    </row>
    <row r="2" spans="1:33" ht="18" customHeight="1">
      <c r="A2" s="244" t="s">
        <v>2331</v>
      </c>
      <c r="B2" s="247">
        <f ca="1">C32</f>
        <v>204925</v>
      </c>
      <c r="C2" s="319" t="s">
        <v>2464</v>
      </c>
      <c r="D2" s="319"/>
      <c r="E2" s="319"/>
      <c r="F2" s="319"/>
      <c r="G2" s="319"/>
      <c r="H2" s="319"/>
      <c r="I2" s="319"/>
      <c r="J2" s="319"/>
      <c r="K2" s="319"/>
    </row>
    <row r="3" spans="1:33" ht="18" customHeight="1" thickBot="1">
      <c r="A3" s="246" t="s">
        <v>2333</v>
      </c>
      <c r="B3" s="247">
        <f ca="1">ROUND(B2*10000/IF(C1="",'数据-汇总表'!E3,INDIRECT("'数据-取费表'!K"&amp;$K$1)),0)</f>
        <v>9757</v>
      </c>
      <c r="C3" s="319" t="s">
        <v>2465</v>
      </c>
      <c r="D3" s="319"/>
      <c r="E3" s="319"/>
      <c r="F3" s="319"/>
      <c r="G3" s="319"/>
      <c r="H3" s="319"/>
      <c r="I3" s="319"/>
      <c r="J3" s="319"/>
      <c r="K3" s="319"/>
    </row>
    <row r="4" spans="1:33" s="958" customFormat="1" ht="16.5" customHeight="1">
      <c r="A4" s="955" t="s">
        <v>2466</v>
      </c>
      <c r="B4" s="956"/>
      <c r="C4" s="998">
        <f>SUM(C8:K8)</f>
        <v>337322</v>
      </c>
      <c r="D4" s="956"/>
      <c r="E4" s="956"/>
      <c r="F4" s="956"/>
      <c r="G4" s="956"/>
      <c r="H4" s="956"/>
      <c r="I4" s="956"/>
      <c r="J4" s="956"/>
      <c r="K4" s="957"/>
    </row>
    <row r="5" spans="1:33" s="962" customFormat="1" ht="15">
      <c r="A5" s="959" t="s">
        <v>2467</v>
      </c>
      <c r="B5" s="960" t="s">
        <v>2468</v>
      </c>
      <c r="C5" s="2553" t="s">
        <v>3093</v>
      </c>
      <c r="D5" s="2553" t="s">
        <v>3097</v>
      </c>
      <c r="E5" s="2553" t="s">
        <v>3207</v>
      </c>
      <c r="F5" s="2553" t="s">
        <v>3208</v>
      </c>
      <c r="G5" s="2553" t="s">
        <v>3209</v>
      </c>
      <c r="H5" s="2553" t="s">
        <v>3210</v>
      </c>
      <c r="I5" s="2553" t="s">
        <v>3211</v>
      </c>
      <c r="J5" s="2553" t="s">
        <v>48</v>
      </c>
      <c r="K5" s="2553"/>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38" t="s">
        <v>2469</v>
      </c>
      <c r="C6" s="964">
        <f>'比较法-住宅'!C48</f>
        <v>22892</v>
      </c>
      <c r="D6" s="964">
        <f>C6</f>
        <v>22892</v>
      </c>
      <c r="E6" s="964">
        <f>C6</f>
        <v>22892</v>
      </c>
      <c r="F6" s="964">
        <f>C6</f>
        <v>22892</v>
      </c>
      <c r="G6" s="964">
        <f>C6</f>
        <v>22892</v>
      </c>
      <c r="H6" s="964">
        <f>C6</f>
        <v>22892</v>
      </c>
      <c r="I6" s="964">
        <f>C6</f>
        <v>22892</v>
      </c>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2470</v>
      </c>
      <c r="B7" s="138" t="s">
        <v>2471</v>
      </c>
      <c r="C7" s="320">
        <f>SUMIF('数据-汇总表'!$C19:$C33,假设开发法!C5,'数据-汇总表'!$E19:$E33)</f>
        <v>24825.22</v>
      </c>
      <c r="D7" s="320">
        <f>SUMIF('数据-汇总表'!$C19:$C33,假设开发法!D5,'数据-汇总表'!$E19:$E33)</f>
        <v>20392.240000000002</v>
      </c>
      <c r="E7" s="320">
        <f>SUMIF('数据-汇总表'!$C19:$C33,假设开发法!E5,'数据-汇总表'!$E19:$E33)</f>
        <v>14384</v>
      </c>
      <c r="F7" s="320">
        <f>SUMIF('数据-汇总表'!$C19:$C33,假设开发法!F5,'数据-汇总表'!$E19:$E33)</f>
        <v>14384</v>
      </c>
      <c r="G7" s="320">
        <f>SUMIF('数据-汇总表'!$C19:$C33,假设开发法!G5,'数据-汇总表'!$E19:$E33)</f>
        <v>14575.77</v>
      </c>
      <c r="H7" s="320">
        <f>SUMIF('数据-汇总表'!$C19:$C33,假设开发法!H5,'数据-汇总表'!$E19:$E33)</f>
        <v>23581.37</v>
      </c>
      <c r="I7" s="320">
        <f>SUMIF('数据-汇总表'!$C19:$C33,假设开发法!I5,'数据-汇总表'!$E19:$E33)</f>
        <v>23581.37</v>
      </c>
      <c r="J7" s="320">
        <f>SUMIF('数据-汇总表'!$C19:$C33,假设开发法!J5,'数据-汇总表'!$E19:$E33)</f>
        <v>74071</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4" t="s">
        <v>2472</v>
      </c>
      <c r="B8" s="176" t="s">
        <v>2473</v>
      </c>
      <c r="C8" s="999">
        <f>ROUND(C6*C7/10000,0)</f>
        <v>56830</v>
      </c>
      <c r="D8" s="999">
        <f t="shared" ref="D8:I8" si="0">ROUND(D6*D7/10000,0)</f>
        <v>46682</v>
      </c>
      <c r="E8" s="999">
        <f t="shared" si="0"/>
        <v>32928</v>
      </c>
      <c r="F8" s="999">
        <f t="shared" si="0"/>
        <v>32928</v>
      </c>
      <c r="G8" s="999">
        <f t="shared" si="0"/>
        <v>33367</v>
      </c>
      <c r="H8" s="999">
        <f t="shared" si="0"/>
        <v>53982</v>
      </c>
      <c r="I8" s="999">
        <f t="shared" si="0"/>
        <v>53982</v>
      </c>
      <c r="J8" s="2945">
        <f>ROUND('比较法-车位'!C38*1692/10000,0)</f>
        <v>26623</v>
      </c>
      <c r="K8" s="1000"/>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2474</v>
      </c>
      <c r="B9" s="956"/>
      <c r="C9" s="956"/>
      <c r="D9" s="956"/>
      <c r="E9" s="956"/>
      <c r="F9" s="956"/>
      <c r="G9" s="956"/>
      <c r="H9" s="956"/>
      <c r="I9" s="956"/>
      <c r="J9" s="956"/>
      <c r="K9" s="957"/>
    </row>
    <row r="10" spans="1:33" s="972" customFormat="1" ht="13.5" customHeight="1">
      <c r="A10" s="959" t="s">
        <v>2475</v>
      </c>
      <c r="B10" s="8" t="s">
        <v>2476</v>
      </c>
      <c r="C10" s="968" t="s">
        <v>2477</v>
      </c>
      <c r="D10" s="969" t="s">
        <v>2478</v>
      </c>
      <c r="E10" s="969" t="s">
        <v>2479</v>
      </c>
      <c r="F10" s="969" t="s">
        <v>2480</v>
      </c>
      <c r="G10" s="8"/>
      <c r="H10" s="970"/>
      <c r="I10" s="970"/>
      <c r="J10" s="970"/>
      <c r="K10" s="971"/>
    </row>
    <row r="11" spans="1:33" s="977" customFormat="1" ht="13.5" customHeight="1">
      <c r="A11" s="973" t="s">
        <v>1335</v>
      </c>
      <c r="B11" s="974" t="s">
        <v>2481</v>
      </c>
      <c r="C11" s="322">
        <f ca="1">IF(C1="",'数据-取费表'!P16,INDIRECT("'数据-取费表'!p"&amp;$K$1)+INDIRECT("'数据-取费表'!ar"&amp;$K$1))</f>
        <v>50935</v>
      </c>
      <c r="D11" s="975"/>
      <c r="E11" s="374"/>
      <c r="F11" s="976">
        <f ca="1">1-IF('数据-取费表'!B24=0,1,IF(C1="",'数据-取费表'!N16,INDIRECT("'数据-取费表'!n"&amp;$K$1)))</f>
        <v>0.91700000000000004</v>
      </c>
      <c r="G11" s="8"/>
      <c r="H11" s="970"/>
      <c r="I11" s="970"/>
      <c r="J11" s="970"/>
      <c r="K11" s="971"/>
    </row>
    <row r="12" spans="1:33" s="977" customFormat="1" ht="13.5" customHeight="1">
      <c r="A12" s="973" t="s">
        <v>1336</v>
      </c>
      <c r="B12" s="974" t="s">
        <v>2482</v>
      </c>
      <c r="C12" s="24">
        <f ca="1">ROUND(C11*F12,0)</f>
        <v>2547</v>
      </c>
      <c r="D12" s="975"/>
      <c r="E12" s="374"/>
      <c r="F12" s="978">
        <f>'数据-取费表'!B33</f>
        <v>0.05</v>
      </c>
      <c r="G12" s="8" t="s">
        <v>2483</v>
      </c>
      <c r="H12" s="970"/>
      <c r="I12" s="970"/>
      <c r="J12" s="970"/>
      <c r="K12" s="971"/>
    </row>
    <row r="13" spans="1:33" s="977" customFormat="1" ht="13.5" customHeight="1">
      <c r="A13" s="973" t="s">
        <v>1337</v>
      </c>
      <c r="B13" s="974" t="s">
        <v>2484</v>
      </c>
      <c r="C13" s="24">
        <f ca="1">ROUND(IF(C1="",SUMIF('数据-取费表'!C:C,"住宅",'数据-取费表'!P:P)*F13,IF(INDIRECT("'数据-取费表'!c"&amp;$K$1)="住宅",INDIRECT("'数据-取费表'!P"&amp;$K$1)*F13,0)),0)</f>
        <v>1880</v>
      </c>
      <c r="D13" s="1034"/>
      <c r="E13" s="374"/>
      <c r="F13" s="978">
        <f>'数据-取费表'!B34</f>
        <v>0.05</v>
      </c>
      <c r="G13" s="8" t="s">
        <v>2485</v>
      </c>
      <c r="H13" s="970"/>
      <c r="I13" s="970"/>
      <c r="J13" s="970"/>
      <c r="K13" s="971"/>
    </row>
    <row r="14" spans="1:33" s="979" customFormat="1" ht="13.5" customHeight="1">
      <c r="A14" s="973" t="s">
        <v>1338</v>
      </c>
      <c r="B14" s="974" t="s">
        <v>2486</v>
      </c>
      <c r="C14" s="24">
        <f ca="1">ROUND(D14*E14*F11/10000,0)</f>
        <v>3852</v>
      </c>
      <c r="D14" s="1034">
        <f ca="1">IF(C1="",'数据-汇总表'!E3,INDIRECT("'数据-取费表'!K"&amp;$K$1)+INDIRECT("'数据-取费表'!S"&amp;$K$1))</f>
        <v>210018.96</v>
      </c>
      <c r="E14" s="24">
        <f>'数据-取费表'!B35</f>
        <v>200</v>
      </c>
      <c r="F14" s="978"/>
      <c r="G14" s="8" t="s">
        <v>2487</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1339</v>
      </c>
      <c r="B15" s="974" t="s">
        <v>2488</v>
      </c>
      <c r="C15" s="985">
        <f ca="1">ROUND(C11*F15,0)</f>
        <v>764</v>
      </c>
      <c r="D15" s="980"/>
      <c r="E15" s="985"/>
      <c r="F15" s="986">
        <f>'数据-取费表'!B36</f>
        <v>1.4999999999999999E-2</v>
      </c>
      <c r="G15" s="138" t="s">
        <v>2489</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2490</v>
      </c>
      <c r="C16" s="985">
        <f ca="1">SUM(C11:C15)</f>
        <v>59978</v>
      </c>
      <c r="D16" s="980"/>
      <c r="E16" s="985"/>
      <c r="F16" s="986"/>
      <c r="G16" s="138"/>
      <c r="H16" s="1579"/>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2491</v>
      </c>
      <c r="C17" s="24">
        <f ca="1">ROUND(D17*E17/10000,0)</f>
        <v>0</v>
      </c>
      <c r="D17" s="1034">
        <f ca="1">D14</f>
        <v>210018.96</v>
      </c>
      <c r="E17" s="24">
        <f>'数据-取费表'!B32</f>
        <v>0</v>
      </c>
      <c r="F17" s="980"/>
      <c r="G17" s="138" t="s">
        <v>2492</v>
      </c>
      <c r="H17" s="1579"/>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1340</v>
      </c>
      <c r="B18" s="974" t="s">
        <v>2493</v>
      </c>
      <c r="C18" s="24">
        <f ca="1">C19+C20-IF(C1="",'数据-取费表'!B29,IF(G18="已全部缴纳",C19+C20,H18))</f>
        <v>0</v>
      </c>
      <c r="D18" s="1034"/>
      <c r="E18" s="24"/>
      <c r="F18" s="978"/>
      <c r="G18" s="2555" t="s">
        <v>3213</v>
      </c>
      <c r="H18" s="1578">
        <v>5571</v>
      </c>
      <c r="I18" s="2556" t="s">
        <v>2494</v>
      </c>
      <c r="J18" s="981"/>
      <c r="K18" s="982"/>
    </row>
    <row r="19" spans="1:33" s="977" customFormat="1" ht="13.5" customHeight="1">
      <c r="A19" s="973" t="s">
        <v>805</v>
      </c>
      <c r="B19" s="974" t="s">
        <v>2495</v>
      </c>
      <c r="C19" s="24">
        <f ca="1">ROUND(D19*E19/10000,0)</f>
        <v>0</v>
      </c>
      <c r="D19" s="1034">
        <f ca="1">IF(C1="",'数据-汇总表'!E5,IF(INDIRECT("'数据-取费表'!c"&amp;$K$1)="住宅",INDIRECT("'数据-取费表'!k"&amp;$K$1),0))</f>
        <v>135723.97</v>
      </c>
      <c r="E19" s="24">
        <f>'数据-取费表'!B27</f>
        <v>0</v>
      </c>
      <c r="F19" s="978"/>
      <c r="G19" s="15"/>
      <c r="H19" s="1580"/>
      <c r="I19" s="983"/>
      <c r="J19" s="983"/>
      <c r="K19" s="984"/>
    </row>
    <row r="20" spans="1:33" s="977" customFormat="1" ht="13.5" customHeight="1">
      <c r="A20" s="973" t="s">
        <v>806</v>
      </c>
      <c r="B20" s="974" t="s">
        <v>2496</v>
      </c>
      <c r="C20" s="24">
        <f ca="1">ROUND(D20*E20/10000,0)</f>
        <v>5571</v>
      </c>
      <c r="D20" s="1034">
        <f ca="1">IF(C1="",'数据-汇总表'!E6,IF(INDIRECT("'数据-取费表'!c"&amp;$K$1)="住宅",INDIRECT("'数据-取费表'!s"&amp;$K$1),INDIRECT("'数据-取费表'!k"&amp;$K$1)+INDIRECT("'数据-取费表'!s"&amp;$K$1)))</f>
        <v>74294.989999999991</v>
      </c>
      <c r="E20" s="24">
        <f ca="1">'数据-取费表'!B28</f>
        <v>749.85</v>
      </c>
      <c r="F20" s="978"/>
      <c r="G20" s="15"/>
      <c r="H20" s="983"/>
      <c r="I20" s="983"/>
      <c r="J20" s="983"/>
      <c r="K20" s="984"/>
    </row>
    <row r="21" spans="1:33" s="977" customFormat="1" ht="13.5" customHeight="1">
      <c r="A21" s="963" t="s">
        <v>802</v>
      </c>
      <c r="B21" s="987" t="s">
        <v>2497</v>
      </c>
      <c r="C21" s="988">
        <f ca="1">C16+C17+C18</f>
        <v>59978</v>
      </c>
      <c r="D21" s="989"/>
      <c r="E21" s="324"/>
      <c r="F21" s="324"/>
      <c r="G21" s="138" t="s">
        <v>2498</v>
      </c>
      <c r="H21" s="981"/>
      <c r="I21" s="981"/>
      <c r="J21" s="981"/>
      <c r="K21" s="982"/>
    </row>
    <row r="22" spans="1:33" s="977" customFormat="1" ht="13.5" customHeight="1">
      <c r="A22" s="963" t="s">
        <v>2470</v>
      </c>
      <c r="B22" s="987" t="s">
        <v>2499</v>
      </c>
      <c r="C22" s="988">
        <f ca="1">ROUND(C21*F22,0)</f>
        <v>1200</v>
      </c>
      <c r="D22" s="324"/>
      <c r="E22" s="324"/>
      <c r="F22" s="990">
        <f>'数据-取费表'!B37</f>
        <v>0.02</v>
      </c>
      <c r="G22" s="8" t="s">
        <v>2500</v>
      </c>
      <c r="H22" s="970"/>
      <c r="I22" s="970"/>
      <c r="J22" s="970"/>
      <c r="K22" s="971"/>
    </row>
    <row r="23" spans="1:33" s="977" customFormat="1" ht="13.5" customHeight="1">
      <c r="A23" s="963" t="s">
        <v>2472</v>
      </c>
      <c r="B23" s="987" t="s">
        <v>2501</v>
      </c>
      <c r="C23" s="988">
        <f ca="1">ROUND(C4*F23*F11,0)</f>
        <v>9280</v>
      </c>
      <c r="D23" s="324"/>
      <c r="E23" s="324"/>
      <c r="F23" s="990">
        <f>'数据-取费表'!B38</f>
        <v>0.03</v>
      </c>
      <c r="G23" s="8" t="s">
        <v>2502</v>
      </c>
      <c r="H23" s="970"/>
      <c r="I23" s="970"/>
      <c r="J23" s="970"/>
      <c r="K23" s="971"/>
    </row>
    <row r="24" spans="1:33" s="977" customFormat="1" ht="13.5" customHeight="1">
      <c r="A24" s="963" t="s">
        <v>2503</v>
      </c>
      <c r="B24" s="987" t="s">
        <v>2504</v>
      </c>
      <c r="C24" s="323">
        <f>ROUND(F24/(1+'数据-取费表'!C42),4)</f>
        <v>2.8899999999999999E-2</v>
      </c>
      <c r="D24" s="324" t="s">
        <v>15</v>
      </c>
      <c r="E24" s="324"/>
      <c r="F24" s="990">
        <f>'数据-取费表'!B48+'数据-取费表'!B49</f>
        <v>3.0499999999999999E-2</v>
      </c>
      <c r="G24" s="8" t="s">
        <v>2505</v>
      </c>
      <c r="H24" s="992"/>
      <c r="I24" s="992"/>
      <c r="J24" s="992"/>
      <c r="K24" s="993"/>
    </row>
    <row r="25" spans="1:33" s="977" customFormat="1" ht="13.5" customHeight="1">
      <c r="A25" s="963" t="s">
        <v>2506</v>
      </c>
      <c r="B25" s="989" t="s">
        <v>2507</v>
      </c>
      <c r="C25" s="1356">
        <f ca="1">C27</f>
        <v>2495</v>
      </c>
      <c r="D25" s="323">
        <f ca="1">C26</f>
        <v>7.4200000000000002E-2</v>
      </c>
      <c r="E25" s="325" t="s">
        <v>15</v>
      </c>
      <c r="F25" s="326">
        <f ca="1">'数据-取费表'!B40</f>
        <v>4.7500000000000001E-2</v>
      </c>
      <c r="G25" s="138"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2508</v>
      </c>
      <c r="C26" s="1357">
        <f ca="1">ROUND(IF('数据-取费表'!B22&lt;=1,(1+C24)*F25*'数据-取费表'!B24,(1+C24)*(POWER((1+F25),'数据-取费表'!B24)-1)),4)</f>
        <v>7.4200000000000002E-2</v>
      </c>
      <c r="D26" s="327"/>
      <c r="E26" s="328"/>
      <c r="F26" s="329"/>
      <c r="G26" s="2557"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2509</v>
      </c>
      <c r="C27" s="1358">
        <f ca="1">ROUND(IF('数据-取费表'!B22&lt;=1,(C21+C22+C23)*F25*'数据-取费表'!B24/2,(C21+C22+C23)*(POWER((1+F25),'数据-取费表'!B24/2)-1)),0)</f>
        <v>2495</v>
      </c>
      <c r="D27" s="327"/>
      <c r="E27" s="328"/>
      <c r="F27" s="329"/>
      <c r="G27" s="2557" t="str">
        <f>IF('数据-取费表'!B22&lt;=1,"（1）-（3）项×年利率×建设期÷2","（1）-（3）项×((1+年利率)^(建设期÷2)-1)")</f>
        <v>（1）-（3）项×((1+年利率)^(建设期÷2)-1)</v>
      </c>
      <c r="H27" s="981"/>
      <c r="I27" s="981"/>
      <c r="J27" s="981"/>
      <c r="K27" s="982"/>
    </row>
    <row r="28" spans="1:33" s="332" customFormat="1" ht="13.5" customHeight="1">
      <c r="A28" s="963" t="s">
        <v>2510</v>
      </c>
      <c r="B28" s="2558" t="s">
        <v>2511</v>
      </c>
      <c r="C28" s="330">
        <f ca="1">C30</f>
        <v>5637</v>
      </c>
      <c r="D28" s="323">
        <f ca="1">C29</f>
        <v>6.1699999999999998E-2</v>
      </c>
      <c r="E28" s="325" t="s">
        <v>15</v>
      </c>
      <c r="F28" s="331">
        <f ca="1">IF(C1="",'数据-取费表'!Q16,INDIRECT("'数据-取费表'!q"&amp;$K$1))</f>
        <v>0.08</v>
      </c>
      <c r="G28" s="991"/>
      <c r="H28" s="992"/>
      <c r="I28" s="992"/>
      <c r="J28" s="992"/>
      <c r="K28" s="993"/>
    </row>
    <row r="29" spans="1:33" s="334" customFormat="1" ht="13.5" customHeight="1">
      <c r="A29" s="973" t="s">
        <v>803</v>
      </c>
      <c r="B29" s="996" t="s">
        <v>2512</v>
      </c>
      <c r="C29" s="327">
        <f ca="1">ROUND((1+C24)*F28*'数据-取费表'!B24/'数据-取费表'!B20,4)</f>
        <v>6.1699999999999998E-2</v>
      </c>
      <c r="D29" s="327"/>
      <c r="E29" s="328"/>
      <c r="F29" s="333"/>
      <c r="G29" s="138" t="s">
        <v>2513</v>
      </c>
      <c r="H29" s="981"/>
      <c r="I29" s="981"/>
      <c r="J29" s="981"/>
      <c r="K29" s="982"/>
    </row>
    <row r="30" spans="1:33" s="334" customFormat="1" ht="13.5" customHeight="1">
      <c r="A30" s="973" t="s">
        <v>804</v>
      </c>
      <c r="B30" s="996" t="s">
        <v>2514</v>
      </c>
      <c r="C30" s="335">
        <f ca="1">ROUND((C21+C22+C23)*F28,0)</f>
        <v>5637</v>
      </c>
      <c r="D30" s="327"/>
      <c r="E30" s="328"/>
      <c r="F30" s="333"/>
      <c r="G30" s="138"/>
      <c r="H30" s="981"/>
      <c r="I30" s="981"/>
      <c r="J30" s="981"/>
      <c r="K30" s="982"/>
    </row>
    <row r="31" spans="1:33" s="977" customFormat="1" ht="13.5" customHeight="1" thickBot="1">
      <c r="A31" s="2559" t="s">
        <v>2515</v>
      </c>
      <c r="B31" s="1006" t="s">
        <v>2516</v>
      </c>
      <c r="C31" s="1007">
        <f>ROUND(C4*F31/(1+'数据-取费表'!C42),0)</f>
        <v>20035</v>
      </c>
      <c r="D31" s="1008"/>
      <c r="E31" s="1009"/>
      <c r="F31" s="1010">
        <f>'数据-取费表'!B41</f>
        <v>6.2719999999999998E-2</v>
      </c>
      <c r="G31" s="1011" t="s">
        <v>2517</v>
      </c>
      <c r="H31" s="1012"/>
      <c r="I31" s="1012"/>
      <c r="J31" s="1012"/>
      <c r="K31" s="1013"/>
    </row>
    <row r="32" spans="1:33" s="972" customFormat="1" ht="13.5" customHeight="1" thickBot="1">
      <c r="A32" s="1001" t="s">
        <v>2518</v>
      </c>
      <c r="B32" s="1002"/>
      <c r="C32" s="1003">
        <f ca="1">ROUND((C4-C21-C22-C23-C25-C28-C31)/(1+C24+D25+D28),0)</f>
        <v>204925</v>
      </c>
      <c r="D32" s="1002"/>
      <c r="E32" s="1002"/>
      <c r="F32" s="1002"/>
      <c r="G32" s="1004" t="s">
        <v>2519</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7">
    <tabColor rgb="FF92D050"/>
  </sheetPr>
  <dimension ref="A1:AK83"/>
  <sheetViews>
    <sheetView topLeftCell="E1" zoomScale="90" zoomScaleNormal="90" zoomScaleSheetLayoutView="90" workbookViewId="0">
      <selection activeCell="L52" sqref="L52"/>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1591</v>
      </c>
      <c r="B1" s="781"/>
      <c r="C1" s="1838"/>
      <c r="D1" s="1821"/>
      <c r="E1" s="1822" t="s">
        <v>1388</v>
      </c>
      <c r="F1" s="1283" t="b">
        <f>J53</f>
        <v>0</v>
      </c>
      <c r="G1" s="1837"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1517</v>
      </c>
      <c r="B2" s="1845" t="e">
        <f ca="1">C40+J29+L46</f>
        <v>#N/A</v>
      </c>
      <c r="C2" s="1846" t="s">
        <v>1518</v>
      </c>
      <c r="D2" s="1846"/>
      <c r="E2" s="1847"/>
      <c r="F2" s="1848"/>
      <c r="G2" s="1849"/>
      <c r="H2" s="1841"/>
      <c r="I2" s="1841"/>
      <c r="J2" s="1841"/>
      <c r="K2" s="1842"/>
      <c r="L2" s="1841"/>
      <c r="M2" s="1841"/>
    </row>
    <row r="3" spans="1:37" ht="18" customHeight="1" thickBot="1">
      <c r="A3" s="1850" t="s">
        <v>1519</v>
      </c>
      <c r="B3" s="1851">
        <f ca="1">IF(ISERROR(B2*10000/F43),0,ROUND(B2*10000/F43,0))</f>
        <v>0</v>
      </c>
      <c r="C3" s="1846" t="s">
        <v>1520</v>
      </c>
      <c r="D3" s="1846"/>
      <c r="E3" s="1847"/>
      <c r="F3" s="1848"/>
      <c r="G3" s="1849"/>
      <c r="H3" s="743" t="s">
        <v>1590</v>
      </c>
      <c r="I3" s="1841"/>
      <c r="J3" s="1841"/>
      <c r="K3" s="1842"/>
      <c r="L3" s="1841"/>
      <c r="M3" s="1841"/>
    </row>
    <row r="4" spans="1:37" ht="18" customHeight="1">
      <c r="A4" s="339" t="s">
        <v>1397</v>
      </c>
      <c r="B4" s="340" t="s">
        <v>1398</v>
      </c>
      <c r="C4" s="340" t="s">
        <v>1399</v>
      </c>
      <c r="D4" s="340" t="s">
        <v>1400</v>
      </c>
      <c r="E4" s="341" t="s">
        <v>1401</v>
      </c>
      <c r="F4" s="342"/>
      <c r="G4" s="1852"/>
      <c r="H4" s="339" t="s">
        <v>1397</v>
      </c>
      <c r="I4" s="340" t="s">
        <v>1398</v>
      </c>
      <c r="J4" s="340" t="s">
        <v>1399</v>
      </c>
      <c r="K4" s="340" t="s">
        <v>1400</v>
      </c>
      <c r="L4" s="341" t="s">
        <v>1401</v>
      </c>
      <c r="M4" s="342"/>
    </row>
    <row r="5" spans="1:37" ht="18" customHeight="1">
      <c r="A5" s="343">
        <v>1</v>
      </c>
      <c r="B5" s="344" t="s">
        <v>1402</v>
      </c>
      <c r="C5" s="1292" t="e">
        <f ca="1">C6+C10+C12</f>
        <v>#N/A</v>
      </c>
      <c r="D5" s="1823" t="s">
        <v>1403</v>
      </c>
      <c r="E5" s="1293"/>
      <c r="F5" s="1294"/>
      <c r="G5" s="1852"/>
      <c r="H5" s="343">
        <v>1</v>
      </c>
      <c r="I5" s="344" t="s">
        <v>1402</v>
      </c>
      <c r="J5" s="1292" t="e">
        <f ca="1">J6+J10+J12</f>
        <v>#N/A</v>
      </c>
      <c r="K5" s="1823" t="s">
        <v>1403</v>
      </c>
      <c r="L5" s="1293"/>
      <c r="M5" s="1294"/>
    </row>
    <row r="6" spans="1:37" ht="18" customHeight="1">
      <c r="A6" s="1291" t="s">
        <v>1035</v>
      </c>
      <c r="B6" s="3180" t="s">
        <v>1404</v>
      </c>
      <c r="C6" s="1296" t="e">
        <f ca="1">ROUND(F6*F8*F7*(1-F9)/10000,0)</f>
        <v>#N/A</v>
      </c>
      <c r="D6" s="163" t="s">
        <v>3037</v>
      </c>
      <c r="E6" s="346" t="s">
        <v>1406</v>
      </c>
      <c r="F6" s="347" t="e">
        <f ca="1">INDIRECT("'数据-取费表'!u"&amp;$G$1)</f>
        <v>#N/A</v>
      </c>
      <c r="G6" s="1852"/>
      <c r="H6" s="1291" t="s">
        <v>1035</v>
      </c>
      <c r="I6" s="3180" t="s">
        <v>1404</v>
      </c>
      <c r="J6" s="345" t="e">
        <f ca="1">ROUND(M6*M8*M7*(1-M9)/10000,0)</f>
        <v>#N/A</v>
      </c>
      <c r="K6" s="163" t="s">
        <v>3036</v>
      </c>
      <c r="L6" s="346" t="s">
        <v>1406</v>
      </c>
      <c r="M6" s="347" t="e">
        <f ca="1">INDIRECT("'数据-取费表'!z"&amp;$G$1)</f>
        <v>#N/A</v>
      </c>
    </row>
    <row r="7" spans="1:37" ht="18" customHeight="1">
      <c r="A7" s="1295"/>
      <c r="B7" s="3181"/>
      <c r="C7" s="1297"/>
      <c r="D7" s="351"/>
      <c r="E7" s="1298" t="s">
        <v>1407</v>
      </c>
      <c r="F7" s="347" t="e">
        <f ca="1">IF(INDIRECT("'数据-取费表'!ah"&amp;$G$1)="",INDIRECT("'数据-取费表'!k"&amp;$G$1),INDIRECT("'数据-取费表'!ah"&amp;$G$1))</f>
        <v>#N/A</v>
      </c>
      <c r="G7" s="1852"/>
      <c r="H7" s="348"/>
      <c r="I7" s="3181"/>
      <c r="J7" s="350"/>
      <c r="K7" s="351"/>
      <c r="L7" s="346" t="s">
        <v>1407</v>
      </c>
      <c r="M7" s="347" t="e">
        <f ca="1">F7</f>
        <v>#N/A</v>
      </c>
    </row>
    <row r="8" spans="1:37" ht="18" customHeight="1">
      <c r="A8" s="348"/>
      <c r="B8" s="3181"/>
      <c r="C8" s="350"/>
      <c r="D8" s="351"/>
      <c r="E8" s="346" t="s">
        <v>1408</v>
      </c>
      <c r="F8" s="347" t="e">
        <f ca="1">INDIRECT("'数据-取费表'!ai"&amp;$G$1)</f>
        <v>#N/A</v>
      </c>
      <c r="G8" s="1852"/>
      <c r="H8" s="348"/>
      <c r="I8" s="3181"/>
      <c r="J8" s="350"/>
      <c r="K8" s="351"/>
      <c r="L8" s="346" t="s">
        <v>1408</v>
      </c>
      <c r="M8" s="347" t="e">
        <f ca="1">INDIRECT("'数据-取费表'!ai"&amp;$G$1)</f>
        <v>#N/A</v>
      </c>
    </row>
    <row r="9" spans="1:37" ht="18" customHeight="1">
      <c r="A9" s="348"/>
      <c r="B9" s="3182"/>
      <c r="C9" s="350"/>
      <c r="D9" s="351"/>
      <c r="E9" s="346" t="s">
        <v>1409</v>
      </c>
      <c r="F9" s="356" t="e">
        <f ca="1">INDIRECT("'数据-取费表'!w"&amp;$G$1)</f>
        <v>#N/A</v>
      </c>
      <c r="G9" s="1852"/>
      <c r="H9" s="348"/>
      <c r="I9" s="3182"/>
      <c r="J9" s="350"/>
      <c r="K9" s="351"/>
      <c r="L9" s="357" t="s">
        <v>1409</v>
      </c>
      <c r="M9" s="358" t="e">
        <f ca="1">INDIRECT("'数据-取费表'!ab"&amp;$G$1)</f>
        <v>#N/A</v>
      </c>
    </row>
    <row r="10" spans="1:37" ht="18" customHeight="1">
      <c r="A10" s="1291" t="s">
        <v>1039</v>
      </c>
      <c r="B10" s="1824" t="s">
        <v>1410</v>
      </c>
      <c r="C10" s="360">
        <f ca="1">ROUND(IF(F10="押一",F6*F8*F7/12*F11,IF(F10="押二",F6*F8*F7/12*2*F11,IF(F10="押三",F6*F8*F7/12*3*F11,C11*F11)))/10000,0)</f>
        <v>0</v>
      </c>
      <c r="D10" s="1825" t="s">
        <v>3038</v>
      </c>
      <c r="E10" s="357" t="s">
        <v>1412</v>
      </c>
      <c r="F10" s="1366"/>
      <c r="G10" s="1852"/>
      <c r="H10" s="1291" t="s">
        <v>1039</v>
      </c>
      <c r="I10" s="1824" t="s">
        <v>1410</v>
      </c>
      <c r="J10" s="345" t="e">
        <f ca="1">ROUND(IF(M10="押一",M6*M8*M7/12*M11,IF(M10="押二",M6*M8*M7/12*2*M11,IF(M10="押三",M6*M8*M7/12*3*M11,J11*M11)))/10000,0)</f>
        <v>#N/A</v>
      </c>
      <c r="K10" s="1825" t="s">
        <v>3039</v>
      </c>
      <c r="L10" s="357" t="s">
        <v>1412</v>
      </c>
      <c r="M10" s="1366" t="s">
        <v>1413</v>
      </c>
    </row>
    <row r="11" spans="1:37" ht="18" customHeight="1">
      <c r="A11" s="352"/>
      <c r="B11" s="1826" t="s">
        <v>1389</v>
      </c>
      <c r="C11" s="1178"/>
      <c r="D11" s="1827"/>
      <c r="E11" s="357" t="s">
        <v>1414</v>
      </c>
      <c r="F11" s="358">
        <f ca="1">'数据-取费表'!B39</f>
        <v>1.4999999999999999E-2</v>
      </c>
      <c r="G11" s="1852"/>
      <c r="H11" s="1299"/>
      <c r="I11" s="1826" t="s">
        <v>1389</v>
      </c>
      <c r="J11" s="1178"/>
      <c r="K11" s="747"/>
      <c r="L11" s="357" t="s">
        <v>1414</v>
      </c>
      <c r="M11" s="1057">
        <f ca="1">'数据-取费表'!B39</f>
        <v>1.4999999999999999E-2</v>
      </c>
    </row>
    <row r="12" spans="1:37" ht="18" customHeight="1" thickBot="1">
      <c r="A12" s="1333" t="s">
        <v>1075</v>
      </c>
      <c r="B12" s="1828" t="s">
        <v>1415</v>
      </c>
      <c r="C12" s="1334"/>
      <c r="D12" s="1335"/>
      <c r="E12" s="1340"/>
      <c r="F12" s="1336"/>
      <c r="G12" s="1852"/>
      <c r="H12" s="1333" t="s">
        <v>1075</v>
      </c>
      <c r="I12" s="1828" t="s">
        <v>1415</v>
      </c>
      <c r="J12" s="1334"/>
      <c r="K12" s="1348"/>
      <c r="L12" s="1340"/>
      <c r="M12" s="1349"/>
    </row>
    <row r="13" spans="1:37" ht="18" customHeight="1" thickTop="1">
      <c r="A13" s="1329">
        <v>2</v>
      </c>
      <c r="B13" s="1330" t="s">
        <v>1416</v>
      </c>
      <c r="C13" s="354" t="e">
        <f ca="1">ROUND(C29*F13,0)</f>
        <v>#N/A</v>
      </c>
      <c r="D13" s="1331" t="s">
        <v>1417</v>
      </c>
      <c r="E13" s="1331" t="s">
        <v>1418</v>
      </c>
      <c r="F13" s="1332" t="e">
        <f ca="1">INDIRECT("'数据-取费表'!y"&amp;$G$1)</f>
        <v>#N/A</v>
      </c>
      <c r="G13" s="1852"/>
      <c r="H13" s="1329">
        <v>2</v>
      </c>
      <c r="I13" s="1330" t="s">
        <v>1416</v>
      </c>
      <c r="J13" s="1290" t="e">
        <f ca="1">ROUND(J14*J15,0)</f>
        <v>#N/A</v>
      </c>
      <c r="K13" s="1337" t="s">
        <v>1417</v>
      </c>
      <c r="L13" s="1853"/>
      <c r="M13" s="1854"/>
    </row>
    <row r="14" spans="1:37" ht="18" customHeight="1">
      <c r="A14" s="1201" t="s">
        <v>1034</v>
      </c>
      <c r="B14" s="346" t="s">
        <v>1419</v>
      </c>
      <c r="C14" s="362" t="e">
        <f ca="1">INDIRECT("'数据-取费表'!m"&amp;$G$1)+INDIRECT("'数据-取费表'!t"&amp;$G$1)</f>
        <v>#N/A</v>
      </c>
      <c r="D14" s="1801" t="s">
        <v>1420</v>
      </c>
      <c r="E14" s="1795"/>
      <c r="F14" s="363"/>
      <c r="G14" s="1852"/>
      <c r="H14" s="1201" t="s">
        <v>1035</v>
      </c>
      <c r="I14" s="346" t="s">
        <v>1421</v>
      </c>
      <c r="J14" s="24" t="e">
        <f ca="1">C29</f>
        <v>#N/A</v>
      </c>
      <c r="K14" s="15"/>
      <c r="L14" s="981"/>
      <c r="M14" s="982"/>
    </row>
    <row r="15" spans="1:37" s="1859" customFormat="1" ht="18" customHeight="1" thickBot="1">
      <c r="A15" s="1201" t="s">
        <v>1036</v>
      </c>
      <c r="B15" s="346" t="s">
        <v>1422</v>
      </c>
      <c r="C15" s="24" t="e">
        <f ca="1">ROUND(C14*F15,0)</f>
        <v>#N/A</v>
      </c>
      <c r="D15" s="364" t="s">
        <v>1423</v>
      </c>
      <c r="E15" s="364" t="s">
        <v>1424</v>
      </c>
      <c r="F15" s="365">
        <f>'数据-取费表'!B33</f>
        <v>0.05</v>
      </c>
      <c r="G15" s="1855"/>
      <c r="H15" s="1339" t="s">
        <v>1039</v>
      </c>
      <c r="I15" s="1340" t="s">
        <v>1418</v>
      </c>
      <c r="J15" s="1349" t="e">
        <f ca="1">INDIRECT("'数据-取费表'!ad"&amp;$G$1)</f>
        <v>#N/A</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6" t="s">
        <v>1425</v>
      </c>
      <c r="C16" s="24" t="e">
        <f ca="1">ROUND(INDIRECT("'数据-取费表'!m"&amp;$G$1)*F16,0)</f>
        <v>#N/A</v>
      </c>
      <c r="D16" s="346" t="s">
        <v>1423</v>
      </c>
      <c r="E16" s="346" t="s">
        <v>1424</v>
      </c>
      <c r="F16" s="366" t="e">
        <f ca="1">IF(INDIRECT("'数据-取费表'!c"&amp;$G$1)="住宅",'数据-取费表'!B34,0)</f>
        <v>#N/A</v>
      </c>
      <c r="G16" s="1852"/>
      <c r="H16" s="1329" t="s">
        <v>1030</v>
      </c>
      <c r="I16" s="1330" t="s">
        <v>1426</v>
      </c>
      <c r="J16" s="354" t="e">
        <f ca="1">ROUND(J17+J22+J23+J24,0)</f>
        <v>#N/A</v>
      </c>
      <c r="K16" s="1337" t="s">
        <v>1427</v>
      </c>
      <c r="L16" s="1338"/>
      <c r="M16" s="1294"/>
    </row>
    <row r="17" spans="1:37" s="1859" customFormat="1" ht="18" customHeight="1">
      <c r="A17" s="1201" t="s">
        <v>1391</v>
      </c>
      <c r="B17" s="346" t="s">
        <v>1428</v>
      </c>
      <c r="C17" s="24" t="e">
        <f ca="1">ROUND(F17*(F43+INDIRECT("'数据-取费表'!S"&amp;$G$1))/10000,0)</f>
        <v>#N/A</v>
      </c>
      <c r="D17" s="346" t="s">
        <v>1429</v>
      </c>
      <c r="E17" s="346" t="s">
        <v>1430</v>
      </c>
      <c r="F17" s="26">
        <f>'数据-取费表'!B35</f>
        <v>200</v>
      </c>
      <c r="G17" s="1855"/>
      <c r="H17" s="1201" t="s">
        <v>1035</v>
      </c>
      <c r="I17" s="346" t="s">
        <v>1431</v>
      </c>
      <c r="J17" s="24" t="e">
        <f ca="1">ROUND(IF(项目基本情况!B11="自然人",J5*M17,J18+J19+J20),1)</f>
        <v>#N/A</v>
      </c>
      <c r="K17" s="1801" t="s">
        <v>1432</v>
      </c>
      <c r="L17" s="1799" t="s">
        <v>1433</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6" t="s">
        <v>1434</v>
      </c>
      <c r="C18" s="24" t="e">
        <f ca="1">ROUND(C14*F18,0)</f>
        <v>#N/A</v>
      </c>
      <c r="D18" s="346" t="s">
        <v>1423</v>
      </c>
      <c r="E18" s="346" t="s">
        <v>1424</v>
      </c>
      <c r="F18" s="366">
        <f>'数据-取费表'!B36</f>
        <v>1.4999999999999999E-2</v>
      </c>
      <c r="G18" s="1855"/>
      <c r="H18" s="1201" t="s">
        <v>1034</v>
      </c>
      <c r="I18" s="346" t="s">
        <v>1435</v>
      </c>
      <c r="J18" s="24" t="e">
        <f ca="1">ROUND(J5*M18/(1+'数据-取费表'!C42),2)</f>
        <v>#N/A</v>
      </c>
      <c r="K18" s="1799" t="s">
        <v>1436</v>
      </c>
      <c r="L18" s="346" t="s">
        <v>1424</v>
      </c>
      <c r="M18" s="366">
        <f>'数据-取费表'!B41</f>
        <v>6.2719999999999998E-2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6" t="s">
        <v>1437</v>
      </c>
      <c r="C19" s="24" t="e">
        <f ca="1">SUM(C14:C18)</f>
        <v>#N/A</v>
      </c>
      <c r="D19" s="138" t="s">
        <v>1438</v>
      </c>
      <c r="E19" s="1819"/>
      <c r="F19" s="26"/>
      <c r="G19" s="1852"/>
      <c r="H19" s="1201" t="s">
        <v>1036</v>
      </c>
      <c r="I19" s="346" t="s">
        <v>1439</v>
      </c>
      <c r="J19" s="24" t="e">
        <f ca="1">IF(K19="按租金收入计税",ROUND(J5*M19,2),ROUND(C29*M19*0.7,2))</f>
        <v>#N/A</v>
      </c>
      <c r="K19" s="1829" t="s">
        <v>1440</v>
      </c>
      <c r="L19" s="346" t="s">
        <v>1424</v>
      </c>
      <c r="M19" s="366">
        <f>IF(K19="按租金收入计税",'数据-取费表'!B51,'数据-取费表'!B50)</f>
        <v>1.2E-2</v>
      </c>
    </row>
    <row r="20" spans="1:37" s="1859" customFormat="1" ht="18" customHeight="1">
      <c r="A20" s="1201" t="s">
        <v>1039</v>
      </c>
      <c r="B20" s="346" t="s">
        <v>1441</v>
      </c>
      <c r="C20" s="24" t="e">
        <f ca="1">ROUND(C19*F20,0)</f>
        <v>#N/A</v>
      </c>
      <c r="D20" s="368" t="s">
        <v>1442</v>
      </c>
      <c r="E20" s="346" t="s">
        <v>1424</v>
      </c>
      <c r="F20" s="366">
        <f>'数据-取费表'!B37</f>
        <v>0.02</v>
      </c>
      <c r="G20" s="1855"/>
      <c r="H20" s="1201" t="s">
        <v>1390</v>
      </c>
      <c r="I20" s="163" t="s">
        <v>1443</v>
      </c>
      <c r="J20" s="25" t="e">
        <f ca="1">ROUND(M20*M21/10000,2)</f>
        <v>#N/A</v>
      </c>
      <c r="K20" s="369" t="s">
        <v>1444</v>
      </c>
      <c r="L20" s="346" t="s">
        <v>1445</v>
      </c>
      <c r="M20" s="370">
        <f>'数据-取费表'!B52</f>
        <v>20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6" t="s">
        <v>1446</v>
      </c>
      <c r="C21" s="24" t="s">
        <v>18</v>
      </c>
      <c r="D21" s="368" t="s">
        <v>1447</v>
      </c>
      <c r="E21" s="346" t="s">
        <v>1448</v>
      </c>
      <c r="F21" s="366">
        <f>'数据-取费表'!B38</f>
        <v>0.03</v>
      </c>
      <c r="G21" s="1855"/>
      <c r="H21" s="371"/>
      <c r="I21" s="355"/>
      <c r="J21" s="29"/>
      <c r="K21" s="372"/>
      <c r="L21" s="346" t="s">
        <v>1449</v>
      </c>
      <c r="M21" s="347" t="e">
        <f ca="1">INDIRECT("'数据-取费表'!r"&amp;$G$1)</f>
        <v>#N/A</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1819"/>
      <c r="F22" s="26"/>
      <c r="G22" s="1852"/>
      <c r="H22" s="1201" t="s">
        <v>1039</v>
      </c>
      <c r="I22" s="346" t="s">
        <v>1451</v>
      </c>
      <c r="J22" s="24" t="e">
        <f ca="1">ROUND(J14*M22,1)</f>
        <v>#N/A</v>
      </c>
      <c r="K22" s="1799" t="s">
        <v>1452</v>
      </c>
      <c r="L22" s="346" t="s">
        <v>1424</v>
      </c>
      <c r="M22" s="373" t="e">
        <f ca="1">INDIRECT("'数据-取费表'!Ak"&amp;$G$1)</f>
        <v>#N/A</v>
      </c>
    </row>
    <row r="23" spans="1:37" s="1859" customFormat="1" ht="18" customHeight="1">
      <c r="A23" s="1201" t="s">
        <v>1034</v>
      </c>
      <c r="B23" s="346" t="s">
        <v>1453</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1454</v>
      </c>
      <c r="F23" s="370">
        <f>'数据-取费表'!B20</f>
        <v>2</v>
      </c>
      <c r="G23" s="1855"/>
      <c r="H23" s="1201" t="s">
        <v>1075</v>
      </c>
      <c r="I23" s="346" t="s">
        <v>1455</v>
      </c>
      <c r="J23" s="24" t="e">
        <f ca="1">ROUND(J13*M23,1)</f>
        <v>#N/A</v>
      </c>
      <c r="K23" s="1799" t="s">
        <v>1456</v>
      </c>
      <c r="L23" s="346" t="s">
        <v>1457</v>
      </c>
      <c r="M23" s="375" t="e">
        <f ca="1">INDIRECT("'数据-取费表'!Al"&amp;$G$1)</f>
        <v>#N/A</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1458</v>
      </c>
      <c r="B24" s="346" t="s">
        <v>1459</v>
      </c>
      <c r="C24" s="24">
        <f ca="1">ROUND(IF('数据-取费表'!B22&lt;=1,F21*F24*F23/2,F21*(POWER((1+F24),F23/2)-1)),4)</f>
        <v>1.4E-3</v>
      </c>
      <c r="D24" s="374" t="str">
        <f>IF(F23&lt;=1,"销售费用×利率×(建设周期÷2)","销售费用×((1+利率)^(建设周期÷2)-1)")</f>
        <v>销售费用×((1+利率)^(建设周期÷2)-1)</v>
      </c>
      <c r="E24" s="346" t="s">
        <v>1460</v>
      </c>
      <c r="F24" s="376">
        <f ca="1">'数据-取费表'!B40</f>
        <v>4.7500000000000001E-2</v>
      </c>
      <c r="G24" s="1855"/>
      <c r="H24" s="1339" t="s">
        <v>1394</v>
      </c>
      <c r="I24" s="1340" t="s">
        <v>1441</v>
      </c>
      <c r="J24" s="1341" t="e">
        <f ca="1">ROUND(J5*M24,1)</f>
        <v>#N/A</v>
      </c>
      <c r="K24" s="1342" t="s">
        <v>1461</v>
      </c>
      <c r="L24" s="1340" t="s">
        <v>1457</v>
      </c>
      <c r="M24" s="1336" t="e">
        <f ca="1">INDIRECT("'数据-取费表'!Am"&amp;$G$1)</f>
        <v>#N/A</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1" t="s">
        <v>1462</v>
      </c>
      <c r="B25" s="346" t="s">
        <v>1463</v>
      </c>
      <c r="C25" s="24"/>
      <c r="D25" s="138" t="s">
        <v>1464</v>
      </c>
      <c r="E25" s="1819"/>
      <c r="F25" s="26"/>
      <c r="G25" s="1852"/>
      <c r="H25" s="1329" t="s">
        <v>1031</v>
      </c>
      <c r="I25" s="1344" t="s">
        <v>1465</v>
      </c>
      <c r="J25" s="354" t="e">
        <f ca="1">J5-J16</f>
        <v>#N/A</v>
      </c>
      <c r="K25" s="1345" t="s">
        <v>1466</v>
      </c>
      <c r="L25" s="1346"/>
      <c r="M25" s="1347"/>
    </row>
    <row r="26" spans="1:37">
      <c r="A26" s="1201" t="s">
        <v>1034</v>
      </c>
      <c r="B26" s="346" t="s">
        <v>1467</v>
      </c>
      <c r="C26" s="24" t="e">
        <f ca="1">ROUND((C19+C20)*F26,0)</f>
        <v>#N/A</v>
      </c>
      <c r="D26" s="368" t="s">
        <v>1468</v>
      </c>
      <c r="E26" s="357" t="s">
        <v>1469</v>
      </c>
      <c r="F26" s="356" t="e">
        <f ca="1">INDIRECT("'数据-取费表'!q"&amp;$G$1)</f>
        <v>#N/A</v>
      </c>
      <c r="G26" s="1852"/>
      <c r="H26" s="343" t="s">
        <v>1032</v>
      </c>
      <c r="I26" s="344" t="s">
        <v>1470</v>
      </c>
      <c r="J26" s="345" t="e">
        <f ca="1">IF(J5&lt;&gt;0,ROUND(J25*(1-((1+M28)/(1+M26))^M27)/(M26-M28),0),0)</f>
        <v>#N/A</v>
      </c>
      <c r="K26" s="369" t="s">
        <v>1471</v>
      </c>
      <c r="L26" s="346" t="s">
        <v>1472</v>
      </c>
      <c r="M26" s="356" t="e">
        <f ca="1">INDIRECT("'数据-取费表'!I"&amp;$G$1)</f>
        <v>#N/A</v>
      </c>
    </row>
    <row r="27" spans="1:37" ht="18" customHeight="1">
      <c r="A27" s="1201" t="s">
        <v>1036</v>
      </c>
      <c r="B27" s="346" t="s">
        <v>1473</v>
      </c>
      <c r="C27" s="24" t="e">
        <f ca="1">ROUND(F21*F26,4)</f>
        <v>#N/A</v>
      </c>
      <c r="D27" s="368" t="s">
        <v>1474</v>
      </c>
      <c r="E27" s="364"/>
      <c r="F27" s="365"/>
      <c r="G27" s="1852"/>
      <c r="H27" s="348"/>
      <c r="I27" s="349"/>
      <c r="J27" s="350"/>
      <c r="K27" s="377" t="s">
        <v>1475</v>
      </c>
      <c r="L27" s="346" t="s">
        <v>1476</v>
      </c>
      <c r="M27" s="378" t="e">
        <f ca="1">INDIRECT("'数据-取费表'!ag"&amp;$G$1)</f>
        <v>#N/A</v>
      </c>
    </row>
    <row r="28" spans="1:37" s="1859" customFormat="1" ht="18" customHeight="1">
      <c r="A28" s="1201" t="s">
        <v>1037</v>
      </c>
      <c r="B28" s="346" t="s">
        <v>1477</v>
      </c>
      <c r="C28" s="24">
        <f>ROUND(F28/(1+'数据-取费表'!C42),4)</f>
        <v>5.9400000000000001E-2</v>
      </c>
      <c r="D28" s="368" t="s">
        <v>1478</v>
      </c>
      <c r="E28" s="346" t="s">
        <v>1424</v>
      </c>
      <c r="F28" s="366">
        <f>'数据-取费表'!B41</f>
        <v>6.2719999999999998E-2</v>
      </c>
      <c r="G28" s="1855"/>
      <c r="H28" s="352"/>
      <c r="I28" s="353"/>
      <c r="J28" s="354"/>
      <c r="K28" s="372"/>
      <c r="L28" s="346" t="s">
        <v>1479</v>
      </c>
      <c r="M28" s="356" t="e">
        <f ca="1">INDIRECT("'数据-取费表'!aa"&amp;$G$1)</f>
        <v>#N/A</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1480</v>
      </c>
      <c r="C29" s="1341" t="e">
        <f ca="1">ROUND((C19+C20+C23+C26)/(1-F21-C24-C27-C28),0)</f>
        <v>#N/A</v>
      </c>
      <c r="D29" s="1342"/>
      <c r="E29" s="1340"/>
      <c r="F29" s="1343"/>
      <c r="G29" s="1855"/>
      <c r="H29" s="379" t="s">
        <v>1033</v>
      </c>
      <c r="I29" s="380" t="s">
        <v>1481</v>
      </c>
      <c r="J29" s="381" t="e">
        <f ca="1">ROUND(J26/(1+F40)^F41,0)</f>
        <v>#N/A</v>
      </c>
      <c r="K29" s="382" t="s">
        <v>1482</v>
      </c>
      <c r="L29" s="383"/>
      <c r="M29" s="384" t="e">
        <f ca="1">INDIRECT("'数据-取费表'!k"&amp;$G$1)</f>
        <v>#N/A</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1426</v>
      </c>
      <c r="C30" s="354" t="e">
        <f ca="1">ROUND(C31+C36+C37+C38,0)</f>
        <v>#N/A</v>
      </c>
      <c r="D30" s="1337" t="s">
        <v>1427</v>
      </c>
      <c r="E30" s="1338"/>
      <c r="F30" s="1294"/>
      <c r="G30" s="1852"/>
      <c r="H30" s="744"/>
      <c r="I30" s="745"/>
      <c r="J30" s="746"/>
      <c r="K30" s="747"/>
      <c r="L30" s="748"/>
      <c r="M30" s="749"/>
    </row>
    <row r="31" spans="1:37" ht="18" customHeight="1">
      <c r="A31" s="1201" t="s">
        <v>1035</v>
      </c>
      <c r="B31" s="346" t="s">
        <v>1431</v>
      </c>
      <c r="C31" s="24" t="e">
        <f ca="1">ROUND(IF(项目基本情况!B11="自然人",C5*F31,C32+C33+C34),1)</f>
        <v>#N/A</v>
      </c>
      <c r="D31" s="1801" t="s">
        <v>1432</v>
      </c>
      <c r="E31" s="1799" t="s">
        <v>1483</v>
      </c>
      <c r="F31" s="367" t="str">
        <f ca="1">IF(项目基本情况!B11="企业","",IF(INDIRECT("'数据-取费表'!c"&amp;$G$1)="住宅",5%,IF(F6*F7*F8/12/(1+'数据-取费表'!C42)&gt;20000,12%,7%)))</f>
        <v/>
      </c>
      <c r="G31" s="1852"/>
      <c r="H31" s="744"/>
      <c r="I31" s="745"/>
      <c r="J31" s="746"/>
      <c r="K31" s="747"/>
      <c r="L31" s="748"/>
      <c r="M31" s="749"/>
    </row>
    <row r="32" spans="1:37" ht="18" customHeight="1">
      <c r="A32" s="1201" t="s">
        <v>1034</v>
      </c>
      <c r="B32" s="346" t="s">
        <v>1435</v>
      </c>
      <c r="C32" s="24" t="e">
        <f ca="1">IF(项目基本情况!B11="自然人","——",ROUND(C5*F32/(1+'数据-取费表'!C42),2))</f>
        <v>#N/A</v>
      </c>
      <c r="D32" s="1799" t="s">
        <v>1436</v>
      </c>
      <c r="E32" s="346" t="s">
        <v>1424</v>
      </c>
      <c r="F32" s="376">
        <f>'数据-取费表'!B41</f>
        <v>6.2719999999999998E-2</v>
      </c>
      <c r="G32" s="1852"/>
      <c r="H32" s="744"/>
      <c r="I32" s="745"/>
      <c r="J32" s="746"/>
      <c r="K32" s="747"/>
      <c r="L32" s="748"/>
      <c r="M32" s="749"/>
    </row>
    <row r="33" spans="1:18" ht="18" customHeight="1">
      <c r="A33" s="1201" t="s">
        <v>1036</v>
      </c>
      <c r="B33" s="346" t="s">
        <v>1439</v>
      </c>
      <c r="C33" s="24" t="e">
        <f ca="1">IF(项目基本情况!B11="自然人","——",IF(D33="按租金收入计税",ROUND(C5*F33,2),IF(D33="按房产原值计税",ROUND(C29*F33*0.7,2),INDIRECT("'数据-取费表'!Aj"&amp;$G$1))))</f>
        <v>#N/A</v>
      </c>
      <c r="D33" s="1829" t="s">
        <v>1440</v>
      </c>
      <c r="E33" s="346" t="s">
        <v>1424</v>
      </c>
      <c r="F33" s="366">
        <f>IF(D33="按票据","——",IF(D33="按租金收入计税",'数据-取费表'!B51,'数据-取费表'!B50))</f>
        <v>1.2E-2</v>
      </c>
      <c r="G33" s="1852"/>
      <c r="H33" s="1860"/>
      <c r="I33" s="1861"/>
      <c r="J33" s="1862"/>
      <c r="K33" s="1863"/>
      <c r="L33" s="1860"/>
      <c r="M33" s="1860"/>
    </row>
    <row r="34" spans="1:18" ht="18" customHeight="1">
      <c r="A34" s="1291" t="s">
        <v>1390</v>
      </c>
      <c r="B34" s="163" t="s">
        <v>1443</v>
      </c>
      <c r="C34" s="25" t="e">
        <f ca="1">IF(项目基本情况!B11="自然人","——",ROUND(F34*F35/10000,2))</f>
        <v>#N/A</v>
      </c>
      <c r="D34" s="369" t="s">
        <v>1444</v>
      </c>
      <c r="E34" s="346" t="s">
        <v>1445</v>
      </c>
      <c r="F34" s="370">
        <f>'数据-取费表'!B52</f>
        <v>20</v>
      </c>
      <c r="G34" s="1852"/>
      <c r="H34" s="744"/>
      <c r="I34" s="1861"/>
      <c r="J34" s="1862"/>
      <c r="K34" s="1864"/>
      <c r="L34" s="1865"/>
      <c r="M34" s="1865"/>
    </row>
    <row r="35" spans="1:18" ht="18" customHeight="1">
      <c r="A35" s="1353"/>
      <c r="B35" s="1351"/>
      <c r="C35" s="29"/>
      <c r="D35" s="372"/>
      <c r="E35" s="346" t="s">
        <v>1449</v>
      </c>
      <c r="F35" s="347" t="e">
        <f ca="1">INDIRECT("'数据-取费表'!r"&amp;$G$1)</f>
        <v>#N/A</v>
      </c>
      <c r="G35" s="1852"/>
      <c r="H35" s="744"/>
      <c r="I35" s="1861"/>
      <c r="J35" s="1862"/>
      <c r="K35" s="1863"/>
      <c r="L35" s="1860"/>
      <c r="M35" s="1860"/>
    </row>
    <row r="36" spans="1:18" ht="18" customHeight="1">
      <c r="A36" s="1352" t="s">
        <v>1039</v>
      </c>
      <c r="B36" s="346" t="s">
        <v>1451</v>
      </c>
      <c r="C36" s="24" t="e">
        <f ca="1">ROUND(C29*F36,1)</f>
        <v>#N/A</v>
      </c>
      <c r="D36" s="1799" t="s">
        <v>1484</v>
      </c>
      <c r="E36" s="346" t="s">
        <v>1424</v>
      </c>
      <c r="F36" s="373" t="e">
        <f ca="1">INDIRECT("'数据-取费表'!Ak"&amp;$G$1)</f>
        <v>#N/A</v>
      </c>
      <c r="G36" s="1852"/>
      <c r="H36" s="1860"/>
      <c r="I36" s="1861"/>
      <c r="J36" s="1862"/>
      <c r="K36" s="750"/>
      <c r="L36" s="1860"/>
      <c r="M36" s="1860"/>
    </row>
    <row r="37" spans="1:18" ht="18" customHeight="1">
      <c r="A37" s="1201" t="s">
        <v>1075</v>
      </c>
      <c r="B37" s="346" t="s">
        <v>1455</v>
      </c>
      <c r="C37" s="24" t="e">
        <f ca="1">ROUND(C13*F37,1)</f>
        <v>#N/A</v>
      </c>
      <c r="D37" s="1799" t="s">
        <v>1456</v>
      </c>
      <c r="E37" s="346" t="s">
        <v>1457</v>
      </c>
      <c r="F37" s="375" t="e">
        <f ca="1">INDIRECT("'数据-取费表'!Al"&amp;$G$1)</f>
        <v>#N/A</v>
      </c>
      <c r="G37" s="1852"/>
      <c r="H37" s="1860"/>
      <c r="I37" s="1861"/>
      <c r="J37" s="1862"/>
      <c r="K37" s="750"/>
      <c r="L37" s="1860"/>
      <c r="M37" s="1860"/>
    </row>
    <row r="38" spans="1:18" ht="18" customHeight="1" thickBot="1">
      <c r="A38" s="1339" t="s">
        <v>1394</v>
      </c>
      <c r="B38" s="1340" t="s">
        <v>1441</v>
      </c>
      <c r="C38" s="1341" t="e">
        <f ca="1">ROUND(C5*F38,1)</f>
        <v>#N/A</v>
      </c>
      <c r="D38" s="1342" t="s">
        <v>1461</v>
      </c>
      <c r="E38" s="1340" t="s">
        <v>1457</v>
      </c>
      <c r="F38" s="1336" t="e">
        <f ca="1">INDIRECT("'数据-取费表'!Am"&amp;$G$1)</f>
        <v>#N/A</v>
      </c>
      <c r="G38" s="1852"/>
      <c r="H38" s="1860"/>
      <c r="I38" s="1861"/>
      <c r="J38" s="1862"/>
      <c r="K38" s="1866"/>
      <c r="L38" s="1860"/>
      <c r="M38" s="1860"/>
    </row>
    <row r="39" spans="1:18" ht="24.6" customHeight="1" thickTop="1">
      <c r="A39" s="1329" t="s">
        <v>1031</v>
      </c>
      <c r="B39" s="1344" t="s">
        <v>1485</v>
      </c>
      <c r="C39" s="354" t="e">
        <f ca="1">C5-C30</f>
        <v>#N/A</v>
      </c>
      <c r="D39" s="1345" t="s">
        <v>1486</v>
      </c>
      <c r="E39" s="1346"/>
      <c r="F39" s="1347"/>
      <c r="G39" s="1852"/>
      <c r="H39" s="1860"/>
      <c r="I39" s="1861"/>
      <c r="J39" s="1862"/>
      <c r="K39" s="1866"/>
      <c r="L39" s="1860"/>
      <c r="M39" s="1860"/>
    </row>
    <row r="40" spans="1:18" ht="18" customHeight="1">
      <c r="A40" s="343" t="s">
        <v>1032</v>
      </c>
      <c r="B40" s="344" t="s">
        <v>1487</v>
      </c>
      <c r="C40" s="345" t="e">
        <f ca="1">ROUND(C39*(1-((1+F42)/(1+F40))^F41)/(F40-F42),0)</f>
        <v>#N/A</v>
      </c>
      <c r="D40" s="369" t="s">
        <v>1471</v>
      </c>
      <c r="E40" s="346" t="s">
        <v>1472</v>
      </c>
      <c r="F40" s="356" t="e">
        <f ca="1">INDIRECT("'数据-取费表'!I"&amp;$G$1)</f>
        <v>#N/A</v>
      </c>
      <c r="G40" s="1852"/>
      <c r="H40" s="1840"/>
      <c r="I40" s="1861"/>
      <c r="J40" s="1862"/>
      <c r="K40" s="1866"/>
      <c r="L40" s="1840"/>
      <c r="M40" s="1840"/>
    </row>
    <row r="41" spans="1:18" ht="18" customHeight="1">
      <c r="A41" s="348"/>
      <c r="B41" s="349"/>
      <c r="C41" s="350"/>
      <c r="D41" s="377" t="s">
        <v>1488</v>
      </c>
      <c r="E41" s="346" t="s">
        <v>1476</v>
      </c>
      <c r="F41" s="378" t="e">
        <f ca="1">IF(INDIRECT("'数据-取费表'!af"&amp;$G$1)=0,INDIRECT("'数据-取费表'!ae"&amp;$G$1),INDIRECT("'数据-取费表'!af"&amp;$G$1))</f>
        <v>#N/A</v>
      </c>
      <c r="G41" s="1852"/>
      <c r="H41" s="731"/>
      <c r="I41" s="1861"/>
      <c r="J41" s="1862"/>
      <c r="K41" s="750"/>
      <c r="L41" s="731"/>
      <c r="M41" s="731"/>
    </row>
    <row r="42" spans="1:18" ht="18" customHeight="1">
      <c r="A42" s="352"/>
      <c r="B42" s="353"/>
      <c r="C42" s="354"/>
      <c r="D42" s="372"/>
      <c r="E42" s="346" t="s">
        <v>1479</v>
      </c>
      <c r="F42" s="356" t="e">
        <f ca="1">INDIRECT("'数据-取费表'!v"&amp;$G$1)</f>
        <v>#N/A</v>
      </c>
      <c r="G42" s="1852"/>
      <c r="H42" s="731"/>
      <c r="I42" s="1861"/>
      <c r="J42" s="1862"/>
      <c r="K42" s="750"/>
      <c r="L42" s="731"/>
      <c r="M42" s="731"/>
    </row>
    <row r="43" spans="1:18" ht="18" customHeight="1" thickBot="1">
      <c r="A43" s="379" t="s">
        <v>1033</v>
      </c>
      <c r="B43" s="380" t="s">
        <v>1489</v>
      </c>
      <c r="C43" s="381" t="e">
        <f ca="1">ROUND(C40*10000/F43,0)</f>
        <v>#N/A</v>
      </c>
      <c r="D43" s="382" t="s">
        <v>1490</v>
      </c>
      <c r="E43" s="383" t="s">
        <v>1491</v>
      </c>
      <c r="F43" s="384" t="e">
        <f ca="1">INDIRECT("'数据-取费表'!k"&amp;$G$1)</f>
        <v>#N/A</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5"/>
      <c r="O45" s="1870" t="s">
        <v>1521</v>
      </c>
      <c r="P45" s="1840"/>
      <c r="Q45" s="1840"/>
      <c r="R45" s="1840"/>
    </row>
    <row r="46" spans="1:18" s="1843" customFormat="1" ht="13.5" thickBot="1">
      <c r="A46" s="1871" t="s">
        <v>1522</v>
      </c>
      <c r="C46" s="1872" t="e">
        <f ca="1">C68-C40</f>
        <v>#N/A</v>
      </c>
      <c r="D46" s="1873" t="str">
        <f>C2</f>
        <v>万元</v>
      </c>
      <c r="E46" s="1867"/>
      <c r="F46" s="1867"/>
      <c r="I46" s="1874" t="s">
        <v>1523</v>
      </c>
      <c r="J46" s="1875"/>
      <c r="K46" s="1876"/>
      <c r="L46" s="1877" t="e">
        <f ca="1">IF(M47="住宅",0,IF(L48&gt;J51,L60,J60))</f>
        <v>#N/A</v>
      </c>
      <c r="O46" s="1878" t="s">
        <v>1524</v>
      </c>
      <c r="P46" s="1879" t="s">
        <v>1525</v>
      </c>
      <c r="Q46" s="1880" t="s">
        <v>1526</v>
      </c>
      <c r="R46" s="1880" t="s">
        <v>1527</v>
      </c>
    </row>
    <row r="47" spans="1:18" s="1843" customFormat="1" ht="13.5" thickBot="1">
      <c r="A47" s="1165" t="s">
        <v>1397</v>
      </c>
      <c r="B47" s="1197" t="s">
        <v>1398</v>
      </c>
      <c r="C47" s="1367" t="s">
        <v>1399</v>
      </c>
      <c r="D47" s="1197" t="s">
        <v>1400</v>
      </c>
      <c r="E47" s="1279" t="s">
        <v>1401</v>
      </c>
      <c r="F47" s="1280"/>
      <c r="G47" s="791"/>
      <c r="I47" s="1881" t="s">
        <v>1528</v>
      </c>
      <c r="J47" s="1882"/>
      <c r="K47" s="1883" t="s">
        <v>1529</v>
      </c>
      <c r="L47" s="1884" t="e">
        <f ca="1">INDIRECT("'数据-取费表'!d"&amp;$G$1)</f>
        <v>#N/A</v>
      </c>
      <c r="M47" s="1839" t="str">
        <f>IF(ISNUMBER(FIND("住宅",C1)),"住宅","非住宅")</f>
        <v>非住宅</v>
      </c>
      <c r="O47" s="1885" t="s">
        <v>1040</v>
      </c>
      <c r="P47" s="1886" t="s">
        <v>1530</v>
      </c>
      <c r="Q47" s="1887" t="e">
        <f ca="1">C40+J29</f>
        <v>#N/A</v>
      </c>
      <c r="R47" s="1887" t="s">
        <v>1531</v>
      </c>
    </row>
    <row r="48" spans="1:18" s="1843" customFormat="1" ht="28.5" thickBot="1">
      <c r="A48" s="1360" t="s">
        <v>1135</v>
      </c>
      <c r="B48" s="344" t="s">
        <v>1402</v>
      </c>
      <c r="C48" s="1818" t="e">
        <f ca="1">C49+C53+C55</f>
        <v>#N/A</v>
      </c>
      <c r="D48" s="1362"/>
      <c r="E48" s="1363"/>
      <c r="F48" s="1181"/>
      <c r="G48" s="791"/>
      <c r="H48" s="792"/>
      <c r="I48" s="1888" t="s">
        <v>1532</v>
      </c>
      <c r="J48" s="1889"/>
      <c r="K48" s="1890" t="s">
        <v>1533</v>
      </c>
      <c r="L48" s="1891" t="e">
        <f ca="1">INDIRECT("'数据-取费表'!f"&amp;$G$1)</f>
        <v>#N/A</v>
      </c>
      <c r="O48" s="1885" t="s">
        <v>1041</v>
      </c>
      <c r="P48" s="1886" t="s">
        <v>1534</v>
      </c>
      <c r="Q48" s="1887" t="e">
        <f ca="1">J60</f>
        <v>#N/A</v>
      </c>
      <c r="R48" s="1887" t="s">
        <v>1535</v>
      </c>
    </row>
    <row r="49" spans="1:18" s="1843" customFormat="1" ht="13.5" thickBot="1">
      <c r="A49" s="1194" t="s">
        <v>1136</v>
      </c>
      <c r="B49" s="1830" t="s">
        <v>1492</v>
      </c>
      <c r="C49" s="1364" t="e">
        <f ca="1">ROUND(F49*F51*F50*(1-F52)/10000,0)</f>
        <v>#N/A</v>
      </c>
      <c r="D49" s="1276" t="s">
        <v>3040</v>
      </c>
      <c r="E49" s="1831" t="s">
        <v>1493</v>
      </c>
      <c r="F49" s="1281"/>
      <c r="G49" s="1892"/>
      <c r="H49" s="792"/>
      <c r="I49" s="1888" t="s">
        <v>1536</v>
      </c>
      <c r="J49" s="1893"/>
      <c r="K49" s="1890" t="s">
        <v>1537</v>
      </c>
      <c r="L49" s="1894"/>
      <c r="O49" s="1895" t="s">
        <v>1042</v>
      </c>
      <c r="P49" s="1886" t="s">
        <v>1538</v>
      </c>
      <c r="Q49" s="1887" t="e">
        <f ca="1">C29</f>
        <v>#N/A</v>
      </c>
      <c r="R49" s="1887" t="s">
        <v>1531</v>
      </c>
    </row>
    <row r="50" spans="1:18" s="1843" customFormat="1" ht="13.5" thickBot="1">
      <c r="A50" s="1195"/>
      <c r="B50" s="1198"/>
      <c r="C50" s="1368"/>
      <c r="D50" s="1172"/>
      <c r="E50" s="1277" t="s">
        <v>1407</v>
      </c>
      <c r="F50" s="1278" t="e">
        <f ca="1">F7</f>
        <v>#N/A</v>
      </c>
      <c r="H50" s="792"/>
      <c r="I50" s="1888" t="s">
        <v>1539</v>
      </c>
      <c r="J50" s="1896">
        <f>SUMPRODUCT((I63:I65=J47)*(J62:L62=J48)*(J63:L65))</f>
        <v>0</v>
      </c>
      <c r="K50" s="1890" t="s">
        <v>1540</v>
      </c>
      <c r="L50" s="1894"/>
      <c r="M50" s="1897"/>
      <c r="O50" s="1895" t="s">
        <v>1043</v>
      </c>
      <c r="P50" s="1886" t="s">
        <v>1541</v>
      </c>
      <c r="Q50" s="1898" t="e">
        <f ca="1">J58</f>
        <v>#N/A</v>
      </c>
      <c r="R50" s="1887"/>
    </row>
    <row r="51" spans="1:18" s="1843" customFormat="1" ht="13.5" thickBot="1">
      <c r="A51" s="1196"/>
      <c r="B51" s="1198"/>
      <c r="C51" s="1199"/>
      <c r="D51" s="1172"/>
      <c r="E51" s="1200" t="s">
        <v>1408</v>
      </c>
      <c r="F51" s="347" t="e">
        <f ca="1">F8</f>
        <v>#N/A</v>
      </c>
      <c r="I51" s="1899" t="s">
        <v>1542</v>
      </c>
      <c r="J51" s="1900">
        <f>IF(J49="",J50,J49+J50-YEAR('数据-取费表'!B2))</f>
        <v>0</v>
      </c>
      <c r="K51" s="1901" t="s">
        <v>1543</v>
      </c>
      <c r="L51" s="1902" t="e">
        <f ca="1">ROUND(-PV(INDIRECT("'数据-取费表'!h"&amp;$G$1),L48,(C39-C13*C76),0),0)</f>
        <v>#N/A</v>
      </c>
      <c r="M51" s="1903"/>
      <c r="O51" s="1895" t="s">
        <v>1044</v>
      </c>
      <c r="P51" s="1886" t="s">
        <v>1544</v>
      </c>
      <c r="Q51" s="1898">
        <f>J52</f>
        <v>0</v>
      </c>
      <c r="R51" s="1887"/>
    </row>
    <row r="52" spans="1:18" s="1843" customFormat="1" ht="13.5" thickBot="1">
      <c r="A52" s="1196"/>
      <c r="B52" s="1198"/>
      <c r="C52" s="1199"/>
      <c r="D52" s="1172"/>
      <c r="E52" s="1200" t="s">
        <v>1409</v>
      </c>
      <c r="F52" s="1275"/>
      <c r="I52" s="1904" t="s">
        <v>1545</v>
      </c>
      <c r="J52" s="1905"/>
      <c r="K52" s="1904" t="s">
        <v>1546</v>
      </c>
      <c r="L52" s="1905"/>
      <c r="O52" s="1895" t="s">
        <v>1045</v>
      </c>
      <c r="P52" s="1886" t="s">
        <v>1547</v>
      </c>
      <c r="Q52" s="1887" t="b">
        <f>J53</f>
        <v>0</v>
      </c>
      <c r="R52" s="1887" t="s">
        <v>1548</v>
      </c>
    </row>
    <row r="53" spans="1:18" s="1843" customFormat="1" ht="24.75" thickBot="1">
      <c r="A53" s="1405" t="s">
        <v>1137</v>
      </c>
      <c r="B53" s="1832" t="s">
        <v>1410</v>
      </c>
      <c r="C53" s="360">
        <f ca="1">ROUND(IF(F53="押一",F49*F51*F50/12*F11,IF(F53="押二",F49*F51*F50/12*2*F11,IF(F53="押三",F49*F51*F50/12*3*F11,C54*F11)))/10000,0)</f>
        <v>0</v>
      </c>
      <c r="D53" s="1825" t="s">
        <v>3038</v>
      </c>
      <c r="E53" s="357" t="s">
        <v>1412</v>
      </c>
      <c r="F53" s="1366"/>
      <c r="I53" s="1906" t="s">
        <v>1549</v>
      </c>
      <c r="J53" s="1907" t="b">
        <f>IF(M47="住宅",J51,IF(D1="——",MIN(J51,L48),IF(D1="在建（套用方法）",MIN(J51,L48-'数据-取费表'!B24),IF(D1="土地（套用方法）",MIN(J51,L48-'数据-取费表'!B20)))))</f>
        <v>0</v>
      </c>
      <c r="K53" s="3178" t="s">
        <v>1550</v>
      </c>
      <c r="L53" s="3179"/>
      <c r="O53" s="1885" t="s">
        <v>1046</v>
      </c>
      <c r="P53" s="1886" t="s">
        <v>1551</v>
      </c>
      <c r="Q53" s="1887" t="e">
        <f ca="1">Q47+Q48</f>
        <v>#N/A</v>
      </c>
      <c r="R53" s="1887" t="s">
        <v>1047</v>
      </c>
    </row>
    <row r="54" spans="1:18" s="1843" customFormat="1" ht="13.5" thickBot="1">
      <c r="A54" s="1406"/>
      <c r="B54" s="1826" t="s">
        <v>1389</v>
      </c>
      <c r="C54" s="1178"/>
      <c r="D54" s="1825"/>
      <c r="E54" s="1833"/>
      <c r="F54" s="1908"/>
      <c r="I54" s="1909"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0"/>
      <c r="K54" s="1910"/>
      <c r="L54" s="1910"/>
      <c r="M54" s="1892"/>
      <c r="O54" s="1870" t="s">
        <v>1552</v>
      </c>
      <c r="P54" s="1840"/>
      <c r="Q54" s="1840"/>
      <c r="R54" s="1840"/>
    </row>
    <row r="55" spans="1:18" s="1843" customFormat="1" ht="13.5" thickBot="1">
      <c r="A55" s="1333" t="s">
        <v>1075</v>
      </c>
      <c r="B55" s="1828" t="s">
        <v>1415</v>
      </c>
      <c r="C55" s="1334"/>
      <c r="D55" s="1825"/>
      <c r="E55" s="1833"/>
      <c r="F55" s="1908"/>
      <c r="I55" s="1911" t="s">
        <v>1553</v>
      </c>
      <c r="J55" s="1912" t="e">
        <f ca="1">ROUND(IF(J47="钢混",J57/J50,1-(1-2%)*(J50-J57)/J50),3)</f>
        <v>#N/A</v>
      </c>
      <c r="K55" s="1913" t="s">
        <v>1554</v>
      </c>
      <c r="L55" s="1914" t="s">
        <v>1555</v>
      </c>
      <c r="O55" s="1878" t="s">
        <v>1524</v>
      </c>
      <c r="P55" s="1879" t="s">
        <v>1525</v>
      </c>
      <c r="Q55" s="1880" t="s">
        <v>1526</v>
      </c>
      <c r="R55" s="1880" t="s">
        <v>1527</v>
      </c>
    </row>
    <row r="56" spans="1:18" s="1843" customFormat="1" ht="25.5" thickTop="1" thickBot="1">
      <c r="A56" s="1176">
        <v>2</v>
      </c>
      <c r="B56" s="1177" t="s">
        <v>1416</v>
      </c>
      <c r="C56" s="275" t="e">
        <f ca="1">C13</f>
        <v>#N/A</v>
      </c>
      <c r="D56" s="1915"/>
      <c r="E56" s="1916"/>
      <c r="F56" s="1908"/>
      <c r="I56" s="1917" t="s">
        <v>1556</v>
      </c>
      <c r="J56" s="1918"/>
      <c r="K56" s="1888" t="s">
        <v>1557</v>
      </c>
      <c r="L56" s="1891" t="e">
        <f ca="1">IF(L48&lt;J51,"——",L48-J53)</f>
        <v>#N/A</v>
      </c>
      <c r="O56" s="1885" t="s">
        <v>1040</v>
      </c>
      <c r="P56" s="1886" t="s">
        <v>1530</v>
      </c>
      <c r="Q56" s="1887" t="e">
        <f ca="1">C40+J29</f>
        <v>#N/A</v>
      </c>
      <c r="R56" s="1887" t="s">
        <v>1531</v>
      </c>
    </row>
    <row r="57" spans="1:18" s="1843" customFormat="1" ht="24.75" thickBot="1">
      <c r="A57" s="1919"/>
      <c r="B57" s="1169" t="s">
        <v>1480</v>
      </c>
      <c r="C57" s="281" t="e">
        <f ca="1">C29</f>
        <v>#N/A</v>
      </c>
      <c r="D57" s="1920"/>
      <c r="E57" s="1921"/>
      <c r="F57" s="1922"/>
      <c r="I57" s="1923" t="s">
        <v>1558</v>
      </c>
      <c r="J57" s="1924" t="e">
        <f ca="1">IF(OR(M47="住宅",J51&lt;L48,J56="是"),"——",J51-L48)</f>
        <v>#N/A</v>
      </c>
      <c r="K57" s="1888" t="s">
        <v>1559</v>
      </c>
      <c r="L57" s="1891" t="e">
        <f ca="1">IF(L48&lt;J51,"——",IF(L55="比较法",L49,IF(L55="基准地价",L50,L51)))</f>
        <v>#N/A</v>
      </c>
      <c r="O57" s="1885" t="s">
        <v>1041</v>
      </c>
      <c r="P57" s="1886" t="s">
        <v>1560</v>
      </c>
      <c r="Q57" s="1887" t="e">
        <f ca="1">L60</f>
        <v>#N/A</v>
      </c>
      <c r="R57" s="1887" t="s">
        <v>1561</v>
      </c>
    </row>
    <row r="58" spans="1:18" s="1843" customFormat="1" ht="24.75" thickBot="1">
      <c r="A58" s="359" t="s">
        <v>1030</v>
      </c>
      <c r="B58" s="1177" t="s">
        <v>1426</v>
      </c>
      <c r="C58" s="360" t="e">
        <f ca="1">ROUND(C59+C64+C65+C66,0)</f>
        <v>#N/A</v>
      </c>
      <c r="D58" s="1179" t="s">
        <v>1427</v>
      </c>
      <c r="E58" s="1180"/>
      <c r="F58" s="1181"/>
      <c r="I58" s="1923" t="s">
        <v>1562</v>
      </c>
      <c r="J58" s="1925" t="e">
        <f ca="1">IF(J55&lt;0.4,0.4,J55)</f>
        <v>#N/A</v>
      </c>
      <c r="K58" s="1901" t="s">
        <v>1563</v>
      </c>
      <c r="L58" s="1891" t="e">
        <f ca="1">ROUND(POWER(1+L52,L47-L48)*(POWER(1+L52,L48)-1)/(POWER(1+L52,L47)-1),4)</f>
        <v>#N/A</v>
      </c>
      <c r="O58" s="1895" t="s">
        <v>1042</v>
      </c>
      <c r="P58" s="1886" t="s">
        <v>1564</v>
      </c>
      <c r="Q58" s="1887">
        <f>IF(L55="比较法",L49,IF(L55="基准地价",L50,0))</f>
        <v>0</v>
      </c>
      <c r="R58" s="1887" t="s">
        <v>1531</v>
      </c>
    </row>
    <row r="59" spans="1:18" s="1843" customFormat="1" ht="24.75" thickBot="1">
      <c r="A59" s="1201" t="s">
        <v>1035</v>
      </c>
      <c r="B59" s="1169" t="s">
        <v>1431</v>
      </c>
      <c r="C59" s="24" t="e">
        <f ca="1">ROUND(IF(项目基本情况!B11="自然人",C48*F59,C60+C61+C62),1)</f>
        <v>#N/A</v>
      </c>
      <c r="D59" s="1182" t="s">
        <v>1432</v>
      </c>
      <c r="E59" s="1183" t="s">
        <v>1433</v>
      </c>
      <c r="F59" s="367" t="str">
        <f ca="1">IF(项目基本情况!B11="企业","",IF(INDIRECT("'数据-取费表'!c"&amp;$G$1)="住宅",5%,IF(F49*F50*F51/12/(1+'数据-取费表'!C42)&gt;20000,12%,7%)))</f>
        <v/>
      </c>
      <c r="I59" s="1923" t="s">
        <v>1565</v>
      </c>
      <c r="J59" s="1924" t="e">
        <f ca="1">IF(OR(M47="住宅",J51&lt;L48,J56="是"),"——",ROUND(C29*J58,0))</f>
        <v>#N/A</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#N/A</v>
      </c>
      <c r="M59" s="1839" t="e">
        <f ca="1">ROUND(POWER(1+L52,L47-(J51+'数据-取费表'!B24))*(POWER(1+L52,(J51+'数据-取费表'!B24))-1)/(POWER(1+L52,L47)-1),4)</f>
        <v>#N/A</v>
      </c>
      <c r="N59" s="1839" t="e">
        <f ca="1">ROUND(POWER(1+L52,L47-(J51+'数据-取费表'!B20))*(POWER(1+L52,(J51+'数据-取费表'!B20))-1)/(POWER(1+L52,L47)-1),4)</f>
        <v>#N/A</v>
      </c>
      <c r="O59" s="1895" t="s">
        <v>1043</v>
      </c>
      <c r="P59" s="1886" t="s">
        <v>1566</v>
      </c>
      <c r="Q59" s="1898">
        <f>L52</f>
        <v>0</v>
      </c>
      <c r="R59" s="1887"/>
    </row>
    <row r="60" spans="1:18" s="1843" customFormat="1" ht="16.5" thickBot="1">
      <c r="A60" s="1201" t="s">
        <v>1034</v>
      </c>
      <c r="B60" s="1169" t="s">
        <v>1435</v>
      </c>
      <c r="C60" s="24" t="e">
        <f ca="1">IF(项目基本情况!B11="自然人","——",ROUND(C48*F60/(1+'数据-取费表'!C42),2))</f>
        <v>#N/A</v>
      </c>
      <c r="D60" s="1183" t="s">
        <v>1436</v>
      </c>
      <c r="E60" s="1169" t="s">
        <v>1424</v>
      </c>
      <c r="F60" s="376">
        <f t="shared" ref="F60:F66" si="0">F32</f>
        <v>6.2719999999999998E-2</v>
      </c>
      <c r="I60" s="1926" t="s">
        <v>1567</v>
      </c>
      <c r="J60" s="1927" t="e">
        <f ca="1">IF(OR(M47="住宅",J51&lt;L48,J56="是"),"0",ROUND(J59/(1+J52)^J53,0))</f>
        <v>#N/A</v>
      </c>
      <c r="K60" s="1928" t="s">
        <v>1568</v>
      </c>
      <c r="L60" s="1927" t="e">
        <f ca="1">IF(OR(M47="住宅",L48&lt;J51),0,ROUND(L57*(L58/L59-1),0))</f>
        <v>#N/A</v>
      </c>
      <c r="O60" s="1895" t="s">
        <v>1044</v>
      </c>
      <c r="P60" s="1886" t="s">
        <v>1569</v>
      </c>
      <c r="Q60" s="1887" t="e">
        <f ca="1">L58</f>
        <v>#N/A</v>
      </c>
      <c r="R60" s="1887" t="s">
        <v>1570</v>
      </c>
    </row>
    <row r="61" spans="1:18" s="1843" customFormat="1" ht="13.5" thickBot="1">
      <c r="A61" s="1201" t="s">
        <v>1494</v>
      </c>
      <c r="B61" s="1169" t="s">
        <v>1495</v>
      </c>
      <c r="C61" s="24" t="e">
        <f ca="1">IF(项目基本情况!B11="自然人","——",IF(D61="按租金收入计税",ROUND(C48*F61,2),IF(D61="按房产原值计税",ROUND(C57*F61*0.7,2),INDIRECT("'数据-取费表'!Aj"&amp;$G$1))))</f>
        <v>#N/A</v>
      </c>
      <c r="D61" s="1829" t="s">
        <v>1440</v>
      </c>
      <c r="E61" s="1169" t="s">
        <v>1496</v>
      </c>
      <c r="F61" s="366">
        <f t="shared" si="0"/>
        <v>1.2E-2</v>
      </c>
      <c r="I61" s="1929"/>
      <c r="J61" s="1929"/>
      <c r="K61" s="1929"/>
      <c r="L61" s="1929"/>
      <c r="O61" s="1895" t="s">
        <v>1045</v>
      </c>
      <c r="P61" s="1886" t="str">
        <f>K59</f>
        <v>建设期及建筑物耐用年限下的土地年期修正系数Kn</v>
      </c>
      <c r="Q61" s="1887" t="e">
        <f ca="1">L59</f>
        <v>#N/A</v>
      </c>
      <c r="R61" s="1887" t="s">
        <v>1571</v>
      </c>
    </row>
    <row r="62" spans="1:18" s="1843" customFormat="1" ht="13.5" thickBot="1">
      <c r="A62" s="1201" t="s">
        <v>1497</v>
      </c>
      <c r="B62" s="1168" t="s">
        <v>1498</v>
      </c>
      <c r="C62" s="25" t="e">
        <f ca="1">IF(项目基本情况!B11="自然人","——",ROUND(F62*F63/10000,2))</f>
        <v>#N/A</v>
      </c>
      <c r="D62" s="1184" t="s">
        <v>1499</v>
      </c>
      <c r="E62" s="1169" t="s">
        <v>1500</v>
      </c>
      <c r="F62" s="370">
        <f t="shared" si="0"/>
        <v>20</v>
      </c>
      <c r="I62" s="1930" t="s">
        <v>1572</v>
      </c>
      <c r="J62" s="1931" t="s">
        <v>1573</v>
      </c>
      <c r="K62" s="1931" t="s">
        <v>1574</v>
      </c>
      <c r="L62" s="1931" t="s">
        <v>1575</v>
      </c>
      <c r="M62" s="1932" t="s">
        <v>1576</v>
      </c>
      <c r="O62" s="1885" t="s">
        <v>1046</v>
      </c>
      <c r="P62" s="1886" t="s">
        <v>1577</v>
      </c>
      <c r="Q62" s="1887" t="e">
        <f ca="1">Q56+Q57</f>
        <v>#N/A</v>
      </c>
      <c r="R62" s="1887" t="s">
        <v>1047</v>
      </c>
    </row>
    <row r="63" spans="1:18" s="1843" customFormat="1" ht="13.5" thickBot="1">
      <c r="A63" s="371"/>
      <c r="B63" s="1175"/>
      <c r="C63" s="29"/>
      <c r="D63" s="1185"/>
      <c r="E63" s="1169" t="s">
        <v>1501</v>
      </c>
      <c r="F63" s="347" t="e">
        <f t="shared" ca="1" si="0"/>
        <v>#N/A</v>
      </c>
      <c r="I63" s="1930" t="s">
        <v>1578</v>
      </c>
      <c r="J63" s="1931">
        <v>70</v>
      </c>
      <c r="K63" s="1931">
        <v>50</v>
      </c>
      <c r="L63" s="1931">
        <v>80</v>
      </c>
      <c r="M63" s="1933">
        <v>0.02</v>
      </c>
      <c r="O63" s="1870" t="s">
        <v>1579</v>
      </c>
      <c r="P63" s="1840"/>
      <c r="Q63" s="1840"/>
      <c r="R63" s="1840"/>
    </row>
    <row r="64" spans="1:18" s="1843" customFormat="1" ht="13.5" thickBot="1">
      <c r="A64" s="1201" t="s">
        <v>1502</v>
      </c>
      <c r="B64" s="1169" t="s">
        <v>1503</v>
      </c>
      <c r="C64" s="24" t="e">
        <f ca="1">ROUND(C57*F64,1)</f>
        <v>#N/A</v>
      </c>
      <c r="D64" s="1183" t="s">
        <v>1504</v>
      </c>
      <c r="E64" s="1169" t="s">
        <v>1496</v>
      </c>
      <c r="F64" s="373" t="e">
        <f t="shared" ca="1" si="0"/>
        <v>#N/A</v>
      </c>
      <c r="I64" s="1930" t="s">
        <v>1580</v>
      </c>
      <c r="J64" s="1931">
        <v>50</v>
      </c>
      <c r="K64" s="1931">
        <v>35</v>
      </c>
      <c r="L64" s="1931">
        <v>60</v>
      </c>
      <c r="M64" s="1932">
        <v>0</v>
      </c>
      <c r="O64" s="1878" t="s">
        <v>1524</v>
      </c>
      <c r="P64" s="1879" t="s">
        <v>1525</v>
      </c>
      <c r="Q64" s="1880" t="s">
        <v>1526</v>
      </c>
      <c r="R64" s="1880" t="s">
        <v>1527</v>
      </c>
    </row>
    <row r="65" spans="1:18" s="1843" customFormat="1" ht="13.5" thickBot="1">
      <c r="A65" s="1201" t="s">
        <v>1505</v>
      </c>
      <c r="B65" s="1169" t="s">
        <v>1455</v>
      </c>
      <c r="C65" s="24" t="e">
        <f ca="1">ROUND(C56*F65,1)</f>
        <v>#N/A</v>
      </c>
      <c r="D65" s="1183" t="s">
        <v>1456</v>
      </c>
      <c r="E65" s="1169" t="s">
        <v>1457</v>
      </c>
      <c r="F65" s="375" t="e">
        <f t="shared" ca="1" si="0"/>
        <v>#N/A</v>
      </c>
      <c r="I65" s="1930" t="s">
        <v>1581</v>
      </c>
      <c r="J65" s="1931">
        <v>40</v>
      </c>
      <c r="K65" s="1931">
        <v>30</v>
      </c>
      <c r="L65" s="1931">
        <v>50</v>
      </c>
      <c r="M65" s="1933">
        <v>0.02</v>
      </c>
      <c r="O65" s="1885" t="s">
        <v>1040</v>
      </c>
      <c r="P65" s="1886" t="s">
        <v>1582</v>
      </c>
      <c r="Q65" s="1887" t="e">
        <f ca="1">C40+J29</f>
        <v>#N/A</v>
      </c>
      <c r="R65" s="1887" t="s">
        <v>1531</v>
      </c>
    </row>
    <row r="66" spans="1:18" s="1843" customFormat="1" ht="16.5" thickBot="1">
      <c r="A66" s="1201" t="s">
        <v>1506</v>
      </c>
      <c r="B66" s="1169" t="s">
        <v>1441</v>
      </c>
      <c r="C66" s="24" t="e">
        <f ca="1">ROUND(C48*F66,1)</f>
        <v>#N/A</v>
      </c>
      <c r="D66" s="1183" t="s">
        <v>1507</v>
      </c>
      <c r="E66" s="1169" t="s">
        <v>1424</v>
      </c>
      <c r="F66" s="356" t="e">
        <f t="shared" ca="1" si="0"/>
        <v>#N/A</v>
      </c>
      <c r="O66" s="1885" t="s">
        <v>1041</v>
      </c>
      <c r="P66" s="1886" t="s">
        <v>1560</v>
      </c>
      <c r="Q66" s="1887" t="e">
        <f ca="1">L60</f>
        <v>#N/A</v>
      </c>
      <c r="R66" s="1887" t="s">
        <v>1583</v>
      </c>
    </row>
    <row r="67" spans="1:18" s="1843" customFormat="1" ht="16.5" thickBot="1">
      <c r="A67" s="1176" t="s">
        <v>1031</v>
      </c>
      <c r="B67" s="1186" t="s">
        <v>1465</v>
      </c>
      <c r="C67" s="360" t="e">
        <f ca="1">C48-C58</f>
        <v>#N/A</v>
      </c>
      <c r="D67" s="1182" t="s">
        <v>1466</v>
      </c>
      <c r="E67" s="1187"/>
      <c r="F67" s="1188"/>
      <c r="O67" s="1895" t="s">
        <v>1042</v>
      </c>
      <c r="P67" s="1886" t="s">
        <v>1564</v>
      </c>
      <c r="Q67" s="1934" t="e">
        <f ca="1">L51</f>
        <v>#N/A</v>
      </c>
      <c r="R67" s="1887" t="s">
        <v>1584</v>
      </c>
    </row>
    <row r="68" spans="1:18" s="1843" customFormat="1" ht="16.5" thickBot="1">
      <c r="A68" s="1166" t="s">
        <v>1032</v>
      </c>
      <c r="B68" s="1167" t="s">
        <v>1487</v>
      </c>
      <c r="C68" s="345" t="e">
        <f ca="1">ROUND(C67*(1-((1+F70)/(1+F68))^F69)/(F68-F70),0)</f>
        <v>#N/A</v>
      </c>
      <c r="D68" s="1184" t="s">
        <v>1471</v>
      </c>
      <c r="E68" s="1169" t="s">
        <v>1472</v>
      </c>
      <c r="F68" s="356" t="e">
        <f ca="1">F40</f>
        <v>#N/A</v>
      </c>
      <c r="O68" s="1895" t="s">
        <v>1043</v>
      </c>
      <c r="P68" s="1935" t="s">
        <v>1585</v>
      </c>
      <c r="Q68" s="1887" t="e">
        <f ca="1">ROUND(Q69-Q70*Q71,0)</f>
        <v>#N/A</v>
      </c>
      <c r="R68" s="1887" t="s">
        <v>1051</v>
      </c>
    </row>
    <row r="69" spans="1:18" s="1843" customFormat="1" ht="13.5" thickBot="1">
      <c r="A69" s="1170"/>
      <c r="B69" s="1171"/>
      <c r="C69" s="350"/>
      <c r="D69" s="1189" t="s">
        <v>1475</v>
      </c>
      <c r="E69" s="1169" t="s">
        <v>1476</v>
      </c>
      <c r="F69" s="378" t="e">
        <f ca="1">F41</f>
        <v>#N/A</v>
      </c>
      <c r="O69" s="1895" t="s">
        <v>1048</v>
      </c>
      <c r="P69" s="1935" t="s">
        <v>1586</v>
      </c>
      <c r="Q69" s="1887" t="e">
        <f ca="1">C39</f>
        <v>#N/A</v>
      </c>
      <c r="R69" s="1887" t="s">
        <v>1531</v>
      </c>
    </row>
    <row r="70" spans="1:18" s="1843" customFormat="1" ht="13.5" thickBot="1">
      <c r="A70" s="1173"/>
      <c r="B70" s="1174"/>
      <c r="C70" s="354"/>
      <c r="D70" s="1185"/>
      <c r="E70" s="1169" t="s">
        <v>1479</v>
      </c>
      <c r="F70" s="1275"/>
      <c r="O70" s="1895" t="s">
        <v>1049</v>
      </c>
      <c r="P70" s="1935" t="s">
        <v>1587</v>
      </c>
      <c r="Q70" s="1887" t="e">
        <f ca="1">C13</f>
        <v>#N/A</v>
      </c>
      <c r="R70" s="1887" t="s">
        <v>1531</v>
      </c>
    </row>
    <row r="71" spans="1:18" s="1843" customFormat="1" ht="13.5" thickBot="1">
      <c r="A71" s="1190" t="s">
        <v>1033</v>
      </c>
      <c r="B71" s="1191" t="s">
        <v>1489</v>
      </c>
      <c r="C71" s="381" t="e">
        <f ca="1">ROUND(C68*10000/F71,0)</f>
        <v>#N/A</v>
      </c>
      <c r="D71" s="1192" t="s">
        <v>1490</v>
      </c>
      <c r="E71" s="1193" t="s">
        <v>1491</v>
      </c>
      <c r="F71" s="384" t="e">
        <f ca="1">F43</f>
        <v>#N/A</v>
      </c>
      <c r="O71" s="1895" t="s">
        <v>1050</v>
      </c>
      <c r="P71" s="1935" t="s">
        <v>1588</v>
      </c>
      <c r="Q71" s="1898" t="e">
        <f ca="1">C76</f>
        <v>#N/A</v>
      </c>
      <c r="R71" s="1887"/>
    </row>
    <row r="72" spans="1:18" s="1843" customFormat="1" ht="13.5" thickBot="1">
      <c r="B72" s="795"/>
      <c r="C72" s="795"/>
      <c r="O72" s="1895" t="s">
        <v>1044</v>
      </c>
      <c r="P72" s="1886" t="s">
        <v>1566</v>
      </c>
      <c r="Q72" s="1898">
        <f>L52</f>
        <v>0</v>
      </c>
      <c r="R72" s="1887"/>
    </row>
    <row r="73" spans="1:18" ht="16.5" thickBot="1">
      <c r="A73" s="1843"/>
      <c r="B73" s="795"/>
      <c r="C73" s="795"/>
      <c r="D73" s="1843"/>
      <c r="E73" s="1843"/>
      <c r="F73" s="1843"/>
      <c r="O73" s="1895" t="s">
        <v>1045</v>
      </c>
      <c r="P73" s="1886" t="s">
        <v>1569</v>
      </c>
      <c r="Q73" s="1887" t="e">
        <f ca="1">L58</f>
        <v>#N/A</v>
      </c>
      <c r="R73" s="1887" t="s">
        <v>1570</v>
      </c>
    </row>
    <row r="74" spans="1:18" ht="13.5" thickBot="1">
      <c r="A74" s="1843"/>
      <c r="B74" s="316" t="s">
        <v>1589</v>
      </c>
      <c r="C74" s="1937"/>
      <c r="D74" s="1843"/>
      <c r="E74" s="1843"/>
      <c r="F74" s="1843"/>
      <c r="O74" s="1895" t="s">
        <v>1052</v>
      </c>
      <c r="P74" s="1886" t="str">
        <f>K59</f>
        <v>建设期及建筑物耐用年限下的土地年期修正系数Kn</v>
      </c>
      <c r="Q74" s="1887" t="e">
        <f ca="1">L59</f>
        <v>#N/A</v>
      </c>
      <c r="R74" s="1887" t="s">
        <v>1571</v>
      </c>
    </row>
    <row r="75" spans="1:18" ht="13.5" thickBot="1">
      <c r="A75" s="1843"/>
      <c r="B75" s="385" t="s">
        <v>1508</v>
      </c>
      <c r="C75" s="386" t="e">
        <f ca="1">ROUND(C13*C76,0)</f>
        <v>#N/A</v>
      </c>
      <c r="D75" s="1843"/>
      <c r="E75" s="1843"/>
      <c r="F75" s="1843"/>
      <c r="K75" s="1869"/>
      <c r="L75" s="1843"/>
      <c r="O75" s="1885" t="s">
        <v>1046</v>
      </c>
      <c r="P75" s="1886" t="s">
        <v>1551</v>
      </c>
      <c r="Q75" s="1887" t="e">
        <f ca="1">Q65+Q66</f>
        <v>#N/A</v>
      </c>
      <c r="R75" s="1887" t="s">
        <v>1047</v>
      </c>
    </row>
    <row r="76" spans="1:18">
      <c r="B76" s="387" t="s">
        <v>1509</v>
      </c>
      <c r="C76" s="388" t="e">
        <f ca="1">INDIRECT("'数据-取费表'!j"&amp;$G$1)</f>
        <v>#N/A</v>
      </c>
      <c r="I76" s="1843"/>
      <c r="J76" s="1843"/>
      <c r="K76" s="1869"/>
      <c r="L76" s="1843"/>
    </row>
    <row r="77" spans="1:18">
      <c r="B77" s="389" t="s">
        <v>1510</v>
      </c>
      <c r="C77" s="390"/>
      <c r="I77" s="1843"/>
      <c r="J77" s="1843"/>
      <c r="K77" s="1869"/>
      <c r="L77" s="1843"/>
    </row>
    <row r="78" spans="1:18">
      <c r="B78" s="313" t="s">
        <v>1511</v>
      </c>
      <c r="C78" s="391"/>
    </row>
    <row r="79" spans="1:18">
      <c r="B79" s="385" t="s">
        <v>1512</v>
      </c>
      <c r="C79" s="317" t="e">
        <f ca="1">1-C80</f>
        <v>#N/A</v>
      </c>
    </row>
    <row r="80" spans="1:18">
      <c r="B80" s="385" t="s">
        <v>1513</v>
      </c>
      <c r="C80" s="317" t="e">
        <f ca="1">ROUND(C75/C39,3)</f>
        <v>#N/A</v>
      </c>
    </row>
    <row r="81" spans="2:3">
      <c r="B81" s="313" t="s">
        <v>1514</v>
      </c>
      <c r="C81" s="281"/>
    </row>
    <row r="82" spans="2:3">
      <c r="B82" s="316" t="s">
        <v>1515</v>
      </c>
      <c r="C82" s="318" t="e">
        <f ca="1">1-C83</f>
        <v>#N/A</v>
      </c>
    </row>
    <row r="83" spans="2:3">
      <c r="B83" s="316" t="s">
        <v>1516</v>
      </c>
      <c r="C83" s="317"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1591</v>
      </c>
      <c r="B1" s="781"/>
      <c r="C1" s="1838"/>
      <c r="D1" s="1821"/>
      <c r="E1" s="1822" t="s">
        <v>1388</v>
      </c>
      <c r="F1" s="1283" t="b">
        <f>J53</f>
        <v>0</v>
      </c>
      <c r="G1" s="1837"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1592</v>
      </c>
      <c r="B2" s="1845" t="e">
        <f ca="1">ROUND(D2/10000,0)</f>
        <v>#N/A</v>
      </c>
      <c r="C2" s="1846" t="s">
        <v>1593</v>
      </c>
      <c r="D2" s="1939" t="e">
        <f ca="1">C40+J29+L46</f>
        <v>#N/A</v>
      </c>
      <c r="E2" s="1847" t="s">
        <v>1594</v>
      </c>
      <c r="F2" s="1848"/>
      <c r="G2" s="1849"/>
      <c r="H2" s="1841"/>
      <c r="I2" s="1841"/>
      <c r="J2" s="1841"/>
      <c r="K2" s="1842"/>
      <c r="L2" s="1841"/>
      <c r="M2" s="1841"/>
    </row>
    <row r="3" spans="1:37" ht="18" customHeight="1" thickBot="1">
      <c r="A3" s="1850" t="s">
        <v>1595</v>
      </c>
      <c r="B3" s="1851">
        <f ca="1">IF(ISERROR(D2/F43),0,ROUND(D2/F43,0))</f>
        <v>0</v>
      </c>
      <c r="C3" s="1846" t="s">
        <v>1596</v>
      </c>
      <c r="D3" s="1846"/>
      <c r="E3" s="1847"/>
      <c r="F3" s="1848"/>
      <c r="G3" s="1849"/>
      <c r="H3" s="743" t="s">
        <v>1590</v>
      </c>
      <c r="I3" s="1841"/>
      <c r="J3" s="1841"/>
      <c r="K3" s="1842"/>
      <c r="L3" s="1841"/>
      <c r="M3" s="1841"/>
    </row>
    <row r="4" spans="1:37" ht="18" customHeight="1">
      <c r="A4" s="339" t="s">
        <v>1597</v>
      </c>
      <c r="B4" s="340" t="s">
        <v>1598</v>
      </c>
      <c r="C4" s="340" t="s">
        <v>1599</v>
      </c>
      <c r="D4" s="340" t="s">
        <v>1600</v>
      </c>
      <c r="E4" s="341" t="s">
        <v>1601</v>
      </c>
      <c r="F4" s="342"/>
      <c r="G4" s="1852"/>
      <c r="H4" s="339" t="s">
        <v>1597</v>
      </c>
      <c r="I4" s="340" t="s">
        <v>1598</v>
      </c>
      <c r="J4" s="340" t="s">
        <v>1599</v>
      </c>
      <c r="K4" s="340" t="s">
        <v>1600</v>
      </c>
      <c r="L4" s="341" t="s">
        <v>1601</v>
      </c>
      <c r="M4" s="342"/>
    </row>
    <row r="5" spans="1:37" ht="18" customHeight="1">
      <c r="A5" s="343">
        <v>1</v>
      </c>
      <c r="B5" s="344" t="s">
        <v>1602</v>
      </c>
      <c r="C5" s="1292" t="e">
        <f ca="1">C6+C10+C12</f>
        <v>#N/A</v>
      </c>
      <c r="D5" s="1823" t="s">
        <v>1603</v>
      </c>
      <c r="E5" s="1293"/>
      <c r="F5" s="1294"/>
      <c r="G5" s="1852"/>
      <c r="H5" s="343">
        <v>1</v>
      </c>
      <c r="I5" s="344" t="s">
        <v>1602</v>
      </c>
      <c r="J5" s="1292" t="e">
        <f ca="1">J6+J10+J12</f>
        <v>#N/A</v>
      </c>
      <c r="K5" s="1823" t="s">
        <v>1603</v>
      </c>
      <c r="L5" s="1293"/>
      <c r="M5" s="1294"/>
    </row>
    <row r="6" spans="1:37" ht="18" customHeight="1">
      <c r="A6" s="1291" t="s">
        <v>1035</v>
      </c>
      <c r="B6" s="3180" t="s">
        <v>1404</v>
      </c>
      <c r="C6" s="1296" t="e">
        <f ca="1">ROUND(F6*F8*F7*(1-F9),0)</f>
        <v>#N/A</v>
      </c>
      <c r="D6" s="163" t="s">
        <v>3032</v>
      </c>
      <c r="E6" s="346" t="s">
        <v>1406</v>
      </c>
      <c r="F6" s="347" t="e">
        <f ca="1">INDIRECT("'数据-取费表'!u"&amp;$G$1)</f>
        <v>#N/A</v>
      </c>
      <c r="G6" s="1852"/>
      <c r="H6" s="1291" t="s">
        <v>1035</v>
      </c>
      <c r="I6" s="3180" t="s">
        <v>1404</v>
      </c>
      <c r="J6" s="345" t="e">
        <f ca="1">ROUND(M6*M8*M7*(1-M9),0)</f>
        <v>#N/A</v>
      </c>
      <c r="K6" s="1835" t="s">
        <v>3035</v>
      </c>
      <c r="L6" s="346" t="s">
        <v>1406</v>
      </c>
      <c r="M6" s="347" t="e">
        <f ca="1">INDIRECT("'数据-取费表'!z"&amp;$G$1)</f>
        <v>#N/A</v>
      </c>
    </row>
    <row r="7" spans="1:37" ht="18" customHeight="1">
      <c r="A7" s="1295"/>
      <c r="B7" s="3181"/>
      <c r="C7" s="1297"/>
      <c r="D7" s="351"/>
      <c r="E7" s="1298" t="s">
        <v>1407</v>
      </c>
      <c r="F7" s="347" t="e">
        <f ca="1">IF(INDIRECT("'数据-取费表'!ah"&amp;$G$1)="",INDIRECT("'数据-取费表'!k"&amp;$G$1),INDIRECT("'数据-取费表'!ah"&amp;$G$1))</f>
        <v>#N/A</v>
      </c>
      <c r="G7" s="1852"/>
      <c r="H7" s="348"/>
      <c r="I7" s="3181"/>
      <c r="J7" s="350"/>
      <c r="K7" s="351"/>
      <c r="L7" s="346" t="s">
        <v>1407</v>
      </c>
      <c r="M7" s="347" t="e">
        <f ca="1">F7</f>
        <v>#N/A</v>
      </c>
    </row>
    <row r="8" spans="1:37" ht="18" customHeight="1">
      <c r="A8" s="348"/>
      <c r="B8" s="3181"/>
      <c r="C8" s="350"/>
      <c r="D8" s="351"/>
      <c r="E8" s="346" t="s">
        <v>1408</v>
      </c>
      <c r="F8" s="347" t="e">
        <f ca="1">INDIRECT("'数据-取费表'!ai"&amp;$G$1)</f>
        <v>#N/A</v>
      </c>
      <c r="G8" s="1852"/>
      <c r="H8" s="348"/>
      <c r="I8" s="3181"/>
      <c r="J8" s="350"/>
      <c r="K8" s="351"/>
      <c r="L8" s="346" t="s">
        <v>1408</v>
      </c>
      <c r="M8" s="347" t="e">
        <f ca="1">INDIRECT("'数据-取费表'!ai"&amp;$G$1)</f>
        <v>#N/A</v>
      </c>
    </row>
    <row r="9" spans="1:37" ht="18" customHeight="1">
      <c r="A9" s="348"/>
      <c r="B9" s="3182"/>
      <c r="C9" s="350"/>
      <c r="D9" s="351"/>
      <c r="E9" s="346" t="s">
        <v>1409</v>
      </c>
      <c r="F9" s="356" t="e">
        <f ca="1">INDIRECT("'数据-取费表'!w"&amp;$G$1)</f>
        <v>#N/A</v>
      </c>
      <c r="G9" s="1852"/>
      <c r="H9" s="348"/>
      <c r="I9" s="3182"/>
      <c r="J9" s="350"/>
      <c r="K9" s="351"/>
      <c r="L9" s="357" t="s">
        <v>1409</v>
      </c>
      <c r="M9" s="358" t="e">
        <f ca="1">INDIRECT("'数据-取费表'!ab"&amp;$G$1)</f>
        <v>#N/A</v>
      </c>
    </row>
    <row r="10" spans="1:37" ht="18" customHeight="1">
      <c r="A10" s="1291" t="s">
        <v>1039</v>
      </c>
      <c r="B10" s="1824" t="s">
        <v>1410</v>
      </c>
      <c r="C10" s="360">
        <f ca="1">ROUND(IF(F10="押一",F6*F8*F7/12*F11,IF(F10="押二",F6*F8*F7/12*2*F11,IF(F10="押三",F6*F8*F7/12*3*F11,C11*F11))),0)</f>
        <v>0</v>
      </c>
      <c r="D10" s="1825" t="s">
        <v>3033</v>
      </c>
      <c r="E10" s="357" t="s">
        <v>1412</v>
      </c>
      <c r="F10" s="1366"/>
      <c r="G10" s="1852"/>
      <c r="H10" s="1291" t="s">
        <v>1039</v>
      </c>
      <c r="I10" s="1824" t="s">
        <v>1410</v>
      </c>
      <c r="J10" s="345">
        <f ca="1">ROUND(IF(M10="押一",M6*M8*M7/12*M11,IF(M10="押二",M6*M8*M7/12*2*M11,IF(M10="押三",M6*M8*M7/12*3*M11,J11*M11))),0)</f>
        <v>0</v>
      </c>
      <c r="K10" s="1836" t="s">
        <v>3034</v>
      </c>
      <c r="L10" s="357" t="s">
        <v>1412</v>
      </c>
      <c r="M10" s="1366"/>
    </row>
    <row r="11" spans="1:37" ht="18" customHeight="1">
      <c r="A11" s="352"/>
      <c r="B11" s="1826" t="s">
        <v>1604</v>
      </c>
      <c r="C11" s="1178"/>
      <c r="D11" s="351"/>
      <c r="E11" s="357" t="s">
        <v>1414</v>
      </c>
      <c r="F11" s="358">
        <f ca="1">'数据-取费表'!B39</f>
        <v>1.4999999999999999E-2</v>
      </c>
      <c r="G11" s="1852"/>
      <c r="H11" s="1299"/>
      <c r="I11" s="1826" t="s">
        <v>1605</v>
      </c>
      <c r="J11" s="1178"/>
      <c r="K11" s="747"/>
      <c r="L11" s="357" t="s">
        <v>1414</v>
      </c>
      <c r="M11" s="1057">
        <f ca="1">'数据-取费表'!B39</f>
        <v>1.4999999999999999E-2</v>
      </c>
    </row>
    <row r="12" spans="1:37" ht="18" customHeight="1" thickBot="1">
      <c r="A12" s="1333" t="s">
        <v>1075</v>
      </c>
      <c r="B12" s="1828" t="s">
        <v>1415</v>
      </c>
      <c r="C12" s="1334"/>
      <c r="D12" s="1335"/>
      <c r="E12" s="1340"/>
      <c r="F12" s="1336"/>
      <c r="G12" s="1852"/>
      <c r="H12" s="1333" t="s">
        <v>1075</v>
      </c>
      <c r="I12" s="1828" t="s">
        <v>1415</v>
      </c>
      <c r="J12" s="1334"/>
      <c r="K12" s="1348"/>
      <c r="L12" s="1340"/>
      <c r="M12" s="1349"/>
    </row>
    <row r="13" spans="1:37" ht="18" customHeight="1" thickTop="1">
      <c r="A13" s="1329">
        <v>2</v>
      </c>
      <c r="B13" s="1330" t="s">
        <v>1416</v>
      </c>
      <c r="C13" s="354" t="e">
        <f ca="1">ROUND(C29*F13,0)</f>
        <v>#N/A</v>
      </c>
      <c r="D13" s="1331" t="s">
        <v>1417</v>
      </c>
      <c r="E13" s="1331" t="s">
        <v>1418</v>
      </c>
      <c r="F13" s="1332" t="e">
        <f ca="1">INDIRECT("'数据-取费表'!y"&amp;$G$1)</f>
        <v>#N/A</v>
      </c>
      <c r="G13" s="1852"/>
      <c r="H13" s="1329">
        <v>2</v>
      </c>
      <c r="I13" s="1330" t="s">
        <v>1416</v>
      </c>
      <c r="J13" s="1290" t="e">
        <f ca="1">ROUND(J14*J15,0)</f>
        <v>#N/A</v>
      </c>
      <c r="K13" s="1337" t="s">
        <v>1417</v>
      </c>
      <c r="L13" s="1853"/>
      <c r="M13" s="1854"/>
    </row>
    <row r="14" spans="1:37" ht="18" customHeight="1">
      <c r="A14" s="1201" t="s">
        <v>1034</v>
      </c>
      <c r="B14" s="346" t="s">
        <v>1419</v>
      </c>
      <c r="C14" s="362" t="e">
        <f ca="1">ROUND(INDIRECT("'数据-取费表'!l"&amp;$G$1)*F43+'数据-取费表'!L14*INDIRECT("'数据-取费表'!S"&amp;$G$1),0)</f>
        <v>#N/A</v>
      </c>
      <c r="D14" s="1801" t="s">
        <v>1420</v>
      </c>
      <c r="E14" s="1795"/>
      <c r="F14" s="363"/>
      <c r="G14" s="1852"/>
      <c r="H14" s="1201" t="s">
        <v>1035</v>
      </c>
      <c r="I14" s="346" t="s">
        <v>1421</v>
      </c>
      <c r="J14" s="24" t="e">
        <f ca="1">C29</f>
        <v>#N/A</v>
      </c>
      <c r="K14" s="15"/>
      <c r="L14" s="981"/>
      <c r="M14" s="982"/>
    </row>
    <row r="15" spans="1:37" s="1859" customFormat="1" ht="18" customHeight="1" thickBot="1">
      <c r="A15" s="1201" t="s">
        <v>1036</v>
      </c>
      <c r="B15" s="346" t="s">
        <v>1422</v>
      </c>
      <c r="C15" s="24" t="e">
        <f ca="1">ROUND(C14*F15,0)</f>
        <v>#N/A</v>
      </c>
      <c r="D15" s="364" t="s">
        <v>1423</v>
      </c>
      <c r="E15" s="364" t="s">
        <v>1424</v>
      </c>
      <c r="F15" s="365">
        <f>'数据-取费表'!B33</f>
        <v>0.05</v>
      </c>
      <c r="G15" s="1855"/>
      <c r="H15" s="1339" t="s">
        <v>1039</v>
      </c>
      <c r="I15" s="1340" t="s">
        <v>1418</v>
      </c>
      <c r="J15" s="1349" t="e">
        <f ca="1">INDIRECT("'数据-取费表'!ad"&amp;$G$1)</f>
        <v>#N/A</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6" t="s">
        <v>1425</v>
      </c>
      <c r="C16" s="24" t="e">
        <f ca="1">ROUND(INDIRECT("'数据-取费表'!l"&amp;$G$1)*F43*F16,0)</f>
        <v>#N/A</v>
      </c>
      <c r="D16" s="346" t="s">
        <v>1423</v>
      </c>
      <c r="E16" s="346" t="s">
        <v>1424</v>
      </c>
      <c r="F16" s="366" t="e">
        <f ca="1">IF(INDIRECT("'数据-取费表'!c"&amp;$G$1)="住宅",'数据-取费表'!B34,0)</f>
        <v>#N/A</v>
      </c>
      <c r="G16" s="1852"/>
      <c r="H16" s="1329" t="s">
        <v>1030</v>
      </c>
      <c r="I16" s="1330" t="s">
        <v>1426</v>
      </c>
      <c r="J16" s="354" t="e">
        <f ca="1">ROUND(J17+J22+J23+J24,0)</f>
        <v>#N/A</v>
      </c>
      <c r="K16" s="1337" t="s">
        <v>1427</v>
      </c>
      <c r="L16" s="1338"/>
      <c r="M16" s="1294"/>
    </row>
    <row r="17" spans="1:37" s="1859" customFormat="1" ht="18" customHeight="1">
      <c r="A17" s="1201" t="s">
        <v>1391</v>
      </c>
      <c r="B17" s="346" t="s">
        <v>1428</v>
      </c>
      <c r="C17" s="24" t="e">
        <f ca="1">ROUND(F17*(F43+INDIRECT("'数据-取费表'!S"&amp;$G$1)),0)</f>
        <v>#N/A</v>
      </c>
      <c r="D17" s="346" t="s">
        <v>1429</v>
      </c>
      <c r="E17" s="346" t="s">
        <v>1430</v>
      </c>
      <c r="F17" s="26">
        <f>'数据-取费表'!B35</f>
        <v>200</v>
      </c>
      <c r="G17" s="1855"/>
      <c r="H17" s="1201" t="s">
        <v>1035</v>
      </c>
      <c r="I17" s="346" t="s">
        <v>1431</v>
      </c>
      <c r="J17" s="24" t="e">
        <f ca="1">ROUND(IF(项目基本情况!B11="自然人",J5*M17,J18+J19+J20),0)</f>
        <v>#N/A</v>
      </c>
      <c r="K17" s="1801" t="s">
        <v>1432</v>
      </c>
      <c r="L17" s="1799" t="s">
        <v>1433</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6" t="s">
        <v>1434</v>
      </c>
      <c r="C18" s="24" t="e">
        <f ca="1">ROUND(C14*F18,0)</f>
        <v>#N/A</v>
      </c>
      <c r="D18" s="346" t="s">
        <v>1423</v>
      </c>
      <c r="E18" s="346" t="s">
        <v>1424</v>
      </c>
      <c r="F18" s="366">
        <f>'数据-取费表'!B36</f>
        <v>1.4999999999999999E-2</v>
      </c>
      <c r="G18" s="1855"/>
      <c r="H18" s="1201" t="s">
        <v>1034</v>
      </c>
      <c r="I18" s="346" t="s">
        <v>1435</v>
      </c>
      <c r="J18" s="24" t="e">
        <f ca="1">ROUND(J5*M18/(1+'数据-取费表'!C42),0)</f>
        <v>#N/A</v>
      </c>
      <c r="K18" s="1799" t="s">
        <v>1436</v>
      </c>
      <c r="L18" s="346" t="s">
        <v>1424</v>
      </c>
      <c r="M18" s="366">
        <f>'数据-取费表'!B41</f>
        <v>6.2719999999999998E-2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6" t="s">
        <v>1437</v>
      </c>
      <c r="C19" s="24" t="e">
        <f ca="1">SUM(C14:C18)</f>
        <v>#N/A</v>
      </c>
      <c r="D19" s="138" t="s">
        <v>1438</v>
      </c>
      <c r="E19" s="1819"/>
      <c r="F19" s="26"/>
      <c r="G19" s="1852"/>
      <c r="H19" s="1201" t="s">
        <v>1036</v>
      </c>
      <c r="I19" s="346" t="s">
        <v>1439</v>
      </c>
      <c r="J19" s="24" t="e">
        <f ca="1">IF(K19="按租金收入计税",ROUND(J5*M19,0),ROUND(C29*M19*0.7,0))</f>
        <v>#N/A</v>
      </c>
      <c r="K19" s="1829" t="s">
        <v>1440</v>
      </c>
      <c r="L19" s="346" t="s">
        <v>1424</v>
      </c>
      <c r="M19" s="366">
        <f>IF(K19="按租金收入计税",'数据-取费表'!B51,'数据-取费表'!B50)</f>
        <v>1.2E-2</v>
      </c>
    </row>
    <row r="20" spans="1:37" s="1859" customFormat="1" ht="18" customHeight="1">
      <c r="A20" s="1201" t="s">
        <v>1039</v>
      </c>
      <c r="B20" s="346" t="s">
        <v>1441</v>
      </c>
      <c r="C20" s="24" t="e">
        <f ca="1">ROUND(C19*F20,0)</f>
        <v>#N/A</v>
      </c>
      <c r="D20" s="368" t="s">
        <v>1442</v>
      </c>
      <c r="E20" s="346" t="s">
        <v>1424</v>
      </c>
      <c r="F20" s="366">
        <f>'数据-取费表'!B37</f>
        <v>0.02</v>
      </c>
      <c r="G20" s="1855"/>
      <c r="H20" s="1201" t="s">
        <v>1390</v>
      </c>
      <c r="I20" s="163" t="s">
        <v>1443</v>
      </c>
      <c r="J20" s="25" t="e">
        <f ca="1">ROUND(M20*M21,0)</f>
        <v>#N/A</v>
      </c>
      <c r="K20" s="369" t="s">
        <v>1444</v>
      </c>
      <c r="L20" s="346" t="s">
        <v>1445</v>
      </c>
      <c r="M20" s="370">
        <f>'数据-取费表'!B52</f>
        <v>20</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6" t="s">
        <v>1446</v>
      </c>
      <c r="C21" s="24" t="s">
        <v>1</v>
      </c>
      <c r="D21" s="368" t="s">
        <v>1447</v>
      </c>
      <c r="E21" s="346" t="s">
        <v>1448</v>
      </c>
      <c r="F21" s="366">
        <f>'数据-取费表'!B38</f>
        <v>0.03</v>
      </c>
      <c r="G21" s="1855"/>
      <c r="H21" s="371"/>
      <c r="I21" s="355"/>
      <c r="J21" s="29"/>
      <c r="K21" s="372"/>
      <c r="L21" s="346" t="s">
        <v>1449</v>
      </c>
      <c r="M21" s="347" t="e">
        <f ca="1">INDIRECT("'数据-取费表'!r"&amp;$G$1)</f>
        <v>#N/A</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1819"/>
      <c r="F22" s="26"/>
      <c r="G22" s="1852"/>
      <c r="H22" s="1201" t="s">
        <v>1039</v>
      </c>
      <c r="I22" s="346" t="s">
        <v>1451</v>
      </c>
      <c r="J22" s="24" t="e">
        <f ca="1">ROUND(J14*M22,0)</f>
        <v>#N/A</v>
      </c>
      <c r="K22" s="1799" t="s">
        <v>1452</v>
      </c>
      <c r="L22" s="346" t="s">
        <v>1424</v>
      </c>
      <c r="M22" s="373" t="e">
        <f ca="1">INDIRECT("'数据-取费表'!Ak"&amp;$G$1)</f>
        <v>#N/A</v>
      </c>
    </row>
    <row r="23" spans="1:37" s="1859" customFormat="1" ht="18" customHeight="1">
      <c r="A23" s="1201" t="s">
        <v>1034</v>
      </c>
      <c r="B23" s="346" t="s">
        <v>1453</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1454</v>
      </c>
      <c r="F23" s="370">
        <f>'数据-取费表'!B20</f>
        <v>2</v>
      </c>
      <c r="G23" s="1855"/>
      <c r="H23" s="1201" t="s">
        <v>1075</v>
      </c>
      <c r="I23" s="346" t="s">
        <v>1455</v>
      </c>
      <c r="J23" s="24" t="e">
        <f ca="1">ROUND(J13*M23,0)</f>
        <v>#N/A</v>
      </c>
      <c r="K23" s="1799" t="s">
        <v>1456</v>
      </c>
      <c r="L23" s="346" t="s">
        <v>1457</v>
      </c>
      <c r="M23" s="375" t="e">
        <f ca="1">INDIRECT("'数据-取费表'!Al"&amp;$G$1)</f>
        <v>#N/A</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1458</v>
      </c>
      <c r="B24" s="346" t="s">
        <v>1459</v>
      </c>
      <c r="C24" s="24">
        <f ca="1">ROUND(IF('数据-取费表'!B22&lt;=1,F21*F24*F23/2,F21*(POWER((1+F24),F23/2)-1)),4)</f>
        <v>1.4E-3</v>
      </c>
      <c r="D24" s="374" t="str">
        <f>IF(F23&lt;=1,"销售费用×利率×(建设周期÷2)","销售费用×((1+利率)^(建设周期÷2)-1)")</f>
        <v>销售费用×((1+利率)^(建设周期÷2)-1)</v>
      </c>
      <c r="E24" s="346" t="s">
        <v>1460</v>
      </c>
      <c r="F24" s="376">
        <f ca="1">'数据-取费表'!B40</f>
        <v>4.7500000000000001E-2</v>
      </c>
      <c r="G24" s="1855"/>
      <c r="H24" s="1339" t="s">
        <v>1394</v>
      </c>
      <c r="I24" s="1340" t="s">
        <v>1441</v>
      </c>
      <c r="J24" s="1341" t="e">
        <f ca="1">ROUND(J5*M24,0)</f>
        <v>#N/A</v>
      </c>
      <c r="K24" s="1342" t="s">
        <v>1461</v>
      </c>
      <c r="L24" s="1340" t="s">
        <v>1457</v>
      </c>
      <c r="M24" s="1336" t="e">
        <f ca="1">INDIRECT("'数据-取费表'!Am"&amp;$G$1)</f>
        <v>#N/A</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1" t="s">
        <v>1462</v>
      </c>
      <c r="B25" s="346" t="s">
        <v>1463</v>
      </c>
      <c r="C25" s="24"/>
      <c r="D25" s="138" t="s">
        <v>1464</v>
      </c>
      <c r="E25" s="1819"/>
      <c r="F25" s="26"/>
      <c r="G25" s="1852"/>
      <c r="H25" s="1329" t="s">
        <v>1031</v>
      </c>
      <c r="I25" s="1344" t="s">
        <v>1465</v>
      </c>
      <c r="J25" s="354" t="e">
        <f ca="1">J5-J16</f>
        <v>#N/A</v>
      </c>
      <c r="K25" s="1345" t="s">
        <v>1466</v>
      </c>
      <c r="L25" s="1346"/>
      <c r="M25" s="1347"/>
    </row>
    <row r="26" spans="1:37" ht="18" customHeight="1">
      <c r="A26" s="1201" t="s">
        <v>1034</v>
      </c>
      <c r="B26" s="346" t="s">
        <v>1467</v>
      </c>
      <c r="C26" s="24" t="e">
        <f ca="1">ROUND((C19+C20)*F26,0)</f>
        <v>#N/A</v>
      </c>
      <c r="D26" s="368" t="s">
        <v>1468</v>
      </c>
      <c r="E26" s="357" t="s">
        <v>1469</v>
      </c>
      <c r="F26" s="356" t="e">
        <f ca="1">INDIRECT("'数据-取费表'!q"&amp;$G$1)</f>
        <v>#N/A</v>
      </c>
      <c r="G26" s="1852"/>
      <c r="H26" s="343" t="s">
        <v>1032</v>
      </c>
      <c r="I26" s="344" t="s">
        <v>1470</v>
      </c>
      <c r="J26" s="345" t="e">
        <f ca="1">IF(J5&lt;&gt;0,ROUND(J25*(1-((1+M28)/(1+M26))^M27)/(M26-M28),0),0)</f>
        <v>#N/A</v>
      </c>
      <c r="K26" s="369" t="s">
        <v>1471</v>
      </c>
      <c r="L26" s="346" t="s">
        <v>1472</v>
      </c>
      <c r="M26" s="356" t="e">
        <f ca="1">INDIRECT("'数据-取费表'!I"&amp;$G$1)</f>
        <v>#N/A</v>
      </c>
    </row>
    <row r="27" spans="1:37" ht="18" customHeight="1">
      <c r="A27" s="1201" t="s">
        <v>1036</v>
      </c>
      <c r="B27" s="346" t="s">
        <v>1473</v>
      </c>
      <c r="C27" s="24" t="e">
        <f ca="1">ROUND(F21*F26,4)</f>
        <v>#N/A</v>
      </c>
      <c r="D27" s="368" t="s">
        <v>1474</v>
      </c>
      <c r="E27" s="364"/>
      <c r="F27" s="365"/>
      <c r="G27" s="1852"/>
      <c r="H27" s="348"/>
      <c r="I27" s="349"/>
      <c r="J27" s="350"/>
      <c r="K27" s="377" t="s">
        <v>1475</v>
      </c>
      <c r="L27" s="346" t="s">
        <v>1476</v>
      </c>
      <c r="M27" s="378" t="e">
        <f ca="1">INDIRECT("'数据-取费表'!ag"&amp;$G$1)</f>
        <v>#N/A</v>
      </c>
    </row>
    <row r="28" spans="1:37" s="1859" customFormat="1" ht="18" customHeight="1">
      <c r="A28" s="1201" t="s">
        <v>1037</v>
      </c>
      <c r="B28" s="346" t="s">
        <v>1477</v>
      </c>
      <c r="C28" s="24">
        <f>ROUND(F28/(1+'数据-取费表'!C42),4)</f>
        <v>5.9400000000000001E-2</v>
      </c>
      <c r="D28" s="368" t="s">
        <v>1478</v>
      </c>
      <c r="E28" s="346" t="s">
        <v>1424</v>
      </c>
      <c r="F28" s="366">
        <f>'数据-取费表'!B41</f>
        <v>6.2719999999999998E-2</v>
      </c>
      <c r="G28" s="1855"/>
      <c r="H28" s="352"/>
      <c r="I28" s="353"/>
      <c r="J28" s="354"/>
      <c r="K28" s="372"/>
      <c r="L28" s="346" t="s">
        <v>1479</v>
      </c>
      <c r="M28" s="356" t="e">
        <f ca="1">INDIRECT("'数据-取费表'!aa"&amp;$G$1)</f>
        <v>#N/A</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1480</v>
      </c>
      <c r="C29" s="1341" t="e">
        <f ca="1">ROUND((C19+C20+C23+C26)/(1-F21-C24-C27-C28),0)</f>
        <v>#N/A</v>
      </c>
      <c r="D29" s="1342"/>
      <c r="E29" s="1340"/>
      <c r="F29" s="1343"/>
      <c r="G29" s="1855"/>
      <c r="H29" s="379" t="s">
        <v>1033</v>
      </c>
      <c r="I29" s="380" t="s">
        <v>1481</v>
      </c>
      <c r="J29" s="381" t="e">
        <f ca="1">ROUND(J26/(1+F40)^F41,0)</f>
        <v>#N/A</v>
      </c>
      <c r="K29" s="382" t="s">
        <v>1482</v>
      </c>
      <c r="L29" s="383"/>
      <c r="M29" s="384" t="e">
        <f ca="1">INDIRECT("'数据-取费表'!k"&amp;$G$1)</f>
        <v>#N/A</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1426</v>
      </c>
      <c r="C30" s="354" t="e">
        <f ca="1">ROUND(C31+C36+C37+C38,0)</f>
        <v>#N/A</v>
      </c>
      <c r="D30" s="1337" t="s">
        <v>1427</v>
      </c>
      <c r="E30" s="1338"/>
      <c r="F30" s="1294"/>
      <c r="G30" s="1852"/>
      <c r="H30" s="744"/>
      <c r="I30" s="745"/>
      <c r="J30" s="746"/>
      <c r="K30" s="747"/>
      <c r="L30" s="748"/>
      <c r="M30" s="749"/>
    </row>
    <row r="31" spans="1:37" ht="18" customHeight="1">
      <c r="A31" s="1201" t="s">
        <v>1035</v>
      </c>
      <c r="B31" s="346" t="s">
        <v>1431</v>
      </c>
      <c r="C31" s="24" t="e">
        <f ca="1">ROUND(IF(项目基本情况!B11="自然人",C5*F31,C32+C33+C34),0)</f>
        <v>#N/A</v>
      </c>
      <c r="D31" s="1801" t="s">
        <v>1432</v>
      </c>
      <c r="E31" s="1799" t="s">
        <v>1483</v>
      </c>
      <c r="F31" s="367" t="str">
        <f ca="1">IF(项目基本情况!B11="企业","",IF(INDIRECT("'数据-取费表'!c"&amp;$G$1)="住宅",5%,IF(F6*F7*F8/12/(1+'数据-取费表'!C42)&gt;20000,12%,7%)))</f>
        <v/>
      </c>
      <c r="G31" s="1852"/>
      <c r="H31" s="744"/>
      <c r="I31" s="745"/>
      <c r="J31" s="746"/>
      <c r="K31" s="747"/>
      <c r="L31" s="748"/>
      <c r="M31" s="749"/>
    </row>
    <row r="32" spans="1:37" ht="18" customHeight="1">
      <c r="A32" s="1201" t="s">
        <v>1034</v>
      </c>
      <c r="B32" s="346" t="s">
        <v>1435</v>
      </c>
      <c r="C32" s="24" t="e">
        <f ca="1">IF(项目基本情况!B11="自然人","——",ROUND(C5*F32/(1+'数据-取费表'!C42),0))</f>
        <v>#N/A</v>
      </c>
      <c r="D32" s="1799" t="s">
        <v>1436</v>
      </c>
      <c r="E32" s="346" t="s">
        <v>1424</v>
      </c>
      <c r="F32" s="376">
        <f>'数据-取费表'!B41</f>
        <v>6.2719999999999998E-2</v>
      </c>
      <c r="G32" s="1852"/>
      <c r="H32" s="744"/>
      <c r="I32" s="745"/>
      <c r="J32" s="746"/>
      <c r="K32" s="747"/>
      <c r="L32" s="748"/>
      <c r="M32" s="749"/>
    </row>
    <row r="33" spans="1:18" ht="18" customHeight="1">
      <c r="A33" s="1201" t="s">
        <v>1036</v>
      </c>
      <c r="B33" s="346" t="s">
        <v>1439</v>
      </c>
      <c r="C33" s="24" t="e">
        <f ca="1">IF(项目基本情况!B11="自然人","——",IF(D33="按租金收入计税",ROUND(C5*F33,0),IF(D33="按房产原值计税",ROUND(C29*F33*0.7,0),INDIRECT("'数据-取费表'!Aj"&amp;$G$1))))</f>
        <v>#N/A</v>
      </c>
      <c r="D33" s="1829" t="s">
        <v>1440</v>
      </c>
      <c r="E33" s="346" t="s">
        <v>1424</v>
      </c>
      <c r="F33" s="366">
        <f>IF(D33="按票据","——",IF(D33="按租金收入计税",'数据-取费表'!B51,'数据-取费表'!B50))</f>
        <v>1.2E-2</v>
      </c>
      <c r="G33" s="1852"/>
      <c r="H33" s="1860"/>
      <c r="I33" s="1861"/>
      <c r="J33" s="1862"/>
      <c r="K33" s="1863"/>
      <c r="L33" s="1860"/>
      <c r="M33" s="1860"/>
    </row>
    <row r="34" spans="1:18" ht="18" customHeight="1">
      <c r="A34" s="1291" t="s">
        <v>1390</v>
      </c>
      <c r="B34" s="163" t="s">
        <v>1443</v>
      </c>
      <c r="C34" s="25" t="e">
        <f ca="1">IF(项目基本情况!B11="自然人","——",ROUND(F34*F35,))</f>
        <v>#N/A</v>
      </c>
      <c r="D34" s="369" t="s">
        <v>1444</v>
      </c>
      <c r="E34" s="346" t="s">
        <v>1445</v>
      </c>
      <c r="F34" s="370">
        <f>'数据-取费表'!B52</f>
        <v>20</v>
      </c>
      <c r="G34" s="1852"/>
      <c r="H34" s="744"/>
      <c r="I34" s="1861"/>
      <c r="J34" s="1862"/>
      <c r="K34" s="1864"/>
      <c r="L34" s="1865"/>
      <c r="M34" s="1865"/>
    </row>
    <row r="35" spans="1:18" ht="18" customHeight="1">
      <c r="A35" s="1353"/>
      <c r="B35" s="1351"/>
      <c r="C35" s="29"/>
      <c r="D35" s="372"/>
      <c r="E35" s="346" t="s">
        <v>1449</v>
      </c>
      <c r="F35" s="347" t="e">
        <f ca="1">INDIRECT("'数据-取费表'!r"&amp;$G$1)</f>
        <v>#N/A</v>
      </c>
      <c r="G35" s="1852"/>
      <c r="H35" s="744"/>
      <c r="I35" s="1861"/>
      <c r="J35" s="1862"/>
      <c r="K35" s="1863"/>
      <c r="L35" s="1860"/>
      <c r="M35" s="1860"/>
    </row>
    <row r="36" spans="1:18" ht="18" customHeight="1">
      <c r="A36" s="1352" t="s">
        <v>1039</v>
      </c>
      <c r="B36" s="346" t="s">
        <v>1451</v>
      </c>
      <c r="C36" s="24" t="e">
        <f ca="1">ROUND(C29*F36,0)</f>
        <v>#N/A</v>
      </c>
      <c r="D36" s="1799" t="s">
        <v>1484</v>
      </c>
      <c r="E36" s="346" t="s">
        <v>1424</v>
      </c>
      <c r="F36" s="373" t="e">
        <f ca="1">INDIRECT("'数据-取费表'!Ak"&amp;$G$1)</f>
        <v>#N/A</v>
      </c>
      <c r="G36" s="1852"/>
      <c r="H36" s="1860"/>
      <c r="I36" s="1861"/>
      <c r="J36" s="1862"/>
      <c r="K36" s="750"/>
      <c r="L36" s="1860"/>
      <c r="M36" s="1860"/>
    </row>
    <row r="37" spans="1:18" ht="18" customHeight="1">
      <c r="A37" s="1201" t="s">
        <v>1075</v>
      </c>
      <c r="B37" s="346" t="s">
        <v>1455</v>
      </c>
      <c r="C37" s="24" t="e">
        <f ca="1">ROUND(C13*F37,0)</f>
        <v>#N/A</v>
      </c>
      <c r="D37" s="1799" t="s">
        <v>1456</v>
      </c>
      <c r="E37" s="346" t="s">
        <v>1457</v>
      </c>
      <c r="F37" s="375" t="e">
        <f ca="1">INDIRECT("'数据-取费表'!Al"&amp;$G$1)</f>
        <v>#N/A</v>
      </c>
      <c r="G37" s="1852"/>
      <c r="H37" s="1860"/>
      <c r="I37" s="1861"/>
      <c r="J37" s="1862"/>
      <c r="K37" s="750"/>
      <c r="L37" s="1860"/>
      <c r="M37" s="1860"/>
    </row>
    <row r="38" spans="1:18" ht="18" customHeight="1" thickBot="1">
      <c r="A38" s="1339" t="s">
        <v>1394</v>
      </c>
      <c r="B38" s="1340" t="s">
        <v>1441</v>
      </c>
      <c r="C38" s="1341" t="e">
        <f ca="1">ROUND(C5*F38,1)</f>
        <v>#N/A</v>
      </c>
      <c r="D38" s="1342" t="s">
        <v>1461</v>
      </c>
      <c r="E38" s="1340" t="s">
        <v>1457</v>
      </c>
      <c r="F38" s="1336" t="e">
        <f ca="1">INDIRECT("'数据-取费表'!Am"&amp;$G$1)</f>
        <v>#N/A</v>
      </c>
      <c r="G38" s="1852"/>
      <c r="H38" s="1860"/>
      <c r="I38" s="1861"/>
      <c r="J38" s="1862"/>
      <c r="K38" s="1866"/>
      <c r="L38" s="1860"/>
      <c r="M38" s="1860"/>
    </row>
    <row r="39" spans="1:18" ht="24.6" customHeight="1" thickTop="1">
      <c r="A39" s="1329" t="s">
        <v>1031</v>
      </c>
      <c r="B39" s="1344" t="s">
        <v>1485</v>
      </c>
      <c r="C39" s="354" t="e">
        <f ca="1">C5-C30</f>
        <v>#N/A</v>
      </c>
      <c r="D39" s="1345" t="s">
        <v>1486</v>
      </c>
      <c r="E39" s="1346"/>
      <c r="F39" s="1347"/>
      <c r="G39" s="1852"/>
      <c r="H39" s="1860"/>
      <c r="I39" s="1861"/>
      <c r="J39" s="1862"/>
      <c r="K39" s="1866"/>
      <c r="L39" s="1860"/>
      <c r="M39" s="1860"/>
    </row>
    <row r="40" spans="1:18" ht="18" customHeight="1">
      <c r="A40" s="343" t="s">
        <v>1032</v>
      </c>
      <c r="B40" s="344" t="s">
        <v>1487</v>
      </c>
      <c r="C40" s="345" t="e">
        <f ca="1">ROUND(C39*(1-((1+F42)/(1+F40))^F41)/(F40-F42),0)</f>
        <v>#N/A</v>
      </c>
      <c r="D40" s="369" t="s">
        <v>1471</v>
      </c>
      <c r="E40" s="346" t="s">
        <v>1472</v>
      </c>
      <c r="F40" s="356" t="e">
        <f ca="1">INDIRECT("'数据-取费表'!I"&amp;$G$1)</f>
        <v>#N/A</v>
      </c>
      <c r="G40" s="1852"/>
      <c r="H40" s="1840"/>
      <c r="I40" s="1861"/>
      <c r="J40" s="1862"/>
      <c r="K40" s="1866"/>
      <c r="L40" s="1840"/>
      <c r="M40" s="1840"/>
    </row>
    <row r="41" spans="1:18" ht="18" customHeight="1">
      <c r="A41" s="348"/>
      <c r="B41" s="349"/>
      <c r="C41" s="350"/>
      <c r="D41" s="377" t="s">
        <v>1488</v>
      </c>
      <c r="E41" s="346" t="s">
        <v>1476</v>
      </c>
      <c r="F41" s="378" t="e">
        <f ca="1">IF(INDIRECT("'数据-取费表'!af"&amp;$G$1)=0,INDIRECT("'数据-取费表'!ae"&amp;$G$1),INDIRECT("'数据-取费表'!af"&amp;$G$1))</f>
        <v>#N/A</v>
      </c>
      <c r="G41" s="1852"/>
      <c r="H41" s="731"/>
      <c r="I41" s="1861"/>
      <c r="J41" s="1862"/>
      <c r="K41" s="750"/>
      <c r="L41" s="731"/>
      <c r="M41" s="731"/>
    </row>
    <row r="42" spans="1:18" ht="18" customHeight="1">
      <c r="A42" s="352"/>
      <c r="B42" s="353"/>
      <c r="C42" s="354"/>
      <c r="D42" s="372"/>
      <c r="E42" s="346" t="s">
        <v>1479</v>
      </c>
      <c r="F42" s="356" t="e">
        <f ca="1">INDIRECT("'数据-取费表'!v"&amp;$G$1)</f>
        <v>#N/A</v>
      </c>
      <c r="G42" s="1852"/>
      <c r="H42" s="731"/>
      <c r="I42" s="1861"/>
      <c r="J42" s="1862"/>
      <c r="K42" s="750"/>
      <c r="L42" s="731"/>
      <c r="M42" s="731"/>
    </row>
    <row r="43" spans="1:18" ht="18" customHeight="1" thickBot="1">
      <c r="A43" s="379" t="s">
        <v>1033</v>
      </c>
      <c r="B43" s="380" t="s">
        <v>1489</v>
      </c>
      <c r="C43" s="381" t="e">
        <f ca="1">ROUND(C40/F43,0)</f>
        <v>#N/A</v>
      </c>
      <c r="D43" s="382" t="s">
        <v>1490</v>
      </c>
      <c r="E43" s="383" t="s">
        <v>1491</v>
      </c>
      <c r="F43" s="384" t="e">
        <f ca="1">INDIRECT("'数据-取费表'!k"&amp;$G$1)</f>
        <v>#N/A</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940" t="e">
        <f ca="1">C68-C40</f>
        <v>#N/A</v>
      </c>
      <c r="D45" s="1941" t="s">
        <v>1606</v>
      </c>
      <c r="E45" s="1867"/>
      <c r="F45" s="1867"/>
      <c r="O45" s="1870" t="s">
        <v>1521</v>
      </c>
      <c r="P45" s="1840"/>
      <c r="Q45" s="1840"/>
      <c r="R45" s="1840"/>
    </row>
    <row r="46" spans="1:18" s="1843" customFormat="1" ht="13.5" thickBot="1">
      <c r="A46" s="1871" t="s">
        <v>1522</v>
      </c>
      <c r="C46" s="1872" t="e">
        <f ca="1">ROUND(C45/10000,0)</f>
        <v>#N/A</v>
      </c>
      <c r="D46" s="1873" t="str">
        <f>C2</f>
        <v>万元</v>
      </c>
      <c r="I46" s="1874" t="s">
        <v>1523</v>
      </c>
      <c r="J46" s="1875"/>
      <c r="K46" s="1876"/>
      <c r="L46" s="1877" t="e">
        <f ca="1">IF(M47="住宅",0,IF(L48&gt;J51,L60,J60))</f>
        <v>#N/A</v>
      </c>
      <c r="O46" s="1878" t="s">
        <v>1524</v>
      </c>
      <c r="P46" s="1879" t="s">
        <v>1525</v>
      </c>
      <c r="Q46" s="1880" t="s">
        <v>1526</v>
      </c>
      <c r="R46" s="1880" t="s">
        <v>1527</v>
      </c>
    </row>
    <row r="47" spans="1:18" s="1843" customFormat="1" ht="13.5" thickBot="1">
      <c r="A47" s="1165" t="s">
        <v>1397</v>
      </c>
      <c r="B47" s="1197" t="s">
        <v>1398</v>
      </c>
      <c r="C47" s="1197" t="s">
        <v>1399</v>
      </c>
      <c r="D47" s="1197" t="s">
        <v>1400</v>
      </c>
      <c r="E47" s="1279" t="s">
        <v>1401</v>
      </c>
      <c r="F47" s="1280"/>
      <c r="G47" s="791"/>
      <c r="I47" s="1881" t="s">
        <v>1528</v>
      </c>
      <c r="J47" s="1882"/>
      <c r="K47" s="1883" t="s">
        <v>1529</v>
      </c>
      <c r="L47" s="1884" t="e">
        <f ca="1">INDIRECT("'数据-取费表'!d"&amp;$G$1)</f>
        <v>#N/A</v>
      </c>
      <c r="M47" s="1839" t="str">
        <f>IF(ISNUMBER(FIND("住宅",C1)),"住宅","非住宅")</f>
        <v>非住宅</v>
      </c>
      <c r="O47" s="1885" t="s">
        <v>1040</v>
      </c>
      <c r="P47" s="1886" t="s">
        <v>1530</v>
      </c>
      <c r="Q47" s="1887" t="e">
        <f ca="1">C40+J29</f>
        <v>#N/A</v>
      </c>
      <c r="R47" s="1887" t="s">
        <v>1531</v>
      </c>
    </row>
    <row r="48" spans="1:18" s="1843" customFormat="1" ht="28.5" thickBot="1">
      <c r="A48" s="1360" t="s">
        <v>1135</v>
      </c>
      <c r="B48" s="344" t="s">
        <v>1402</v>
      </c>
      <c r="C48" s="1818" t="e">
        <f ca="1">C49+C53+C55</f>
        <v>#N/A</v>
      </c>
      <c r="D48" s="1362"/>
      <c r="E48" s="1363"/>
      <c r="F48" s="1181"/>
      <c r="G48" s="791"/>
      <c r="H48" s="792"/>
      <c r="I48" s="1888" t="s">
        <v>1532</v>
      </c>
      <c r="J48" s="1889"/>
      <c r="K48" s="1890" t="s">
        <v>1533</v>
      </c>
      <c r="L48" s="1891" t="e">
        <f ca="1">INDIRECT("'数据-取费表'!f"&amp;$G$1)</f>
        <v>#N/A</v>
      </c>
      <c r="O48" s="1885" t="s">
        <v>1041</v>
      </c>
      <c r="P48" s="1886" t="s">
        <v>1534</v>
      </c>
      <c r="Q48" s="1887" t="e">
        <f ca="1">J60</f>
        <v>#N/A</v>
      </c>
      <c r="R48" s="1887" t="s">
        <v>1535</v>
      </c>
    </row>
    <row r="49" spans="1:18" s="1843" customFormat="1" ht="13.5" thickBot="1">
      <c r="A49" s="1194" t="s">
        <v>1136</v>
      </c>
      <c r="B49" s="1830" t="s">
        <v>1492</v>
      </c>
      <c r="C49" s="1364" t="e">
        <f ca="1">ROUND(F49*F51*F50*(1-F52),0)</f>
        <v>#N/A</v>
      </c>
      <c r="D49" s="1276" t="s">
        <v>1405</v>
      </c>
      <c r="E49" s="1831" t="s">
        <v>1493</v>
      </c>
      <c r="F49" s="1281"/>
      <c r="G49" s="1892"/>
      <c r="H49" s="792"/>
      <c r="I49" s="1888" t="s">
        <v>1536</v>
      </c>
      <c r="J49" s="1893"/>
      <c r="K49" s="1890" t="s">
        <v>1537</v>
      </c>
      <c r="L49" s="1894"/>
      <c r="O49" s="1895" t="s">
        <v>1042</v>
      </c>
      <c r="P49" s="1886" t="s">
        <v>1538</v>
      </c>
      <c r="Q49" s="1887" t="e">
        <f ca="1">C29</f>
        <v>#N/A</v>
      </c>
      <c r="R49" s="1887" t="s">
        <v>1531</v>
      </c>
    </row>
    <row r="50" spans="1:18" s="1843" customFormat="1" ht="13.5" thickBot="1">
      <c r="A50" s="1195"/>
      <c r="B50" s="1198"/>
      <c r="C50" s="1199"/>
      <c r="D50" s="1172"/>
      <c r="E50" s="1277" t="s">
        <v>1407</v>
      </c>
      <c r="F50" s="1278" t="e">
        <f ca="1">F7</f>
        <v>#N/A</v>
      </c>
      <c r="H50" s="792"/>
      <c r="I50" s="1888" t="s">
        <v>1539</v>
      </c>
      <c r="J50" s="1896">
        <f>SUMPRODUCT((I63:I65=J47)*(J62:L62=J48)*(J63:L65))</f>
        <v>0</v>
      </c>
      <c r="K50" s="1890" t="s">
        <v>1540</v>
      </c>
      <c r="L50" s="1894"/>
      <c r="M50" s="1897"/>
      <c r="O50" s="1895" t="s">
        <v>1043</v>
      </c>
      <c r="P50" s="1886" t="s">
        <v>1541</v>
      </c>
      <c r="Q50" s="1898" t="e">
        <f ca="1">J58</f>
        <v>#N/A</v>
      </c>
      <c r="R50" s="1887"/>
    </row>
    <row r="51" spans="1:18" s="1843" customFormat="1" ht="13.5" thickBot="1">
      <c r="A51" s="1196"/>
      <c r="B51" s="1198"/>
      <c r="C51" s="1199"/>
      <c r="D51" s="1172"/>
      <c r="E51" s="1200" t="s">
        <v>1408</v>
      </c>
      <c r="F51" s="347" t="e">
        <f ca="1">F8</f>
        <v>#N/A</v>
      </c>
      <c r="I51" s="1899" t="s">
        <v>1542</v>
      </c>
      <c r="J51" s="1900">
        <f>IF(J49="",J50,J49+J50-YEAR('数据-取费表'!B2))</f>
        <v>0</v>
      </c>
      <c r="K51" s="1901" t="s">
        <v>1543</v>
      </c>
      <c r="L51" s="1902" t="e">
        <f ca="1">ROUND(-PV(INDIRECT("'数据-取费表'!h"&amp;$G$1),L48,(C39-C13*C76),0),0)</f>
        <v>#N/A</v>
      </c>
      <c r="M51" s="1903"/>
      <c r="O51" s="1895" t="s">
        <v>1044</v>
      </c>
      <c r="P51" s="1886" t="s">
        <v>1544</v>
      </c>
      <c r="Q51" s="1898">
        <f>J52</f>
        <v>0</v>
      </c>
      <c r="R51" s="1887"/>
    </row>
    <row r="52" spans="1:18" s="1843" customFormat="1" ht="13.5" thickBot="1">
      <c r="A52" s="1196"/>
      <c r="B52" s="1198"/>
      <c r="C52" s="1199"/>
      <c r="D52" s="1172"/>
      <c r="E52" s="1200" t="s">
        <v>1409</v>
      </c>
      <c r="F52" s="1275"/>
      <c r="I52" s="1904" t="s">
        <v>1545</v>
      </c>
      <c r="J52" s="1905"/>
      <c r="K52" s="1904" t="s">
        <v>1546</v>
      </c>
      <c r="L52" s="1905"/>
      <c r="O52" s="1895" t="s">
        <v>1045</v>
      </c>
      <c r="P52" s="1886" t="s">
        <v>1547</v>
      </c>
      <c r="Q52" s="1887" t="b">
        <f>J53</f>
        <v>0</v>
      </c>
      <c r="R52" s="1887" t="s">
        <v>1548</v>
      </c>
    </row>
    <row r="53" spans="1:18" s="1843" customFormat="1" ht="30.75" customHeight="1" thickBot="1">
      <c r="A53" s="1361" t="s">
        <v>1137</v>
      </c>
      <c r="B53" s="368" t="s">
        <v>1410</v>
      </c>
      <c r="C53" s="360">
        <f ca="1">ROUND(IF(F53="押一",F49*F51*F50/12*F11,IF(F53="押二",F49*F51*F50/12*2*F11,IF(F53="押三",F49*F51*F50/12*3*F11,C54*F11))),0)</f>
        <v>0</v>
      </c>
      <c r="D53" s="1825" t="s">
        <v>1411</v>
      </c>
      <c r="E53" s="357" t="s">
        <v>1412</v>
      </c>
      <c r="F53" s="1366"/>
      <c r="I53" s="1906" t="s">
        <v>1549</v>
      </c>
      <c r="J53" s="1907" t="b">
        <f>IF(M47="住宅",J51,IF(D1="——",MIN(J51,L48),IF(D1="在建（套用方法）",MIN(J51,L48-'数据-取费表'!B24),IF(D1="土地（套用方法）",MIN(J51,L48-'数据-取费表'!B20)))))</f>
        <v>0</v>
      </c>
      <c r="K53" s="3178" t="s">
        <v>1550</v>
      </c>
      <c r="L53" s="3179"/>
      <c r="O53" s="1885" t="s">
        <v>1046</v>
      </c>
      <c r="P53" s="1886" t="s">
        <v>1551</v>
      </c>
      <c r="Q53" s="1887" t="e">
        <f ca="1">Q47+Q48</f>
        <v>#N/A</v>
      </c>
      <c r="R53" s="1887" t="s">
        <v>1047</v>
      </c>
    </row>
    <row r="54" spans="1:18" s="1843" customFormat="1" ht="13.5" thickBot="1">
      <c r="A54" s="1194"/>
      <c r="B54" s="1942" t="s">
        <v>1605</v>
      </c>
      <c r="C54" s="1178"/>
      <c r="D54" s="1825"/>
      <c r="E54" s="1833"/>
      <c r="F54" s="1908"/>
      <c r="I54" s="1909"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0"/>
      <c r="K54" s="1910"/>
      <c r="L54" s="1910"/>
      <c r="M54" s="1892"/>
      <c r="O54" s="1870" t="s">
        <v>1552</v>
      </c>
      <c r="P54" s="1840"/>
      <c r="Q54" s="1840"/>
      <c r="R54" s="1840"/>
    </row>
    <row r="55" spans="1:18" s="1843" customFormat="1" ht="13.5" thickBot="1">
      <c r="A55" s="1333" t="s">
        <v>1075</v>
      </c>
      <c r="B55" s="1828" t="s">
        <v>1415</v>
      </c>
      <c r="C55" s="1334"/>
      <c r="D55" s="1825"/>
      <c r="E55" s="1833"/>
      <c r="F55" s="1908"/>
      <c r="I55" s="1911" t="s">
        <v>1553</v>
      </c>
      <c r="J55" s="1912" t="e">
        <f ca="1">ROUND(IF(J47="钢混",J57/J50,1-(1-2%)*(J50-J57)/J50),3)</f>
        <v>#N/A</v>
      </c>
      <c r="K55" s="1913" t="s">
        <v>1554</v>
      </c>
      <c r="L55" s="1914"/>
      <c r="O55" s="1878" t="s">
        <v>1524</v>
      </c>
      <c r="P55" s="1879" t="s">
        <v>1525</v>
      </c>
      <c r="Q55" s="1880" t="s">
        <v>1526</v>
      </c>
      <c r="R55" s="1880" t="s">
        <v>1527</v>
      </c>
    </row>
    <row r="56" spans="1:18" s="1843" customFormat="1" ht="36" customHeight="1" thickTop="1" thickBot="1">
      <c r="A56" s="1176">
        <v>2</v>
      </c>
      <c r="B56" s="1177" t="s">
        <v>1416</v>
      </c>
      <c r="C56" s="275" t="e">
        <f ca="1">C13</f>
        <v>#N/A</v>
      </c>
      <c r="D56" s="1915"/>
      <c r="E56" s="1916"/>
      <c r="F56" s="1908"/>
      <c r="I56" s="1917" t="s">
        <v>1556</v>
      </c>
      <c r="J56" s="1918"/>
      <c r="K56" s="1888" t="s">
        <v>1557</v>
      </c>
      <c r="L56" s="1891" t="e">
        <f ca="1">IF(L48&lt;J51,"——",L48-J51)</f>
        <v>#N/A</v>
      </c>
      <c r="O56" s="1885" t="s">
        <v>1040</v>
      </c>
      <c r="P56" s="1886" t="s">
        <v>1530</v>
      </c>
      <c r="Q56" s="1887" t="e">
        <f ca="1">C40+J29</f>
        <v>#N/A</v>
      </c>
      <c r="R56" s="1887" t="s">
        <v>1531</v>
      </c>
    </row>
    <row r="57" spans="1:18" s="1843" customFormat="1" ht="24.75" thickBot="1">
      <c r="A57" s="1919"/>
      <c r="B57" s="1169" t="s">
        <v>1480</v>
      </c>
      <c r="C57" s="281" t="e">
        <f ca="1">C29</f>
        <v>#N/A</v>
      </c>
      <c r="D57" s="1920"/>
      <c r="E57" s="1921"/>
      <c r="F57" s="1922"/>
      <c r="I57" s="1923" t="s">
        <v>1558</v>
      </c>
      <c r="J57" s="1924" t="e">
        <f ca="1">IF(OR(M47="住宅",J51&lt;L48,J56="是"),"——",J51-L48)</f>
        <v>#N/A</v>
      </c>
      <c r="K57" s="1888" t="s">
        <v>1607</v>
      </c>
      <c r="L57" s="1891" t="e">
        <f ca="1">IF(L48&lt;J51,"——",IF(L55="比较法",L49,IF(L55="基准地价",L50,L51)))</f>
        <v>#N/A</v>
      </c>
      <c r="O57" s="1885" t="s">
        <v>1041</v>
      </c>
      <c r="P57" s="1886" t="s">
        <v>1608</v>
      </c>
      <c r="Q57" s="1887" t="e">
        <f ca="1">L60</f>
        <v>#N/A</v>
      </c>
      <c r="R57" s="1887" t="s">
        <v>1609</v>
      </c>
    </row>
    <row r="58" spans="1:18" s="1843" customFormat="1" ht="24.75" thickBot="1">
      <c r="A58" s="359" t="s">
        <v>1030</v>
      </c>
      <c r="B58" s="1177" t="s">
        <v>1426</v>
      </c>
      <c r="C58" s="360" t="e">
        <f ca="1">ROUND(C59+C64+C65+C66,0)</f>
        <v>#N/A</v>
      </c>
      <c r="D58" s="1179" t="s">
        <v>1427</v>
      </c>
      <c r="E58" s="1180"/>
      <c r="F58" s="1181"/>
      <c r="I58" s="1923" t="s">
        <v>1562</v>
      </c>
      <c r="J58" s="1925" t="e">
        <f ca="1">IF(J55&lt;0.4,0.4,J55)</f>
        <v>#N/A</v>
      </c>
      <c r="K58" s="1901" t="s">
        <v>1610</v>
      </c>
      <c r="L58" s="1891" t="e">
        <f ca="1">ROUND(POWER(1+L52,L47-L48)*(POWER(1+L52,L48)-1)/(POWER(1+L52,L47)-1),4)</f>
        <v>#N/A</v>
      </c>
      <c r="O58" s="1895" t="s">
        <v>1042</v>
      </c>
      <c r="P58" s="1886" t="s">
        <v>1564</v>
      </c>
      <c r="Q58" s="1887">
        <f>IF(L55="比较法",L49,IF(L55="基准地价",L50,0))</f>
        <v>0</v>
      </c>
      <c r="R58" s="1887" t="s">
        <v>1531</v>
      </c>
    </row>
    <row r="59" spans="1:18" s="1843" customFormat="1" ht="24.75" thickBot="1">
      <c r="A59" s="1201" t="s">
        <v>1035</v>
      </c>
      <c r="B59" s="1169" t="s">
        <v>1431</v>
      </c>
      <c r="C59" s="24" t="e">
        <f ca="1">ROUND(IF(项目基本情况!B11="自然人",C48*F59,C60+C61+C62),0)</f>
        <v>#N/A</v>
      </c>
      <c r="D59" s="1182" t="s">
        <v>1432</v>
      </c>
      <c r="E59" s="1183" t="s">
        <v>1433</v>
      </c>
      <c r="F59" s="367" t="str">
        <f ca="1">IF(项目基本情况!B11="企业","",IF(INDIRECT("'数据-取费表'!c"&amp;$G$1)="住宅",5%,IF(F49*F50*F51/12/(1+'数据-取费表'!C42)&gt;20000,12%,7%)))</f>
        <v/>
      </c>
      <c r="I59" s="1923" t="s">
        <v>1565</v>
      </c>
      <c r="J59" s="1924" t="e">
        <f ca="1">IF(OR(M47="住宅",J51&lt;L48,J56="是"),"——",ROUND(C29*J58,0))</f>
        <v>#N/A</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#N/A</v>
      </c>
      <c r="M59" s="1840" t="e">
        <f ca="1">ROUND(POWER(1+L52,L47-(J51+'数据-取费表'!B24))*(POWER(1+L52,(J51+'数据-取费表'!B24))-1)/(POWER(1+L52,L47)-1),4)</f>
        <v>#N/A</v>
      </c>
      <c r="N59" s="1840" t="e">
        <f ca="1">ROUND(POWER(1+L52,L47-(J51+'数据-取费表'!B20))*(POWER(1+L52,(J51+'数据-取费表'!B20))-1)/(POWER(1+L52,L47)-1),4)</f>
        <v>#N/A</v>
      </c>
      <c r="O59" s="1895" t="s">
        <v>1043</v>
      </c>
      <c r="P59" s="1886" t="s">
        <v>1566</v>
      </c>
      <c r="Q59" s="1898">
        <f>L52</f>
        <v>0</v>
      </c>
      <c r="R59" s="1887"/>
    </row>
    <row r="60" spans="1:18" s="1843" customFormat="1" ht="16.5" thickBot="1">
      <c r="A60" s="1201" t="s">
        <v>1034</v>
      </c>
      <c r="B60" s="1169" t="s">
        <v>1435</v>
      </c>
      <c r="C60" s="24" t="e">
        <f ca="1">IF(项目基本情况!B11="自然人","——",ROUND(C48*F60/(1+'数据-取费表'!C42),0))</f>
        <v>#N/A</v>
      </c>
      <c r="D60" s="1183" t="s">
        <v>1436</v>
      </c>
      <c r="E60" s="1169" t="s">
        <v>1424</v>
      </c>
      <c r="F60" s="376">
        <f t="shared" ref="F60:F66" si="0">F32</f>
        <v>6.2719999999999998E-2</v>
      </c>
      <c r="I60" s="1926" t="s">
        <v>1567</v>
      </c>
      <c r="J60" s="1927" t="e">
        <f ca="1">IF(OR(M47="住宅",J51&lt;L48,J56="是"),"0",ROUND(J59/(1+J52)^J53,0))</f>
        <v>#N/A</v>
      </c>
      <c r="K60" s="1928" t="s">
        <v>1568</v>
      </c>
      <c r="L60" s="1927" t="e">
        <f ca="1">IF(OR(M47="住宅",L48&lt;J51),0,ROUND(L57*(L58/L59-1),0))</f>
        <v>#N/A</v>
      </c>
      <c r="O60" s="1895" t="s">
        <v>1044</v>
      </c>
      <c r="P60" s="1886" t="s">
        <v>1569</v>
      </c>
      <c r="Q60" s="1887" t="e">
        <f ca="1">L58</f>
        <v>#N/A</v>
      </c>
      <c r="R60" s="1887" t="s">
        <v>1570</v>
      </c>
    </row>
    <row r="61" spans="1:18" s="1843" customFormat="1" ht="13.5" thickBot="1">
      <c r="A61" s="1201" t="s">
        <v>1494</v>
      </c>
      <c r="B61" s="1169" t="s">
        <v>1495</v>
      </c>
      <c r="C61" s="24" t="e">
        <f ca="1">IF(项目基本情况!B11="自然人","——",IF(D61="按租金收入计税",ROUND(C48*F61,0),IF(D61="按房产原值计税",ROUND(C57*F61*0.7,0),INDIRECT("'数据-取费表'!Aj"&amp;$G$1))))</f>
        <v>#N/A</v>
      </c>
      <c r="D61" s="1829" t="s">
        <v>1440</v>
      </c>
      <c r="E61" s="1169" t="s">
        <v>1496</v>
      </c>
      <c r="F61" s="366">
        <f t="shared" si="0"/>
        <v>1.2E-2</v>
      </c>
      <c r="I61" s="1929"/>
      <c r="J61" s="1929"/>
      <c r="K61" s="1929"/>
      <c r="L61" s="1929"/>
      <c r="O61" s="1895" t="s">
        <v>1045</v>
      </c>
      <c r="P61" s="1886" t="str">
        <f>K59</f>
        <v>建设期及建筑物耐用年限下的土地年期修正系数Kn</v>
      </c>
      <c r="Q61" s="1887" t="e">
        <f ca="1">L59</f>
        <v>#N/A</v>
      </c>
      <c r="R61" s="1887" t="s">
        <v>1571</v>
      </c>
    </row>
    <row r="62" spans="1:18" s="1843" customFormat="1" ht="13.5" thickBot="1">
      <c r="A62" s="1201" t="s">
        <v>1497</v>
      </c>
      <c r="B62" s="1168" t="s">
        <v>1498</v>
      </c>
      <c r="C62" s="25" t="e">
        <f ca="1">IF(项目基本情况!B11="自然人","——",ROUND(F62*F63,0))</f>
        <v>#N/A</v>
      </c>
      <c r="D62" s="1184" t="s">
        <v>1499</v>
      </c>
      <c r="E62" s="1169" t="s">
        <v>1500</v>
      </c>
      <c r="F62" s="370">
        <f t="shared" si="0"/>
        <v>20</v>
      </c>
      <c r="I62" s="1930" t="s">
        <v>1572</v>
      </c>
      <c r="J62" s="1931" t="s">
        <v>1573</v>
      </c>
      <c r="K62" s="1931" t="s">
        <v>1574</v>
      </c>
      <c r="L62" s="1931" t="s">
        <v>1575</v>
      </c>
      <c r="M62" s="1932" t="s">
        <v>1576</v>
      </c>
      <c r="O62" s="1885" t="s">
        <v>1046</v>
      </c>
      <c r="P62" s="1886" t="s">
        <v>1577</v>
      </c>
      <c r="Q62" s="1887" t="e">
        <f ca="1">Q56+Q57</f>
        <v>#N/A</v>
      </c>
      <c r="R62" s="1887" t="s">
        <v>1047</v>
      </c>
    </row>
    <row r="63" spans="1:18" s="1843" customFormat="1" ht="13.5" thickBot="1">
      <c r="A63" s="371"/>
      <c r="B63" s="1175"/>
      <c r="C63" s="29"/>
      <c r="D63" s="1185"/>
      <c r="E63" s="1169" t="s">
        <v>1501</v>
      </c>
      <c r="F63" s="347" t="e">
        <f t="shared" ca="1" si="0"/>
        <v>#N/A</v>
      </c>
      <c r="I63" s="1930" t="s">
        <v>1578</v>
      </c>
      <c r="J63" s="1931">
        <v>70</v>
      </c>
      <c r="K63" s="1931">
        <v>50</v>
      </c>
      <c r="L63" s="1931">
        <v>80</v>
      </c>
      <c r="M63" s="1933">
        <v>0.02</v>
      </c>
      <c r="O63" s="1870" t="s">
        <v>1579</v>
      </c>
      <c r="P63" s="1840"/>
      <c r="Q63" s="1840"/>
      <c r="R63" s="1840"/>
    </row>
    <row r="64" spans="1:18" s="1843" customFormat="1" ht="13.5" thickBot="1">
      <c r="A64" s="1201" t="s">
        <v>1502</v>
      </c>
      <c r="B64" s="1169" t="s">
        <v>1503</v>
      </c>
      <c r="C64" s="24" t="e">
        <f ca="1">ROUND(C57*F64,0)</f>
        <v>#N/A</v>
      </c>
      <c r="D64" s="1183" t="s">
        <v>1504</v>
      </c>
      <c r="E64" s="1169" t="s">
        <v>1496</v>
      </c>
      <c r="F64" s="373" t="e">
        <f t="shared" ca="1" si="0"/>
        <v>#N/A</v>
      </c>
      <c r="I64" s="1930" t="s">
        <v>1580</v>
      </c>
      <c r="J64" s="1931">
        <v>50</v>
      </c>
      <c r="K64" s="1931">
        <v>35</v>
      </c>
      <c r="L64" s="1931">
        <v>60</v>
      </c>
      <c r="M64" s="1932">
        <v>0</v>
      </c>
      <c r="O64" s="1878" t="s">
        <v>1524</v>
      </c>
      <c r="P64" s="1879" t="s">
        <v>1525</v>
      </c>
      <c r="Q64" s="1880" t="s">
        <v>1526</v>
      </c>
      <c r="R64" s="1880" t="s">
        <v>1527</v>
      </c>
    </row>
    <row r="65" spans="1:18" s="1843" customFormat="1" ht="13.5" thickBot="1">
      <c r="A65" s="1201" t="s">
        <v>1505</v>
      </c>
      <c r="B65" s="1169" t="s">
        <v>1455</v>
      </c>
      <c r="C65" s="24" t="e">
        <f ca="1">ROUND(C56*F65,0)</f>
        <v>#N/A</v>
      </c>
      <c r="D65" s="1183" t="s">
        <v>1456</v>
      </c>
      <c r="E65" s="1169" t="s">
        <v>1457</v>
      </c>
      <c r="F65" s="375" t="e">
        <f t="shared" ca="1" si="0"/>
        <v>#N/A</v>
      </c>
      <c r="I65" s="1930" t="s">
        <v>1581</v>
      </c>
      <c r="J65" s="1931">
        <v>40</v>
      </c>
      <c r="K65" s="1931">
        <v>30</v>
      </c>
      <c r="L65" s="1931">
        <v>50</v>
      </c>
      <c r="M65" s="1933">
        <v>0.02</v>
      </c>
      <c r="O65" s="1885" t="s">
        <v>1040</v>
      </c>
      <c r="P65" s="1886" t="s">
        <v>1582</v>
      </c>
      <c r="Q65" s="1887" t="e">
        <f ca="1">C40+J29</f>
        <v>#N/A</v>
      </c>
      <c r="R65" s="1887" t="s">
        <v>1531</v>
      </c>
    </row>
    <row r="66" spans="1:18" s="1843" customFormat="1" ht="16.5" thickBot="1">
      <c r="A66" s="1201" t="s">
        <v>1506</v>
      </c>
      <c r="B66" s="1169" t="s">
        <v>1441</v>
      </c>
      <c r="C66" s="24" t="e">
        <f ca="1">ROUND(C48*F66,0)</f>
        <v>#N/A</v>
      </c>
      <c r="D66" s="1183" t="s">
        <v>1507</v>
      </c>
      <c r="E66" s="1169" t="s">
        <v>1424</v>
      </c>
      <c r="F66" s="356" t="e">
        <f t="shared" ca="1" si="0"/>
        <v>#N/A</v>
      </c>
      <c r="O66" s="1885" t="s">
        <v>1041</v>
      </c>
      <c r="P66" s="1886" t="s">
        <v>1560</v>
      </c>
      <c r="Q66" s="1887" t="e">
        <f ca="1">L60</f>
        <v>#N/A</v>
      </c>
      <c r="R66" s="1887" t="s">
        <v>1583</v>
      </c>
    </row>
    <row r="67" spans="1:18" s="1843" customFormat="1" ht="16.5" thickBot="1">
      <c r="A67" s="1176" t="s">
        <v>1031</v>
      </c>
      <c r="B67" s="1186" t="s">
        <v>1465</v>
      </c>
      <c r="C67" s="360" t="e">
        <f ca="1">C48-C58</f>
        <v>#N/A</v>
      </c>
      <c r="D67" s="1182" t="s">
        <v>1466</v>
      </c>
      <c r="E67" s="1187"/>
      <c r="F67" s="1188"/>
      <c r="O67" s="1895" t="s">
        <v>1042</v>
      </c>
      <c r="P67" s="1886" t="s">
        <v>1564</v>
      </c>
      <c r="Q67" s="1934" t="e">
        <f ca="1">L51</f>
        <v>#N/A</v>
      </c>
      <c r="R67" s="1887" t="s">
        <v>1584</v>
      </c>
    </row>
    <row r="68" spans="1:18" s="1843" customFormat="1" ht="16.5" thickBot="1">
      <c r="A68" s="1166" t="s">
        <v>1032</v>
      </c>
      <c r="B68" s="1167" t="s">
        <v>1487</v>
      </c>
      <c r="C68" s="345" t="e">
        <f ca="1">ROUND(C67*(1-((1+F70)/(1+F68))^F69)/(F68-F70),0)</f>
        <v>#N/A</v>
      </c>
      <c r="D68" s="1184" t="s">
        <v>1471</v>
      </c>
      <c r="E68" s="1169" t="s">
        <v>1472</v>
      </c>
      <c r="F68" s="356" t="e">
        <f ca="1">F40</f>
        <v>#N/A</v>
      </c>
      <c r="O68" s="1895" t="s">
        <v>1043</v>
      </c>
      <c r="P68" s="1935" t="s">
        <v>1585</v>
      </c>
      <c r="Q68" s="1887" t="e">
        <f ca="1">ROUND(Q69-Q70*Q71,0)</f>
        <v>#N/A</v>
      </c>
      <c r="R68" s="1887" t="s">
        <v>1051</v>
      </c>
    </row>
    <row r="69" spans="1:18" s="1843" customFormat="1" ht="13.5" thickBot="1">
      <c r="A69" s="1170"/>
      <c r="B69" s="1171"/>
      <c r="C69" s="350"/>
      <c r="D69" s="1189" t="s">
        <v>1475</v>
      </c>
      <c r="E69" s="1169" t="s">
        <v>1476</v>
      </c>
      <c r="F69" s="378" t="e">
        <f ca="1">F41</f>
        <v>#N/A</v>
      </c>
      <c r="O69" s="1895" t="s">
        <v>1048</v>
      </c>
      <c r="P69" s="1935" t="s">
        <v>1586</v>
      </c>
      <c r="Q69" s="1887" t="e">
        <f ca="1">C39</f>
        <v>#N/A</v>
      </c>
      <c r="R69" s="1887" t="s">
        <v>1531</v>
      </c>
    </row>
    <row r="70" spans="1:18" s="1843" customFormat="1" ht="13.5" thickBot="1">
      <c r="A70" s="1173"/>
      <c r="B70" s="1174"/>
      <c r="C70" s="354"/>
      <c r="D70" s="1185"/>
      <c r="E70" s="1169" t="s">
        <v>1479</v>
      </c>
      <c r="F70" s="1275" t="e">
        <f ca="1">F42</f>
        <v>#N/A</v>
      </c>
      <c r="O70" s="1895" t="s">
        <v>1049</v>
      </c>
      <c r="P70" s="1935" t="s">
        <v>1587</v>
      </c>
      <c r="Q70" s="1887" t="e">
        <f ca="1">C13</f>
        <v>#N/A</v>
      </c>
      <c r="R70" s="1887" t="s">
        <v>1531</v>
      </c>
    </row>
    <row r="71" spans="1:18" s="1843" customFormat="1" ht="13.5" thickBot="1">
      <c r="A71" s="1190" t="s">
        <v>1033</v>
      </c>
      <c r="B71" s="1191" t="s">
        <v>1489</v>
      </c>
      <c r="C71" s="381" t="e">
        <f ca="1">ROUND(C68/F71,0)</f>
        <v>#N/A</v>
      </c>
      <c r="D71" s="1192" t="s">
        <v>1490</v>
      </c>
      <c r="E71" s="1193" t="s">
        <v>1491</v>
      </c>
      <c r="F71" s="384" t="e">
        <f ca="1">F43</f>
        <v>#N/A</v>
      </c>
      <c r="O71" s="1895" t="s">
        <v>1050</v>
      </c>
      <c r="P71" s="1935" t="s">
        <v>1588</v>
      </c>
      <c r="Q71" s="1898" t="e">
        <f ca="1">C76</f>
        <v>#N/A</v>
      </c>
      <c r="R71" s="1887"/>
    </row>
    <row r="72" spans="1:18" s="1843" customFormat="1" ht="13.5" thickBot="1">
      <c r="B72" s="795"/>
      <c r="C72" s="795"/>
      <c r="O72" s="1895" t="s">
        <v>1044</v>
      </c>
      <c r="P72" s="1886" t="s">
        <v>1566</v>
      </c>
      <c r="Q72" s="1898">
        <f>L52</f>
        <v>0</v>
      </c>
      <c r="R72" s="1887"/>
    </row>
    <row r="73" spans="1:18" ht="16.5" thickBot="1">
      <c r="A73" s="1843"/>
      <c r="B73" s="795"/>
      <c r="C73" s="795"/>
      <c r="D73" s="1843"/>
      <c r="E73" s="1843"/>
      <c r="F73" s="1843"/>
      <c r="O73" s="1895" t="s">
        <v>1045</v>
      </c>
      <c r="P73" s="1886" t="s">
        <v>1569</v>
      </c>
      <c r="Q73" s="1887" t="e">
        <f ca="1">L58</f>
        <v>#N/A</v>
      </c>
      <c r="R73" s="1887" t="s">
        <v>1570</v>
      </c>
    </row>
    <row r="74" spans="1:18" ht="13.5" thickBot="1">
      <c r="A74" s="1843"/>
      <c r="B74" s="316" t="s">
        <v>1589</v>
      </c>
      <c r="C74" s="1937"/>
      <c r="D74" s="1843"/>
      <c r="E74" s="1843"/>
      <c r="F74" s="1843"/>
      <c r="O74" s="1895" t="s">
        <v>1052</v>
      </c>
      <c r="P74" s="1886" t="str">
        <f>K59</f>
        <v>建设期及建筑物耐用年限下的土地年期修正系数Kn</v>
      </c>
      <c r="Q74" s="1887" t="e">
        <f ca="1">L59</f>
        <v>#N/A</v>
      </c>
      <c r="R74" s="1887" t="s">
        <v>1571</v>
      </c>
    </row>
    <row r="75" spans="1:18" ht="13.5" thickBot="1">
      <c r="A75" s="1843"/>
      <c r="B75" s="385" t="s">
        <v>1508</v>
      </c>
      <c r="C75" s="386" t="e">
        <f ca="1">ROUND(C13*C76,0)</f>
        <v>#N/A</v>
      </c>
      <c r="D75" s="1843"/>
      <c r="E75" s="1843"/>
      <c r="F75" s="1843"/>
      <c r="K75" s="1869"/>
      <c r="L75" s="1843"/>
      <c r="O75" s="1885" t="s">
        <v>1046</v>
      </c>
      <c r="P75" s="1886" t="s">
        <v>1551</v>
      </c>
      <c r="Q75" s="1887" t="e">
        <f ca="1">Q65+Q66</f>
        <v>#N/A</v>
      </c>
      <c r="R75" s="1887" t="s">
        <v>1047</v>
      </c>
    </row>
    <row r="76" spans="1:18">
      <c r="B76" s="387" t="s">
        <v>1509</v>
      </c>
      <c r="C76" s="388" t="e">
        <f ca="1">INDIRECT("'数据-取费表'!j"&amp;$G$1)</f>
        <v>#N/A</v>
      </c>
      <c r="I76" s="1843"/>
      <c r="J76" s="1843"/>
      <c r="K76" s="1869"/>
      <c r="L76" s="1843"/>
    </row>
    <row r="77" spans="1:18">
      <c r="B77" s="389" t="s">
        <v>1510</v>
      </c>
      <c r="C77" s="390"/>
      <c r="I77" s="1843"/>
      <c r="J77" s="1843"/>
      <c r="K77" s="1869"/>
      <c r="L77" s="1843"/>
    </row>
    <row r="78" spans="1:18">
      <c r="B78" s="313" t="s">
        <v>1511</v>
      </c>
      <c r="C78" s="391"/>
    </row>
    <row r="79" spans="1:18">
      <c r="B79" s="385" t="s">
        <v>1512</v>
      </c>
      <c r="C79" s="317" t="e">
        <f ca="1">1-C80</f>
        <v>#N/A</v>
      </c>
    </row>
    <row r="80" spans="1:18">
      <c r="B80" s="385" t="s">
        <v>1513</v>
      </c>
      <c r="C80" s="317" t="e">
        <f ca="1">ROUND(C75/C39,3)</f>
        <v>#N/A</v>
      </c>
    </row>
    <row r="81" spans="2:3">
      <c r="B81" s="313" t="s">
        <v>1514</v>
      </c>
      <c r="C81" s="281"/>
    </row>
    <row r="82" spans="2:3">
      <c r="B82" s="316" t="s">
        <v>1515</v>
      </c>
      <c r="C82" s="318" t="e">
        <f ca="1">1-C83</f>
        <v>#N/A</v>
      </c>
    </row>
    <row r="83" spans="2:3">
      <c r="B83" s="316" t="s">
        <v>1516</v>
      </c>
      <c r="C83" s="317"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F13"/>
  <sheetViews>
    <sheetView workbookViewId="0">
      <selection sqref="A1:XFD1048576"/>
    </sheetView>
  </sheetViews>
  <sheetFormatPr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60" t="s">
        <v>2527</v>
      </c>
      <c r="B1" s="2561"/>
      <c r="C1" s="2561"/>
      <c r="D1" s="2561"/>
      <c r="E1" s="2562"/>
    </row>
    <row r="2" spans="1:6" ht="15.75">
      <c r="A2" s="2563" t="s">
        <v>2331</v>
      </c>
      <c r="B2" s="2564">
        <f ca="1">SUMIF(B6:B13,"&lt;&gt;#ref!",B6:B13)</f>
        <v>0</v>
      </c>
      <c r="C2" s="2565" t="s">
        <v>2520</v>
      </c>
      <c r="D2" s="2566" t="s">
        <v>2521</v>
      </c>
      <c r="E2" s="2567">
        <f>SUM(E6:E13)</f>
        <v>0</v>
      </c>
    </row>
    <row r="3" spans="1:6" ht="15.75">
      <c r="A3" s="2563" t="s">
        <v>1396</v>
      </c>
      <c r="B3" s="2564" t="e">
        <f ca="1">ROUND(B2*10000/E2,0)</f>
        <v>#DIV/0!</v>
      </c>
      <c r="C3" s="2565" t="s">
        <v>2528</v>
      </c>
      <c r="D3" s="2568"/>
      <c r="E3" s="2569"/>
    </row>
    <row r="4" spans="1:6" ht="15.75">
      <c r="A4" s="2570"/>
      <c r="B4" s="2568"/>
      <c r="C4" s="2568"/>
      <c r="D4" s="2568"/>
      <c r="E4" s="2569"/>
    </row>
    <row r="5" spans="1:6" ht="15">
      <c r="A5" s="2571" t="s">
        <v>2522</v>
      </c>
      <c r="B5" s="3183" t="s">
        <v>2523</v>
      </c>
      <c r="C5" s="3183"/>
      <c r="D5" s="2572"/>
      <c r="E5" s="2573" t="s">
        <v>2524</v>
      </c>
      <c r="F5" s="2574" t="s">
        <v>2525</v>
      </c>
    </row>
    <row r="6" spans="1:6">
      <c r="A6" s="2575">
        <f>'数据-取费表'!AN6</f>
        <v>0</v>
      </c>
      <c r="B6" s="2574" t="e">
        <f ca="1">IF(F6="是",'数据-取费表'!AO6,0)</f>
        <v>#REF!</v>
      </c>
      <c r="C6" s="2565" t="s">
        <v>2520</v>
      </c>
      <c r="D6" s="2568"/>
      <c r="E6" s="2576">
        <f>IF(OR(A6=0,F6="否"),0,'数据-取费表'!K6+'数据-取费表'!S6)</f>
        <v>0</v>
      </c>
      <c r="F6" s="2577" t="s">
        <v>2526</v>
      </c>
    </row>
    <row r="7" spans="1:6">
      <c r="A7" s="2575">
        <f>'数据-取费表'!AN7</f>
        <v>0</v>
      </c>
      <c r="B7" s="2574" t="e">
        <f ca="1">IF(F7="是",'数据-取费表'!AO7,0)</f>
        <v>#REF!</v>
      </c>
      <c r="C7" s="2565" t="s">
        <v>2520</v>
      </c>
      <c r="D7" s="2568"/>
      <c r="E7" s="2576">
        <f>IF(OR(A7=0,F7="否"),0,'数据-取费表'!K7+'数据-取费表'!S7)</f>
        <v>0</v>
      </c>
      <c r="F7" s="2577" t="s">
        <v>2526</v>
      </c>
    </row>
    <row r="8" spans="1:6">
      <c r="A8" s="2575">
        <f>'数据-取费表'!AN8</f>
        <v>0</v>
      </c>
      <c r="B8" s="2574" t="e">
        <f ca="1">IF(F8="是",'数据-取费表'!AO8,0)</f>
        <v>#REF!</v>
      </c>
      <c r="C8" s="2565" t="s">
        <v>2520</v>
      </c>
      <c r="D8" s="2568"/>
      <c r="E8" s="2576">
        <f>IF(OR(A8=0,F8="否"),0,'数据-取费表'!K8+'数据-取费表'!S8)</f>
        <v>0</v>
      </c>
      <c r="F8" s="2577" t="s">
        <v>2526</v>
      </c>
    </row>
    <row r="9" spans="1:6">
      <c r="A9" s="2575">
        <f>'数据-取费表'!AN9</f>
        <v>0</v>
      </c>
      <c r="B9" s="2574" t="e">
        <f ca="1">IF(F9="是",'数据-取费表'!AO9,0)</f>
        <v>#REF!</v>
      </c>
      <c r="C9" s="2565" t="s">
        <v>2520</v>
      </c>
      <c r="D9" s="2568"/>
      <c r="E9" s="2576">
        <f>IF(OR(A9=0,F9="否"),0,'数据-取费表'!K9+'数据-取费表'!S9)</f>
        <v>0</v>
      </c>
      <c r="F9" s="2577" t="s">
        <v>2526</v>
      </c>
    </row>
    <row r="10" spans="1:6">
      <c r="A10" s="2575">
        <f>'数据-取费表'!AN10</f>
        <v>0</v>
      </c>
      <c r="B10" s="2574" t="e">
        <f ca="1">IF(F10="是",'数据-取费表'!AO10,0)</f>
        <v>#REF!</v>
      </c>
      <c r="C10" s="2565" t="s">
        <v>2520</v>
      </c>
      <c r="D10" s="2568"/>
      <c r="E10" s="2576">
        <f>IF(OR(A10=0,F10="否"),0,'数据-取费表'!K10+'数据-取费表'!S10)</f>
        <v>0</v>
      </c>
      <c r="F10" s="2577" t="s">
        <v>2526</v>
      </c>
    </row>
    <row r="11" spans="1:6">
      <c r="A11" s="2575">
        <f>'数据-取费表'!AN11</f>
        <v>0</v>
      </c>
      <c r="B11" s="2574" t="e">
        <f ca="1">IF(F11="是",'数据-取费表'!AO11,0)</f>
        <v>#REF!</v>
      </c>
      <c r="C11" s="2565" t="s">
        <v>2520</v>
      </c>
      <c r="D11" s="2568"/>
      <c r="E11" s="2576">
        <f>IF(OR(A11=0,F11="否"),0,'数据-取费表'!K11+'数据-取费表'!S11)</f>
        <v>0</v>
      </c>
      <c r="F11" s="2577" t="s">
        <v>2526</v>
      </c>
    </row>
    <row r="12" spans="1:6">
      <c r="A12" s="2575">
        <f>'数据-取费表'!AN12</f>
        <v>0</v>
      </c>
      <c r="B12" s="2574" t="e">
        <f ca="1">IF(F12="是",'数据-取费表'!AO12,0)</f>
        <v>#REF!</v>
      </c>
      <c r="C12" s="2565" t="s">
        <v>2520</v>
      </c>
      <c r="D12" s="2568"/>
      <c r="E12" s="2576">
        <f>IF(OR(A12=0,F12="否"),0,'数据-取费表'!K12+'数据-取费表'!S12)</f>
        <v>0</v>
      </c>
      <c r="F12" s="2577" t="s">
        <v>2526</v>
      </c>
    </row>
    <row r="13" spans="1:6" ht="15" thickBot="1">
      <c r="A13" s="2578">
        <f>'数据-取费表'!AN13</f>
        <v>0</v>
      </c>
      <c r="B13" s="2574" t="e">
        <f ca="1">IF(F13="是",'数据-取费表'!AO13,0)</f>
        <v>#REF!</v>
      </c>
      <c r="C13" s="2579" t="s">
        <v>2520</v>
      </c>
      <c r="D13" s="2580"/>
      <c r="E13" s="2576">
        <f>IF(OR(A13=0,F13="否"),0,'数据-取费表'!K13+'数据-取费表'!S13)</f>
        <v>0</v>
      </c>
      <c r="F13" s="2577"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0" t="s">
        <v>1076</v>
      </c>
      <c r="B1" s="3201"/>
      <c r="C1" s="3202"/>
      <c r="D1" s="3203">
        <f>SUM(I10,I15,I20,I21,I23)</f>
        <v>0</v>
      </c>
      <c r="E1" s="3203"/>
      <c r="F1" s="3203"/>
      <c r="G1" s="3203"/>
      <c r="H1" s="3203"/>
      <c r="I1" s="3204"/>
    </row>
    <row r="2" spans="1:9">
      <c r="A2" s="3190" t="s">
        <v>1077</v>
      </c>
      <c r="B2" s="3191" t="s">
        <v>1078</v>
      </c>
      <c r="C2" s="3191"/>
      <c r="D2" s="1301" t="s">
        <v>1079</v>
      </c>
      <c r="E2" s="1301" t="s">
        <v>1080</v>
      </c>
      <c r="F2" s="1301" t="s">
        <v>1081</v>
      </c>
      <c r="G2" s="1301" t="s">
        <v>1082</v>
      </c>
      <c r="H2" s="1301" t="s">
        <v>1083</v>
      </c>
      <c r="I2" s="1302" t="s">
        <v>1084</v>
      </c>
    </row>
    <row r="3" spans="1:9">
      <c r="A3" s="3190"/>
      <c r="B3" s="3191" t="s">
        <v>1085</v>
      </c>
      <c r="C3" s="3191"/>
      <c r="D3" s="1303"/>
      <c r="E3" s="1301"/>
      <c r="F3" s="1304"/>
      <c r="G3" s="1304"/>
      <c r="H3" s="1305"/>
      <c r="I3" s="1306">
        <f>ROUND(D3*E3*F3*G3*H3/10000,0)</f>
        <v>0</v>
      </c>
    </row>
    <row r="4" spans="1:9">
      <c r="A4" s="3190"/>
      <c r="B4" s="3191" t="s">
        <v>1086</v>
      </c>
      <c r="C4" s="3191"/>
      <c r="D4" s="1303"/>
      <c r="E4" s="1301"/>
      <c r="F4" s="1304"/>
      <c r="G4" s="1304"/>
      <c r="H4" s="1305"/>
      <c r="I4" s="1306">
        <f t="shared" ref="I4:I9" si="0">ROUND(D4*E4*F4*G4*H4/10000,0)</f>
        <v>0</v>
      </c>
    </row>
    <row r="5" spans="1:9">
      <c r="A5" s="3190"/>
      <c r="B5" s="3191" t="s">
        <v>1087</v>
      </c>
      <c r="C5" s="3191"/>
      <c r="D5" s="1303"/>
      <c r="E5" s="1301"/>
      <c r="F5" s="1304"/>
      <c r="G5" s="1304"/>
      <c r="H5" s="1305"/>
      <c r="I5" s="1306">
        <f t="shared" si="0"/>
        <v>0</v>
      </c>
    </row>
    <row r="6" spans="1:9">
      <c r="A6" s="3190"/>
      <c r="B6" s="3191" t="s">
        <v>1088</v>
      </c>
      <c r="C6" s="3191"/>
      <c r="D6" s="1303"/>
      <c r="E6" s="1301"/>
      <c r="F6" s="1304"/>
      <c r="G6" s="1304"/>
      <c r="H6" s="1305"/>
      <c r="I6" s="1306">
        <f t="shared" si="0"/>
        <v>0</v>
      </c>
    </row>
    <row r="7" spans="1:9">
      <c r="A7" s="3190"/>
      <c r="B7" s="3191" t="s">
        <v>1089</v>
      </c>
      <c r="C7" s="3191"/>
      <c r="D7" s="1303"/>
      <c r="E7" s="1301"/>
      <c r="F7" s="1304"/>
      <c r="G7" s="1304"/>
      <c r="H7" s="1305"/>
      <c r="I7" s="1306">
        <f t="shared" si="0"/>
        <v>0</v>
      </c>
    </row>
    <row r="8" spans="1:9">
      <c r="A8" s="3190"/>
      <c r="B8" s="3191" t="s">
        <v>1090</v>
      </c>
      <c r="C8" s="3191"/>
      <c r="D8" s="1303"/>
      <c r="E8" s="1301"/>
      <c r="F8" s="1304"/>
      <c r="G8" s="1304"/>
      <c r="H8" s="1305"/>
      <c r="I8" s="1306">
        <f t="shared" si="0"/>
        <v>0</v>
      </c>
    </row>
    <row r="9" spans="1:9">
      <c r="A9" s="3190"/>
      <c r="B9" s="3191" t="s">
        <v>1091</v>
      </c>
      <c r="C9" s="3191"/>
      <c r="D9" s="1303"/>
      <c r="E9" s="1301"/>
      <c r="F9" s="1304"/>
      <c r="G9" s="1304"/>
      <c r="H9" s="1305"/>
      <c r="I9" s="1306">
        <f t="shared" si="0"/>
        <v>0</v>
      </c>
    </row>
    <row r="10" spans="1:9">
      <c r="A10" s="3190"/>
      <c r="B10" s="3192" t="s">
        <v>1092</v>
      </c>
      <c r="C10" s="3192"/>
      <c r="D10" s="1307"/>
      <c r="E10" s="1307" t="e">
        <f>ROUND(D1*10000/D10/H9,0)</f>
        <v>#DIV/0!</v>
      </c>
      <c r="F10" s="1308"/>
      <c r="G10" s="1308"/>
      <c r="H10" s="1309"/>
      <c r="I10" s="1310">
        <f>SUM(I3:I9)</f>
        <v>0</v>
      </c>
    </row>
    <row r="11" spans="1:9" ht="14.25">
      <c r="A11" s="3190" t="s">
        <v>1093</v>
      </c>
      <c r="B11" s="3191" t="s">
        <v>1094</v>
      </c>
      <c r="C11" s="3191"/>
      <c r="D11" s="1303" t="s">
        <v>1095</v>
      </c>
      <c r="E11" s="1303" t="s">
        <v>1096</v>
      </c>
      <c r="F11" s="1304" t="s">
        <v>1097</v>
      </c>
      <c r="G11" s="1304" t="s">
        <v>1083</v>
      </c>
      <c r="H11" s="1311" t="s">
        <v>1098</v>
      </c>
      <c r="I11" s="1302" t="s">
        <v>1084</v>
      </c>
    </row>
    <row r="12" spans="1:9">
      <c r="A12" s="3190"/>
      <c r="B12" s="3191" t="s">
        <v>1099</v>
      </c>
      <c r="C12" s="3191"/>
      <c r="D12" s="1303"/>
      <c r="E12" s="1303"/>
      <c r="F12" s="1304"/>
      <c r="G12" s="1305"/>
      <c r="H12" s="1312"/>
      <c r="I12" s="1302">
        <f>ROUND(D12*E12*F12*G12/10000,0)</f>
        <v>0</v>
      </c>
    </row>
    <row r="13" spans="1:9">
      <c r="A13" s="3190"/>
      <c r="B13" s="3191" t="s">
        <v>1100</v>
      </c>
      <c r="C13" s="3191"/>
      <c r="D13" s="1303"/>
      <c r="E13" s="1303"/>
      <c r="F13" s="1304"/>
      <c r="G13" s="1305"/>
      <c r="H13" s="1312"/>
      <c r="I13" s="1302">
        <f>ROUND(D13*E13*F13*G13/10000,0)</f>
        <v>0</v>
      </c>
    </row>
    <row r="14" spans="1:9">
      <c r="A14" s="3190"/>
      <c r="B14" s="3191" t="s">
        <v>1101</v>
      </c>
      <c r="C14" s="3191"/>
      <c r="D14" s="1303"/>
      <c r="E14" s="1303"/>
      <c r="F14" s="1304"/>
      <c r="G14" s="1305"/>
      <c r="H14" s="1312"/>
      <c r="I14" s="1302">
        <f>ROUND(D14*E14*F14*G14/10000,0)</f>
        <v>0</v>
      </c>
    </row>
    <row r="15" spans="1:9">
      <c r="A15" s="3190"/>
      <c r="B15" s="3192" t="s">
        <v>1092</v>
      </c>
      <c r="C15" s="3192"/>
      <c r="D15" s="1307"/>
      <c r="E15" s="1307">
        <f>SUM(E12:E14)</f>
        <v>0</v>
      </c>
      <c r="F15" s="1308"/>
      <c r="G15" s="1305"/>
      <c r="H15" s="1312"/>
      <c r="I15" s="1313">
        <f>SUM(I12:I14)</f>
        <v>0</v>
      </c>
    </row>
    <row r="16" spans="1:9" ht="24">
      <c r="A16" s="3190" t="s">
        <v>1102</v>
      </c>
      <c r="B16" s="3191" t="s">
        <v>1103</v>
      </c>
      <c r="C16" s="3191"/>
      <c r="D16" s="1303" t="s">
        <v>1079</v>
      </c>
      <c r="E16" s="1314" t="s">
        <v>1104</v>
      </c>
      <c r="F16" s="1304" t="s">
        <v>1105</v>
      </c>
      <c r="G16" s="1305" t="s">
        <v>1083</v>
      </c>
      <c r="H16" s="1311" t="s">
        <v>1098</v>
      </c>
      <c r="I16" s="1302" t="s">
        <v>1084</v>
      </c>
    </row>
    <row r="17" spans="1:9" ht="14.25">
      <c r="A17" s="3190"/>
      <c r="B17" s="3191" t="s">
        <v>1106</v>
      </c>
      <c r="C17" s="3191"/>
      <c r="D17" s="1303"/>
      <c r="E17" s="1303"/>
      <c r="F17" s="1304"/>
      <c r="G17" s="1305"/>
      <c r="H17" s="1315"/>
      <c r="I17" s="1316">
        <f>ROUND(D17*E17*F17*G17/10000,0)</f>
        <v>0</v>
      </c>
    </row>
    <row r="18" spans="1:9" ht="14.25">
      <c r="A18" s="3190"/>
      <c r="B18" s="3191" t="s">
        <v>1107</v>
      </c>
      <c r="C18" s="3191"/>
      <c r="D18" s="1303"/>
      <c r="E18" s="1303"/>
      <c r="F18" s="1304"/>
      <c r="G18" s="1305"/>
      <c r="H18" s="1315"/>
      <c r="I18" s="1316">
        <f>ROUND(D18*E18*F18*G18/10000,0)</f>
        <v>0</v>
      </c>
    </row>
    <row r="19" spans="1:9" ht="14.25">
      <c r="A19" s="3190"/>
      <c r="B19" s="3191" t="s">
        <v>1108</v>
      </c>
      <c r="C19" s="3191"/>
      <c r="D19" s="1303"/>
      <c r="E19" s="1303"/>
      <c r="F19" s="1304"/>
      <c r="G19" s="1305"/>
      <c r="H19" s="1315"/>
      <c r="I19" s="1316">
        <f>ROUND(D19*E19*F19*G19/10000,0)</f>
        <v>0</v>
      </c>
    </row>
    <row r="20" spans="1:9">
      <c r="A20" s="3190"/>
      <c r="B20" s="3192" t="s">
        <v>1092</v>
      </c>
      <c r="C20" s="3192"/>
      <c r="D20" s="1307">
        <f>SUM(D17:D19)</f>
        <v>0</v>
      </c>
      <c r="E20" s="1307"/>
      <c r="F20" s="1308"/>
      <c r="G20" s="1305"/>
      <c r="H20" s="1312"/>
      <c r="I20" s="1313">
        <f>SUM(I17:I19)</f>
        <v>0</v>
      </c>
    </row>
    <row r="21" spans="1:9">
      <c r="A21" s="3190" t="s">
        <v>1109</v>
      </c>
      <c r="B21" s="3193"/>
      <c r="C21" s="3193"/>
      <c r="D21" s="3193"/>
      <c r="E21" s="3193"/>
      <c r="F21" s="3193"/>
      <c r="G21" s="3193"/>
      <c r="H21" s="1766">
        <v>0.1</v>
      </c>
      <c r="I21" s="1310">
        <f>ROUND(I10*H21,0)</f>
        <v>0</v>
      </c>
    </row>
    <row r="22" spans="1:9" ht="14.25">
      <c r="A22" s="3194" t="s">
        <v>1110</v>
      </c>
      <c r="B22" s="3195"/>
      <c r="C22" s="3196"/>
      <c r="D22" s="1317" t="s">
        <v>1111</v>
      </c>
      <c r="E22" s="1317" t="s">
        <v>1112</v>
      </c>
      <c r="F22" s="1318" t="s">
        <v>1113</v>
      </c>
      <c r="G22" s="1318" t="s">
        <v>1114</v>
      </c>
      <c r="H22" s="1311" t="s">
        <v>1115</v>
      </c>
      <c r="I22" s="1302" t="s">
        <v>1116</v>
      </c>
    </row>
    <row r="23" spans="1:9" ht="14.25" thickBot="1">
      <c r="A23" s="3197"/>
      <c r="B23" s="3198"/>
      <c r="C23" s="3199"/>
      <c r="D23" s="1319"/>
      <c r="E23" s="1319"/>
      <c r="F23" s="1319"/>
      <c r="G23" s="1320"/>
      <c r="H23" s="1321"/>
      <c r="I23" s="1322">
        <f>ROUND(E23*D23*F23*(1-G23)/10000,0)</f>
        <v>0</v>
      </c>
    </row>
    <row r="26" spans="1:9">
      <c r="A26" s="1323" t="s">
        <v>1117</v>
      </c>
      <c r="B26" s="1323"/>
      <c r="C26" s="1323"/>
      <c r="D26" s="1323"/>
      <c r="E26" s="3187">
        <f>C27-C30-C31-C32</f>
        <v>0</v>
      </c>
      <c r="F26" s="3187"/>
      <c r="G26" s="3187"/>
      <c r="H26" s="1738" t="s">
        <v>1341</v>
      </c>
    </row>
    <row r="27" spans="1:9">
      <c r="A27" s="1324">
        <v>1</v>
      </c>
      <c r="B27" s="1325" t="s">
        <v>1118</v>
      </c>
      <c r="C27" s="1325">
        <f>C28+C29</f>
        <v>0</v>
      </c>
      <c r="D27" s="1325"/>
      <c r="E27" s="3188"/>
      <c r="F27" s="3188"/>
      <c r="G27" s="3188"/>
    </row>
    <row r="28" spans="1:9">
      <c r="A28" s="1326" t="s">
        <v>1119</v>
      </c>
      <c r="B28" s="1325" t="s">
        <v>1120</v>
      </c>
      <c r="C28" s="1325"/>
      <c r="D28" s="1325"/>
      <c r="E28" s="3188"/>
      <c r="F28" s="3188"/>
      <c r="G28" s="3188"/>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189"/>
      <c r="F32" s="3189"/>
      <c r="G32" s="3189"/>
    </row>
    <row r="33" spans="1:7" hidden="1">
      <c r="A33" s="3184" t="s">
        <v>1129</v>
      </c>
      <c r="B33" s="3185"/>
      <c r="C33" s="3185"/>
      <c r="D33" s="3186"/>
      <c r="E33" s="3187"/>
      <c r="F33" s="3187"/>
      <c r="G33" s="3187"/>
    </row>
    <row r="34" spans="1:7" hidden="1">
      <c r="A34" s="1328">
        <v>1</v>
      </c>
      <c r="B34" s="1325" t="s">
        <v>1130</v>
      </c>
      <c r="C34" s="1325"/>
      <c r="D34" s="1325"/>
      <c r="E34" s="3188"/>
      <c r="F34" s="3188"/>
      <c r="G34" s="3188"/>
    </row>
    <row r="35" spans="1:7" hidden="1">
      <c r="A35" s="1328">
        <v>2</v>
      </c>
      <c r="B35" s="1325" t="s">
        <v>1131</v>
      </c>
      <c r="C35" s="1325"/>
      <c r="D35" s="1325"/>
      <c r="E35" s="3188"/>
      <c r="F35" s="3188"/>
      <c r="G35" s="3188"/>
    </row>
    <row r="36" spans="1:7" hidden="1">
      <c r="A36" s="1328">
        <v>3</v>
      </c>
      <c r="B36" s="1325" t="s">
        <v>1132</v>
      </c>
      <c r="C36" s="1325"/>
      <c r="D36" s="1325"/>
      <c r="E36" s="3188"/>
      <c r="F36" s="3188"/>
      <c r="G36" s="3188"/>
    </row>
    <row r="37" spans="1:7" hidden="1">
      <c r="A37" s="1328">
        <v>4</v>
      </c>
      <c r="B37" s="1325" t="s">
        <v>1133</v>
      </c>
      <c r="C37" s="1325"/>
      <c r="D37" s="1325"/>
      <c r="E37" s="3188"/>
      <c r="F37" s="3188"/>
      <c r="G37" s="3188"/>
    </row>
    <row r="38" spans="1:7" hidden="1">
      <c r="A38" s="3184" t="s">
        <v>1134</v>
      </c>
      <c r="B38" s="3185"/>
      <c r="C38" s="3185"/>
      <c r="D38" s="3186"/>
      <c r="E38" s="3187"/>
      <c r="F38" s="3187"/>
      <c r="G38" s="31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4" zoomScale="90" zoomScaleNormal="90" workbookViewId="0">
      <selection activeCell="C11" sqref="C11"/>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2529</v>
      </c>
      <c r="B1" s="2581" t="s">
        <v>2530</v>
      </c>
      <c r="C1" s="1635" t="s">
        <v>2531</v>
      </c>
      <c r="D1" s="1622" t="s">
        <v>3093</v>
      </c>
      <c r="E1" s="2582"/>
      <c r="F1" s="2583" t="s">
        <v>2532</v>
      </c>
      <c r="G1" s="1632" t="s">
        <v>2533</v>
      </c>
      <c r="H1" s="1631"/>
      <c r="I1" s="1631"/>
      <c r="J1" s="1631"/>
      <c r="K1" s="1633"/>
      <c r="L1" s="1634"/>
      <c r="M1" s="1635"/>
      <c r="N1" s="1635"/>
      <c r="O1" s="1635"/>
      <c r="P1" s="2584"/>
      <c r="Q1" s="1621"/>
      <c r="R1" s="1621"/>
      <c r="S1" s="1621"/>
      <c r="T1" s="1621"/>
      <c r="U1" s="1621"/>
      <c r="V1" s="1621"/>
      <c r="W1" s="1621"/>
      <c r="X1" s="1621"/>
      <c r="Y1" s="1621"/>
      <c r="Z1" s="1621"/>
      <c r="AA1" s="1621"/>
      <c r="AB1" s="1621"/>
      <c r="AC1" s="1629"/>
    </row>
    <row r="2" spans="1:29" s="392" customFormat="1" ht="28.5" customHeight="1" thickTop="1">
      <c r="A2" s="1618" t="s">
        <v>1395</v>
      </c>
      <c r="B2" s="1418">
        <f>IF(C2="——",ROUND(C49*D3/10000,0),ROUND(C49*D3/10000,0)-D2)</f>
        <v>56830</v>
      </c>
      <c r="C2" s="2585" t="s">
        <v>70</v>
      </c>
      <c r="D2" s="1365" t="e">
        <f ca="1">SUMIF(INDIRECT("'"&amp;F2&amp;"'"&amp;"!A:A"),"承租人权益价值",INDIRECT("'"&amp;F2&amp;"'"&amp;"!c:c"))</f>
        <v>#REF!</v>
      </c>
      <c r="E2" s="2586" t="s">
        <v>2534</v>
      </c>
      <c r="F2" s="2587" t="s">
        <v>3147</v>
      </c>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2" customFormat="1" ht="28.5" customHeight="1" thickBot="1">
      <c r="A3" s="246" t="s">
        <v>1396</v>
      </c>
      <c r="B3" s="398">
        <f>IF(C2="——",C49,ROUND(B2*10000/D3,0))</f>
        <v>22892</v>
      </c>
      <c r="C3" s="399" t="s">
        <v>2535</v>
      </c>
      <c r="D3" s="398">
        <f>IF(D1="",'数据-汇总表'!E3,SUMIF('数据-汇总表'!$C19:$C33,D1,'数据-汇总表'!$E19:$E33))</f>
        <v>24825.22</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0" t="s">
        <v>2536</v>
      </c>
      <c r="B4" s="401"/>
      <c r="C4" s="3139" t="s">
        <v>2537</v>
      </c>
      <c r="D4" s="3152"/>
      <c r="E4" s="3153" t="s">
        <v>2538</v>
      </c>
      <c r="F4" s="3154"/>
      <c r="G4" s="3139" t="s">
        <v>2539</v>
      </c>
      <c r="H4" s="3152"/>
      <c r="I4" s="3139" t="s">
        <v>2540</v>
      </c>
      <c r="J4" s="3152"/>
      <c r="K4" s="2595" t="s">
        <v>2541</v>
      </c>
      <c r="L4" s="1130"/>
      <c r="M4" s="1131"/>
      <c r="N4" s="1131"/>
      <c r="O4" s="1131"/>
      <c r="P4" s="3155" t="s">
        <v>2542</v>
      </c>
      <c r="Q4" s="3156"/>
      <c r="R4" s="3161" t="s">
        <v>2538</v>
      </c>
      <c r="S4" s="3162"/>
      <c r="T4" s="3161" t="s">
        <v>2539</v>
      </c>
      <c r="U4" s="3162"/>
      <c r="V4" s="3148" t="s">
        <v>2540</v>
      </c>
      <c r="W4" s="3148"/>
      <c r="X4" s="1814"/>
      <c r="Y4" s="3161" t="s">
        <v>2542</v>
      </c>
      <c r="Z4" s="3162"/>
      <c r="AA4" s="3149" t="s">
        <v>2538</v>
      </c>
      <c r="AB4" s="3149" t="s">
        <v>2539</v>
      </c>
      <c r="AC4" s="3149" t="s">
        <v>2540</v>
      </c>
    </row>
    <row r="5" spans="1:29" ht="15">
      <c r="A5" s="403"/>
      <c r="B5" s="404"/>
      <c r="C5" s="3213" t="str">
        <f>'土地比较法-住宅、综合'!C5:D5</f>
        <v>陕西省西安市新城区华清西路以南、金花北路以西</v>
      </c>
      <c r="D5" s="3170"/>
      <c r="E5" s="3176" t="s">
        <v>3148</v>
      </c>
      <c r="F5" s="3177"/>
      <c r="G5" s="3169" t="s">
        <v>3201</v>
      </c>
      <c r="H5" s="3170"/>
      <c r="I5" s="3169" t="s">
        <v>3203</v>
      </c>
      <c r="J5" s="3170"/>
      <c r="K5" s="2596"/>
      <c r="L5" s="1130"/>
      <c r="M5" s="1131"/>
      <c r="N5" s="1131"/>
      <c r="O5" s="1131"/>
      <c r="P5" s="3157"/>
      <c r="Q5" s="3158"/>
      <c r="R5" s="3163"/>
      <c r="S5" s="3164"/>
      <c r="T5" s="3163"/>
      <c r="U5" s="3164"/>
      <c r="V5" s="3148"/>
      <c r="W5" s="3148"/>
      <c r="X5" s="1814"/>
      <c r="Y5" s="3163"/>
      <c r="Z5" s="3164"/>
      <c r="AA5" s="3150"/>
      <c r="AB5" s="3150"/>
      <c r="AC5" s="3150"/>
    </row>
    <row r="6" spans="1:29" ht="45" customHeight="1" thickBot="1">
      <c r="A6" s="405"/>
      <c r="B6" s="406"/>
      <c r="C6" s="3214" t="str">
        <f>'土地比较法-住宅、综合'!C6:D6</f>
        <v>陕西省西安市新城区华清西路以南、金花北路以西</v>
      </c>
      <c r="D6" s="3168"/>
      <c r="E6" s="3174" t="s">
        <v>3149</v>
      </c>
      <c r="F6" s="3175"/>
      <c r="G6" s="3167" t="s">
        <v>3202</v>
      </c>
      <c r="H6" s="3168"/>
      <c r="I6" s="3167" t="s">
        <v>3204</v>
      </c>
      <c r="J6" s="3168"/>
      <c r="K6" s="2596" t="s">
        <v>2548</v>
      </c>
      <c r="L6" s="1130"/>
      <c r="M6" s="1131"/>
      <c r="N6" s="1131"/>
      <c r="O6" s="1131"/>
      <c r="P6" s="3159"/>
      <c r="Q6" s="3160"/>
      <c r="R6" s="3163"/>
      <c r="S6" s="3164"/>
      <c r="T6" s="3165"/>
      <c r="U6" s="3166"/>
      <c r="V6" s="3148"/>
      <c r="W6" s="3148"/>
      <c r="X6" s="1814"/>
      <c r="Y6" s="3165"/>
      <c r="Z6" s="3166"/>
      <c r="AA6" s="3151"/>
      <c r="AB6" s="3151"/>
      <c r="AC6" s="3151"/>
    </row>
    <row r="7" spans="1:29" s="116" customFormat="1" ht="15.75" thickBot="1">
      <c r="A7" s="407" t="s">
        <v>2549</v>
      </c>
      <c r="B7" s="408"/>
      <c r="C7" s="409">
        <f>'数据-取费表'!B2</f>
        <v>43025</v>
      </c>
      <c r="D7" s="410">
        <v>100</v>
      </c>
      <c r="E7" s="411">
        <f>C7</f>
        <v>43025</v>
      </c>
      <c r="F7" s="412">
        <f>SUMIF(58:58,YEAR(E7)&amp;"-"&amp;MONTH(E7),59:59)</f>
        <v>100</v>
      </c>
      <c r="G7" s="411">
        <f>C7</f>
        <v>43025</v>
      </c>
      <c r="H7" s="410">
        <f>SUMIF(58:58,YEAR(G7)&amp;"-"&amp;MONTH(G7),59:59)</f>
        <v>100</v>
      </c>
      <c r="I7" s="411">
        <f>C7</f>
        <v>43025</v>
      </c>
      <c r="J7" s="410">
        <f>SUMIF(58:58,YEAR(I7)&amp;"-"&amp;MONTH(I7),59:59)</f>
        <v>100</v>
      </c>
      <c r="K7" s="2597"/>
      <c r="L7" s="1132"/>
      <c r="M7" s="1133"/>
      <c r="N7" s="1133"/>
      <c r="O7" s="1133"/>
      <c r="P7" s="3171" t="s">
        <v>2550</v>
      </c>
      <c r="Q7" s="3173"/>
      <c r="R7" s="769" t="s">
        <v>23</v>
      </c>
      <c r="S7" s="770">
        <f t="shared" ref="S7:S15" si="0">F7</f>
        <v>100</v>
      </c>
      <c r="T7" s="769" t="s">
        <v>23</v>
      </c>
      <c r="U7" s="770">
        <f t="shared" ref="U7:U15" si="1">H7</f>
        <v>100</v>
      </c>
      <c r="V7" s="769" t="s">
        <v>23</v>
      </c>
      <c r="W7" s="770">
        <f t="shared" ref="W7:W15" si="2">J7</f>
        <v>100</v>
      </c>
      <c r="X7" s="771"/>
      <c r="Y7" s="3171" t="s">
        <v>2550</v>
      </c>
      <c r="Z7" s="3172"/>
      <c r="AA7" s="772">
        <f>D7/F7</f>
        <v>1</v>
      </c>
      <c r="AB7" s="772">
        <f>D7/H7</f>
        <v>1</v>
      </c>
      <c r="AC7" s="772">
        <f>D7/J7</f>
        <v>1</v>
      </c>
    </row>
    <row r="8" spans="1:29" s="116" customFormat="1" ht="15.75" thickBot="1">
      <c r="A8" s="407" t="s">
        <v>2551</v>
      </c>
      <c r="B8" s="408"/>
      <c r="C8" s="413" t="s">
        <v>2552</v>
      </c>
      <c r="D8" s="410">
        <v>100</v>
      </c>
      <c r="E8" s="2598" t="s">
        <v>3105</v>
      </c>
      <c r="F8" s="412">
        <f>SUMIF(61:61,E8,62:62)-SUMIF(61:61,C8,62:62)+100</f>
        <v>100</v>
      </c>
      <c r="G8" s="413" t="s">
        <v>3105</v>
      </c>
      <c r="H8" s="410">
        <f>SUMIF(61:61,G8,62:62)-SUMIF(61:61,C8,62:62)+100</f>
        <v>100</v>
      </c>
      <c r="I8" s="2598" t="s">
        <v>3105</v>
      </c>
      <c r="J8" s="410">
        <f>SUMIF(61:61,I8,62:62)-SUMIF(61:61,C8,62:62)+100</f>
        <v>100</v>
      </c>
      <c r="K8" s="2597"/>
      <c r="L8" s="1132"/>
      <c r="M8" s="1133"/>
      <c r="N8" s="1133"/>
      <c r="O8" s="1133"/>
      <c r="P8" s="3171" t="s">
        <v>2553</v>
      </c>
      <c r="Q8" s="3172"/>
      <c r="R8" s="769" t="s">
        <v>23</v>
      </c>
      <c r="S8" s="770">
        <f t="shared" si="0"/>
        <v>100</v>
      </c>
      <c r="T8" s="769" t="s">
        <v>23</v>
      </c>
      <c r="U8" s="770">
        <f t="shared" si="1"/>
        <v>100</v>
      </c>
      <c r="V8" s="769" t="s">
        <v>23</v>
      </c>
      <c r="W8" s="770">
        <f t="shared" si="2"/>
        <v>100</v>
      </c>
      <c r="X8" s="771"/>
      <c r="Y8" s="3171" t="s">
        <v>2553</v>
      </c>
      <c r="Z8" s="3172"/>
      <c r="AA8" s="772">
        <f t="shared" ref="AA8:AA19" si="3">D8/F8</f>
        <v>1</v>
      </c>
      <c r="AB8" s="772">
        <f t="shared" ref="AB8:AB19" si="4">D8/H8</f>
        <v>1</v>
      </c>
      <c r="AC8" s="772">
        <f t="shared" ref="AC8:AC19" si="5">D8/J8</f>
        <v>1</v>
      </c>
    </row>
    <row r="9" spans="1:29" s="116" customFormat="1">
      <c r="A9" s="414" t="s">
        <v>2554</v>
      </c>
      <c r="B9" s="70" t="s">
        <v>2555</v>
      </c>
      <c r="C9" s="2940" t="s">
        <v>3150</v>
      </c>
      <c r="D9" s="133">
        <v>100</v>
      </c>
      <c r="E9" s="416" t="s">
        <v>3076</v>
      </c>
      <c r="F9" s="417">
        <f>SUMIF(63:63,E9,64:64)-SUMIF(63:63,C9,64:64)+100</f>
        <v>100</v>
      </c>
      <c r="G9" s="418" t="s">
        <v>3076</v>
      </c>
      <c r="H9" s="133">
        <f>SUMIF(63:63,G9,64:64)-SUMIF(63:63,C9,64:64)+100</f>
        <v>100</v>
      </c>
      <c r="I9" s="418" t="s">
        <v>3076</v>
      </c>
      <c r="J9" s="133">
        <f>SUMIF(63:63,I9,64:64)-SUMIF(63:63,C9,64:64)+100</f>
        <v>100</v>
      </c>
      <c r="K9" s="2597"/>
      <c r="L9" s="1132"/>
      <c r="M9" s="1133"/>
      <c r="N9" s="1133"/>
      <c r="O9" s="1133"/>
      <c r="P9" s="3141" t="s">
        <v>2556</v>
      </c>
      <c r="Q9" s="1796" t="str">
        <f t="shared" ref="Q9:Q15" si="6">B9</f>
        <v>用途</v>
      </c>
      <c r="R9" s="769" t="s">
        <v>17</v>
      </c>
      <c r="S9" s="770">
        <f t="shared" si="0"/>
        <v>100</v>
      </c>
      <c r="T9" s="769" t="s">
        <v>17</v>
      </c>
      <c r="U9" s="770">
        <f t="shared" si="1"/>
        <v>100</v>
      </c>
      <c r="V9" s="769" t="s">
        <v>17</v>
      </c>
      <c r="W9" s="770">
        <f t="shared" si="2"/>
        <v>100</v>
      </c>
      <c r="X9" s="771"/>
      <c r="Y9" s="2990" t="s">
        <v>2557</v>
      </c>
      <c r="Z9" s="55" t="str">
        <f t="shared" ref="Z9:Z15" si="7">Q9</f>
        <v>用途</v>
      </c>
      <c r="AA9" s="772">
        <f t="shared" si="3"/>
        <v>1</v>
      </c>
      <c r="AB9" s="772">
        <f t="shared" si="4"/>
        <v>1</v>
      </c>
      <c r="AC9" s="772">
        <f t="shared" si="5"/>
        <v>1</v>
      </c>
    </row>
    <row r="10" spans="1:29" s="426" customFormat="1" ht="27">
      <c r="A10" s="420"/>
      <c r="B10" s="421" t="s">
        <v>2558</v>
      </c>
      <c r="C10" s="422" t="s">
        <v>3151</v>
      </c>
      <c r="D10" s="134">
        <v>100</v>
      </c>
      <c r="E10" s="423" t="s">
        <v>3151</v>
      </c>
      <c r="F10" s="424">
        <f>SUMIF(65:65,E10,66:66)-SUMIF(65:65,C10,66:66)+100</f>
        <v>100</v>
      </c>
      <c r="G10" s="422" t="s">
        <v>3151</v>
      </c>
      <c r="H10" s="134">
        <f>SUMIF(65:65,G10,66:66)-SUMIF(65:65,C10,66:66)+100</f>
        <v>100</v>
      </c>
      <c r="I10" s="422" t="s">
        <v>3151</v>
      </c>
      <c r="J10" s="134">
        <f>SUMIF(65:65,I10,66:66)-SUMIF(65:65,C10,66:66)+100</f>
        <v>100</v>
      </c>
      <c r="K10" s="425"/>
      <c r="L10" s="1135"/>
      <c r="M10" s="1136"/>
      <c r="N10" s="1136"/>
      <c r="O10" s="1136"/>
      <c r="P10" s="3141"/>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29" ht="15.75" thickBot="1">
      <c r="A11" s="427"/>
      <c r="B11" s="421" t="s">
        <v>2559</v>
      </c>
      <c r="C11" s="2943">
        <f>'土地比较法-住宅、综合'!C11</f>
        <v>3.45</v>
      </c>
      <c r="D11" s="134">
        <v>100</v>
      </c>
      <c r="E11" s="429">
        <v>3.53</v>
      </c>
      <c r="F11" s="424">
        <f>LOOKUP(E11,68:68,69:69)-LOOKUP(C11,68:68,69:69)+100</f>
        <v>100</v>
      </c>
      <c r="G11" s="428">
        <v>2.7</v>
      </c>
      <c r="H11" s="134">
        <f>LOOKUP(G11,68:68,69:69)-LOOKUP(C11,68:68,69:69)+100</f>
        <v>100</v>
      </c>
      <c r="I11" s="428">
        <v>2</v>
      </c>
      <c r="J11" s="134">
        <f>LOOKUP(I11,68:68,69:69)-LOOKUP(C11,68:68,69:69)+100</f>
        <v>100</v>
      </c>
      <c r="K11" s="425"/>
      <c r="L11" s="1138"/>
      <c r="M11" s="1131"/>
      <c r="N11" s="1131"/>
      <c r="O11" s="1131"/>
      <c r="P11" s="3141"/>
      <c r="Q11" s="1796" t="str">
        <f t="shared" si="6"/>
        <v>容积率</v>
      </c>
      <c r="R11" s="769" t="s">
        <v>21</v>
      </c>
      <c r="S11" s="770">
        <f t="shared" si="0"/>
        <v>100</v>
      </c>
      <c r="T11" s="769" t="s">
        <v>21</v>
      </c>
      <c r="U11" s="770">
        <f t="shared" si="1"/>
        <v>100</v>
      </c>
      <c r="V11" s="769" t="s">
        <v>21</v>
      </c>
      <c r="W11" s="770">
        <f t="shared" si="2"/>
        <v>100</v>
      </c>
      <c r="X11" s="771"/>
      <c r="Y11" s="2990"/>
      <c r="Z11" s="55" t="str">
        <f t="shared" si="7"/>
        <v>容积率</v>
      </c>
      <c r="AA11" s="772">
        <f t="shared" si="3"/>
        <v>1</v>
      </c>
      <c r="AB11" s="772">
        <f t="shared" si="4"/>
        <v>1</v>
      </c>
      <c r="AC11" s="772">
        <f t="shared" si="5"/>
        <v>1</v>
      </c>
    </row>
    <row r="12" spans="1:29" s="116" customFormat="1" ht="15" hidden="1">
      <c r="A12" s="430"/>
      <c r="B12" s="2599">
        <v>111</v>
      </c>
      <c r="C12" s="431"/>
      <c r="D12" s="432">
        <v>100</v>
      </c>
      <c r="E12" s="431"/>
      <c r="F12" s="424">
        <f>SUMIF(70:70,E12,71:71)-SUMIF(70:70,C12,71:71)+100</f>
        <v>100</v>
      </c>
      <c r="G12" s="431"/>
      <c r="H12" s="134">
        <f>SUMIF(70:70,G12,71:71)-SUMIF(70:70,C12,71:71)+100</f>
        <v>100</v>
      </c>
      <c r="I12" s="431"/>
      <c r="J12" s="134">
        <f>SUMIF(70:70,I12,71:71)-SUMIF(70:70,C12,71:71)+100</f>
        <v>100</v>
      </c>
      <c r="K12" s="2600"/>
      <c r="L12" s="1132"/>
      <c r="M12" s="1133"/>
      <c r="N12" s="1133"/>
      <c r="O12" s="1133"/>
      <c r="P12" s="3141"/>
      <c r="Q12" s="1796">
        <f t="shared" si="6"/>
        <v>111</v>
      </c>
      <c r="R12" s="769" t="s">
        <v>21</v>
      </c>
      <c r="S12" s="770">
        <f t="shared" si="0"/>
        <v>100</v>
      </c>
      <c r="T12" s="769" t="s">
        <v>21</v>
      </c>
      <c r="U12" s="770">
        <f t="shared" si="1"/>
        <v>100</v>
      </c>
      <c r="V12" s="769" t="s">
        <v>21</v>
      </c>
      <c r="W12" s="770">
        <f t="shared" si="2"/>
        <v>100</v>
      </c>
      <c r="X12" s="771"/>
      <c r="Y12" s="2990"/>
      <c r="Z12" s="55">
        <f t="shared" si="7"/>
        <v>111</v>
      </c>
      <c r="AA12" s="772">
        <f>D12/F12</f>
        <v>1</v>
      </c>
      <c r="AB12" s="772">
        <f>D12/H12</f>
        <v>1</v>
      </c>
      <c r="AC12" s="772">
        <f>D12/J12</f>
        <v>1</v>
      </c>
    </row>
    <row r="13" spans="1:29" ht="15" hidden="1">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40"/>
      <c r="M13" s="1131"/>
      <c r="N13" s="1131"/>
      <c r="O13" s="1131"/>
      <c r="P13" s="3141"/>
      <c r="Q13" s="1796">
        <f t="shared" si="6"/>
        <v>111</v>
      </c>
      <c r="R13" s="769" t="s">
        <v>21</v>
      </c>
      <c r="S13" s="770">
        <f t="shared" si="0"/>
        <v>100</v>
      </c>
      <c r="T13" s="769" t="s">
        <v>21</v>
      </c>
      <c r="U13" s="770">
        <f t="shared" si="1"/>
        <v>100</v>
      </c>
      <c r="V13" s="769" t="s">
        <v>21</v>
      </c>
      <c r="W13" s="770">
        <f t="shared" si="2"/>
        <v>100</v>
      </c>
      <c r="X13" s="771"/>
      <c r="Y13" s="2990"/>
      <c r="Z13" s="55">
        <f t="shared" si="7"/>
        <v>111</v>
      </c>
      <c r="AA13" s="772">
        <f t="shared" si="3"/>
        <v>1</v>
      </c>
      <c r="AB13" s="772">
        <f t="shared" si="4"/>
        <v>1</v>
      </c>
      <c r="AC13" s="772">
        <f t="shared" si="5"/>
        <v>1</v>
      </c>
    </row>
    <row r="14" spans="1:29" ht="15.75" hidden="1"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40"/>
      <c r="M14" s="1131"/>
      <c r="N14" s="1131"/>
      <c r="O14" s="1131"/>
      <c r="P14" s="3141"/>
      <c r="Q14" s="1796">
        <f t="shared" si="6"/>
        <v>111</v>
      </c>
      <c r="R14" s="769" t="s">
        <v>21</v>
      </c>
      <c r="S14" s="770">
        <f t="shared" si="0"/>
        <v>100</v>
      </c>
      <c r="T14" s="769" t="s">
        <v>21</v>
      </c>
      <c r="U14" s="770">
        <f t="shared" si="1"/>
        <v>100</v>
      </c>
      <c r="V14" s="769" t="s">
        <v>21</v>
      </c>
      <c r="W14" s="770">
        <f t="shared" si="2"/>
        <v>100</v>
      </c>
      <c r="X14" s="771"/>
      <c r="Y14" s="2990"/>
      <c r="Z14" s="55">
        <f t="shared" si="7"/>
        <v>111</v>
      </c>
      <c r="AA14" s="772">
        <f t="shared" si="3"/>
        <v>1</v>
      </c>
      <c r="AB14" s="772">
        <f t="shared" si="4"/>
        <v>1</v>
      </c>
      <c r="AC14" s="772">
        <f t="shared" si="5"/>
        <v>1</v>
      </c>
    </row>
    <row r="15" spans="1:29" ht="99.75">
      <c r="A15" s="439" t="s">
        <v>2560</v>
      </c>
      <c r="B15" s="68" t="s">
        <v>2087</v>
      </c>
      <c r="C15" s="2602"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0"/>
      <c r="M15" s="1131"/>
      <c r="N15" s="1131"/>
      <c r="O15" s="1131"/>
      <c r="P15" s="3211" t="s">
        <v>2561</v>
      </c>
      <c r="Q15" s="1811" t="str">
        <f t="shared" si="6"/>
        <v>居住社区成熟度</v>
      </c>
      <c r="R15" s="773" t="s">
        <v>21</v>
      </c>
      <c r="S15" s="774">
        <f t="shared" si="0"/>
        <v>100</v>
      </c>
      <c r="T15" s="773" t="s">
        <v>21</v>
      </c>
      <c r="U15" s="774">
        <f t="shared" si="1"/>
        <v>100</v>
      </c>
      <c r="V15" s="773" t="s">
        <v>21</v>
      </c>
      <c r="W15" s="774">
        <f t="shared" si="2"/>
        <v>100</v>
      </c>
      <c r="X15" s="1814"/>
      <c r="Y15" s="3144" t="s">
        <v>2561</v>
      </c>
      <c r="Z15" s="1815" t="str">
        <f t="shared" si="7"/>
        <v>居住社区成熟度</v>
      </c>
      <c r="AA15" s="1812">
        <f t="shared" si="3"/>
        <v>1</v>
      </c>
      <c r="AB15" s="1812">
        <f t="shared" si="4"/>
        <v>1</v>
      </c>
      <c r="AC15" s="1812">
        <f t="shared" si="5"/>
        <v>1</v>
      </c>
    </row>
    <row r="16" spans="1:29" ht="15">
      <c r="A16" s="427"/>
      <c r="B16" s="445"/>
      <c r="C16" s="446" t="s">
        <v>3108</v>
      </c>
      <c r="D16" s="447"/>
      <c r="E16" s="2603" t="s">
        <v>3108</v>
      </c>
      <c r="F16" s="447"/>
      <c r="G16" s="2604" t="s">
        <v>3108</v>
      </c>
      <c r="H16" s="449"/>
      <c r="I16" s="2604" t="s">
        <v>3108</v>
      </c>
      <c r="J16" s="447"/>
      <c r="K16" s="2605"/>
      <c r="L16" s="1140"/>
      <c r="M16" s="1131"/>
      <c r="N16" s="1131"/>
      <c r="O16" s="1131"/>
      <c r="P16" s="3212"/>
      <c r="Q16" s="1811"/>
      <c r="R16" s="773"/>
      <c r="S16" s="774"/>
      <c r="T16" s="773"/>
      <c r="U16" s="774"/>
      <c r="V16" s="773"/>
      <c r="W16" s="774"/>
      <c r="X16" s="1814"/>
      <c r="Y16" s="3145"/>
      <c r="Z16" s="1815"/>
      <c r="AA16" s="1812">
        <v>1</v>
      </c>
      <c r="AB16" s="1812">
        <v>1</v>
      </c>
      <c r="AC16" s="1812">
        <v>1</v>
      </c>
    </row>
    <row r="17" spans="1:29" ht="85.5">
      <c r="A17" s="427"/>
      <c r="B17" s="450" t="s">
        <v>2099</v>
      </c>
      <c r="C17" s="2606"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0"/>
      <c r="M17" s="1131"/>
      <c r="N17" s="1131"/>
      <c r="O17" s="1131"/>
      <c r="P17" s="3212"/>
      <c r="Q17" s="1811" t="str">
        <f>B17</f>
        <v>交通便捷度</v>
      </c>
      <c r="R17" s="773" t="s">
        <v>21</v>
      </c>
      <c r="S17" s="774">
        <f>F17</f>
        <v>100</v>
      </c>
      <c r="T17" s="773" t="s">
        <v>21</v>
      </c>
      <c r="U17" s="774">
        <f>H17</f>
        <v>100</v>
      </c>
      <c r="V17" s="773" t="s">
        <v>21</v>
      </c>
      <c r="W17" s="774">
        <f>J17</f>
        <v>100</v>
      </c>
      <c r="X17" s="1814"/>
      <c r="Y17" s="3145"/>
      <c r="Z17" s="1815" t="str">
        <f>Q17</f>
        <v>交通便捷度</v>
      </c>
      <c r="AA17" s="1812">
        <f t="shared" si="3"/>
        <v>1</v>
      </c>
      <c r="AB17" s="1812">
        <f t="shared" si="4"/>
        <v>1</v>
      </c>
      <c r="AC17" s="1812">
        <f t="shared" si="5"/>
        <v>1</v>
      </c>
    </row>
    <row r="18" spans="1:29" ht="15">
      <c r="A18" s="427"/>
      <c r="B18" s="455"/>
      <c r="C18" s="2607" t="s">
        <v>3109</v>
      </c>
      <c r="D18" s="449"/>
      <c r="E18" s="2608" t="s">
        <v>3109</v>
      </c>
      <c r="F18" s="449"/>
      <c r="G18" s="2609" t="s">
        <v>3109</v>
      </c>
      <c r="H18" s="447"/>
      <c r="I18" s="2609" t="s">
        <v>3109</v>
      </c>
      <c r="J18" s="447"/>
      <c r="K18" s="2605"/>
      <c r="L18" s="1140"/>
      <c r="M18" s="1131"/>
      <c r="N18" s="1131"/>
      <c r="O18" s="1131"/>
      <c r="P18" s="3212"/>
      <c r="Q18" s="1811"/>
      <c r="R18" s="773"/>
      <c r="S18" s="774"/>
      <c r="T18" s="773"/>
      <c r="U18" s="774"/>
      <c r="V18" s="773"/>
      <c r="W18" s="774"/>
      <c r="X18" s="1814"/>
      <c r="Y18" s="3145"/>
      <c r="Z18" s="1815"/>
      <c r="AA18" s="1812">
        <v>1</v>
      </c>
      <c r="AB18" s="1812">
        <v>1</v>
      </c>
      <c r="AC18" s="1812">
        <v>1</v>
      </c>
    </row>
    <row r="19" spans="1:29" ht="42.75">
      <c r="A19" s="427"/>
      <c r="B19" s="450" t="s">
        <v>2097</v>
      </c>
      <c r="C19" s="2606"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0"/>
      <c r="M19" s="1131"/>
      <c r="N19" s="1131"/>
      <c r="O19" s="1131"/>
      <c r="P19" s="3212"/>
      <c r="Q19" s="1811" t="str">
        <f>B19</f>
        <v>公共配套设施</v>
      </c>
      <c r="R19" s="773" t="s">
        <v>21</v>
      </c>
      <c r="S19" s="774">
        <f>F19</f>
        <v>100</v>
      </c>
      <c r="T19" s="773" t="s">
        <v>21</v>
      </c>
      <c r="U19" s="774">
        <f>H19</f>
        <v>100</v>
      </c>
      <c r="V19" s="773" t="s">
        <v>21</v>
      </c>
      <c r="W19" s="774">
        <f>J19</f>
        <v>100</v>
      </c>
      <c r="X19" s="1814"/>
      <c r="Y19" s="3145"/>
      <c r="Z19" s="1815" t="str">
        <f>Q19</f>
        <v>公共配套设施</v>
      </c>
      <c r="AA19" s="1812">
        <f t="shared" si="3"/>
        <v>1</v>
      </c>
      <c r="AB19" s="1812">
        <f t="shared" si="4"/>
        <v>1</v>
      </c>
      <c r="AC19" s="1812">
        <f t="shared" si="5"/>
        <v>1</v>
      </c>
    </row>
    <row r="20" spans="1:29" ht="15">
      <c r="A20" s="427"/>
      <c r="B20" s="455"/>
      <c r="C20" s="446" t="s">
        <v>3108</v>
      </c>
      <c r="D20" s="447"/>
      <c r="E20" s="2603" t="s">
        <v>3108</v>
      </c>
      <c r="F20" s="447"/>
      <c r="G20" s="2604" t="s">
        <v>3108</v>
      </c>
      <c r="H20" s="447"/>
      <c r="I20" s="2604" t="s">
        <v>3108</v>
      </c>
      <c r="J20" s="447"/>
      <c r="K20" s="2605"/>
      <c r="L20" s="1140"/>
      <c r="M20" s="1131"/>
      <c r="N20" s="1131"/>
      <c r="O20" s="1131"/>
      <c r="P20" s="3212"/>
      <c r="Q20" s="1811"/>
      <c r="R20" s="773"/>
      <c r="S20" s="774"/>
      <c r="T20" s="773"/>
      <c r="U20" s="774"/>
      <c r="V20" s="773"/>
      <c r="W20" s="774"/>
      <c r="X20" s="1814"/>
      <c r="Y20" s="3145"/>
      <c r="Z20" s="1815"/>
      <c r="AA20" s="1812">
        <v>1</v>
      </c>
      <c r="AB20" s="1812">
        <v>1</v>
      </c>
      <c r="AC20" s="1812">
        <v>1</v>
      </c>
    </row>
    <row r="21" spans="1:29" ht="28.5">
      <c r="A21" s="427"/>
      <c r="B21" s="1384" t="s">
        <v>2100</v>
      </c>
      <c r="C21" s="2606"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0"/>
      <c r="M21" s="1131"/>
      <c r="N21" s="1131"/>
      <c r="O21" s="1131"/>
      <c r="P21" s="3212"/>
      <c r="Q21" s="1811" t="str">
        <f>B21</f>
        <v>基础设施水平</v>
      </c>
      <c r="R21" s="773" t="s">
        <v>17</v>
      </c>
      <c r="S21" s="774">
        <f>F21</f>
        <v>100</v>
      </c>
      <c r="T21" s="773" t="s">
        <v>17</v>
      </c>
      <c r="U21" s="774">
        <f>H21</f>
        <v>100</v>
      </c>
      <c r="V21" s="773" t="s">
        <v>17</v>
      </c>
      <c r="W21" s="774">
        <f>J21</f>
        <v>100</v>
      </c>
      <c r="X21" s="1814"/>
      <c r="Y21" s="3145"/>
      <c r="Z21" s="1815" t="str">
        <f>Q21</f>
        <v>基础设施水平</v>
      </c>
      <c r="AA21" s="1812">
        <f t="shared" ref="AA21" si="8">D21/F21</f>
        <v>1</v>
      </c>
      <c r="AB21" s="1812">
        <f t="shared" ref="AB21" si="9">D21/H21</f>
        <v>1</v>
      </c>
      <c r="AC21" s="1812">
        <f t="shared" ref="AC21" si="10">D21/J21</f>
        <v>1</v>
      </c>
    </row>
    <row r="22" spans="1:29" ht="15">
      <c r="A22" s="427"/>
      <c r="B22" s="1384"/>
      <c r="C22" s="2607" t="s">
        <v>3110</v>
      </c>
      <c r="D22" s="447"/>
      <c r="E22" s="446" t="s">
        <v>3110</v>
      </c>
      <c r="F22" s="447"/>
      <c r="G22" s="2610" t="s">
        <v>3110</v>
      </c>
      <c r="H22" s="447"/>
      <c r="I22" s="446" t="s">
        <v>3110</v>
      </c>
      <c r="J22" s="447"/>
      <c r="K22" s="2611"/>
      <c r="L22" s="1140"/>
      <c r="M22" s="1131"/>
      <c r="N22" s="1131"/>
      <c r="O22" s="1131"/>
      <c r="P22" s="3212"/>
      <c r="Q22" s="1811"/>
      <c r="R22" s="773"/>
      <c r="S22" s="774"/>
      <c r="T22" s="773"/>
      <c r="U22" s="774"/>
      <c r="V22" s="773"/>
      <c r="W22" s="774"/>
      <c r="X22" s="1814"/>
      <c r="Y22" s="3145"/>
      <c r="Z22" s="1815"/>
      <c r="AA22" s="1812">
        <v>1</v>
      </c>
      <c r="AB22" s="1812">
        <v>1</v>
      </c>
      <c r="AC22" s="1812">
        <v>1</v>
      </c>
    </row>
    <row r="23" spans="1:29" ht="57">
      <c r="A23" s="427"/>
      <c r="B23" s="450" t="s">
        <v>2104</v>
      </c>
      <c r="C23" s="2606"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97</v>
      </c>
      <c r="K23" s="444">
        <v>3</v>
      </c>
      <c r="L23" s="1140"/>
      <c r="M23" s="1131"/>
      <c r="N23" s="1131"/>
      <c r="O23" s="1131"/>
      <c r="P23" s="3212"/>
      <c r="Q23" s="1811" t="str">
        <f>B23</f>
        <v>自然及人文环境</v>
      </c>
      <c r="R23" s="773" t="s">
        <v>21</v>
      </c>
      <c r="S23" s="774">
        <f>F23</f>
        <v>100</v>
      </c>
      <c r="T23" s="773" t="s">
        <v>21</v>
      </c>
      <c r="U23" s="774">
        <f>H23</f>
        <v>100</v>
      </c>
      <c r="V23" s="773" t="s">
        <v>21</v>
      </c>
      <c r="W23" s="774">
        <f>J23</f>
        <v>97</v>
      </c>
      <c r="X23" s="1814"/>
      <c r="Y23" s="3145"/>
      <c r="Z23" s="1815" t="str">
        <f>Q23</f>
        <v>自然及人文环境</v>
      </c>
      <c r="AA23" s="1812">
        <f>D23/F23</f>
        <v>1</v>
      </c>
      <c r="AB23" s="1812">
        <f>D23/H23</f>
        <v>1</v>
      </c>
      <c r="AC23" s="1812">
        <f>D23/J23</f>
        <v>1.0309278350515463</v>
      </c>
    </row>
    <row r="24" spans="1:29" ht="15.75" thickBot="1">
      <c r="A24" s="427"/>
      <c r="B24" s="455"/>
      <c r="C24" s="446" t="s">
        <v>3109</v>
      </c>
      <c r="D24" s="447"/>
      <c r="E24" s="2603" t="s">
        <v>3109</v>
      </c>
      <c r="F24" s="447"/>
      <c r="G24" s="2604" t="s">
        <v>3109</v>
      </c>
      <c r="H24" s="447"/>
      <c r="I24" s="2604" t="s">
        <v>3108</v>
      </c>
      <c r="J24" s="447"/>
      <c r="K24" s="2605"/>
      <c r="L24" s="1140"/>
      <c r="M24" s="1131"/>
      <c r="N24" s="1131"/>
      <c r="O24" s="1131"/>
      <c r="P24" s="3212"/>
      <c r="Q24" s="1811"/>
      <c r="R24" s="773"/>
      <c r="S24" s="774"/>
      <c r="T24" s="773"/>
      <c r="U24" s="774"/>
      <c r="V24" s="773"/>
      <c r="W24" s="774"/>
      <c r="X24" s="1814"/>
      <c r="Y24" s="3145"/>
      <c r="Z24" s="1815"/>
      <c r="AA24" s="1812">
        <v>1</v>
      </c>
      <c r="AB24" s="1812">
        <v>1</v>
      </c>
      <c r="AC24" s="1812">
        <v>1</v>
      </c>
    </row>
    <row r="25" spans="1:29" ht="15" hidden="1">
      <c r="A25" s="427"/>
      <c r="B25" s="421" t="s">
        <v>2562</v>
      </c>
      <c r="C25" s="459"/>
      <c r="D25" s="434">
        <v>100</v>
      </c>
      <c r="E25" s="2612"/>
      <c r="F25" s="434">
        <f>SUMIF(86:86,E25,87:87)-SUMIF(86:86,C25,87:87)+100</f>
        <v>100</v>
      </c>
      <c r="G25" s="2613"/>
      <c r="H25" s="434">
        <f>SUMIF(86:86,G25,87:87)-SUMIF(86:86,C25,87:87)+100</f>
        <v>100</v>
      </c>
      <c r="I25" s="2613"/>
      <c r="J25" s="434">
        <f>SUMIF(86:86,I25,87:87)-SUMIF(86:86,C25,87:87)+100</f>
        <v>100</v>
      </c>
      <c r="K25" s="425"/>
      <c r="L25" s="1140"/>
      <c r="M25" s="1131"/>
      <c r="N25" s="1131"/>
      <c r="O25" s="1131"/>
      <c r="P25" s="3212"/>
      <c r="Q25" s="1811" t="str">
        <f t="shared" ref="Q25:Q46" si="11">B25</f>
        <v>楼层-1</v>
      </c>
      <c r="R25" s="773" t="s">
        <v>21</v>
      </c>
      <c r="S25" s="774">
        <f t="shared" ref="S25:S46" si="12">F25</f>
        <v>100</v>
      </c>
      <c r="T25" s="773" t="s">
        <v>21</v>
      </c>
      <c r="U25" s="774">
        <f t="shared" ref="U25:U46" si="13">H25</f>
        <v>100</v>
      </c>
      <c r="V25" s="773" t="s">
        <v>21</v>
      </c>
      <c r="W25" s="774">
        <f t="shared" ref="W25:W46" si="14">J25</f>
        <v>100</v>
      </c>
      <c r="X25" s="1814"/>
      <c r="Y25" s="3145"/>
      <c r="Z25" s="1815" t="str">
        <f>Q25</f>
        <v>楼层-1</v>
      </c>
      <c r="AA25" s="1812">
        <f t="shared" ref="AA25:AA46" si="15">D25/F25</f>
        <v>1</v>
      </c>
      <c r="AB25" s="1812">
        <f t="shared" ref="AB25:AB46" si="16">D25/H25</f>
        <v>1</v>
      </c>
      <c r="AC25" s="1812">
        <f t="shared" ref="AC25:AC46" si="17">D25/J25</f>
        <v>1</v>
      </c>
    </row>
    <row r="26" spans="1:29" ht="15" hidden="1">
      <c r="A26" s="427"/>
      <c r="B26" s="421" t="s">
        <v>2563</v>
      </c>
      <c r="C26" s="459"/>
      <c r="D26" s="434">
        <v>100</v>
      </c>
      <c r="E26" s="2612"/>
      <c r="F26" s="434">
        <f>SUMIF(88:88,E26,89:89)-SUMIF(88:88,C26,89:89)+100</f>
        <v>100</v>
      </c>
      <c r="G26" s="2613"/>
      <c r="H26" s="434">
        <f>SUMIF(88:88,G26,89:89)-SUMIF(88:88,C26,89:89)+100</f>
        <v>100</v>
      </c>
      <c r="I26" s="2613"/>
      <c r="J26" s="434">
        <f>SUMIF(88:88,I26,89:89)-SUMIF(88:88,C26,89:89)+100</f>
        <v>100</v>
      </c>
      <c r="K26" s="425"/>
      <c r="L26" s="1140"/>
      <c r="M26" s="1131"/>
      <c r="N26" s="1131"/>
      <c r="O26" s="1131"/>
      <c r="P26" s="3212"/>
      <c r="Q26" s="1811" t="str">
        <f t="shared" si="11"/>
        <v>朝向</v>
      </c>
      <c r="R26" s="773" t="s">
        <v>21</v>
      </c>
      <c r="S26" s="774">
        <f t="shared" si="12"/>
        <v>100</v>
      </c>
      <c r="T26" s="773" t="s">
        <v>21</v>
      </c>
      <c r="U26" s="774">
        <f t="shared" si="13"/>
        <v>100</v>
      </c>
      <c r="V26" s="773" t="s">
        <v>21</v>
      </c>
      <c r="W26" s="774">
        <f t="shared" si="14"/>
        <v>100</v>
      </c>
      <c r="X26" s="1814"/>
      <c r="Y26" s="3145"/>
      <c r="Z26" s="1815" t="str">
        <f>Q26</f>
        <v>朝向</v>
      </c>
      <c r="AA26" s="1812">
        <f t="shared" si="15"/>
        <v>1</v>
      </c>
      <c r="AB26" s="1812">
        <f t="shared" si="16"/>
        <v>1</v>
      </c>
      <c r="AC26" s="1812">
        <f t="shared" si="17"/>
        <v>1</v>
      </c>
    </row>
    <row r="27" spans="1:29" s="116" customFormat="1" ht="15" hidden="1">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600"/>
      <c r="L27" s="1132"/>
      <c r="M27" s="1133"/>
      <c r="N27" s="1133"/>
      <c r="O27" s="1133"/>
      <c r="P27" s="3212"/>
      <c r="Q27" s="1796">
        <f t="shared" si="11"/>
        <v>111</v>
      </c>
      <c r="R27" s="769" t="s">
        <v>21</v>
      </c>
      <c r="S27" s="770">
        <f t="shared" si="12"/>
        <v>100</v>
      </c>
      <c r="T27" s="769" t="s">
        <v>21</v>
      </c>
      <c r="U27" s="770">
        <f t="shared" si="13"/>
        <v>100</v>
      </c>
      <c r="V27" s="769" t="s">
        <v>21</v>
      </c>
      <c r="W27" s="770">
        <f t="shared" si="14"/>
        <v>100</v>
      </c>
      <c r="X27" s="771"/>
      <c r="Y27" s="3145"/>
      <c r="Z27" s="55">
        <f>Q27</f>
        <v>111</v>
      </c>
      <c r="AA27" s="1812">
        <f t="shared" si="15"/>
        <v>1</v>
      </c>
      <c r="AB27" s="1812">
        <f t="shared" si="16"/>
        <v>1</v>
      </c>
      <c r="AC27" s="1812">
        <f t="shared" si="17"/>
        <v>1</v>
      </c>
    </row>
    <row r="28" spans="1:29" ht="15" hidden="1">
      <c r="A28" s="427"/>
      <c r="B28" s="1386">
        <v>111</v>
      </c>
      <c r="C28" s="433"/>
      <c r="D28" s="434">
        <v>100</v>
      </c>
      <c r="E28" s="433"/>
      <c r="F28" s="434">
        <f>SUMIF(92:92,E28,93:93)-SUMIF(92:92,C28,93:93)+100</f>
        <v>100</v>
      </c>
      <c r="G28" s="2614"/>
      <c r="H28" s="434">
        <f>SUMIF(92:92,G28,93:93)-SUMIF(92:92,C28,93:93)+100</f>
        <v>100</v>
      </c>
      <c r="I28" s="433"/>
      <c r="J28" s="434">
        <f>SUMIF(92:92,I28,93:93)-SUMIF(92:92,C28,93:93)+100</f>
        <v>100</v>
      </c>
      <c r="K28" s="2600"/>
      <c r="L28" s="1140"/>
      <c r="M28" s="1131"/>
      <c r="N28" s="1131"/>
      <c r="O28" s="1131"/>
      <c r="P28" s="3212"/>
      <c r="Q28" s="1811">
        <f t="shared" si="11"/>
        <v>111</v>
      </c>
      <c r="R28" s="773" t="s">
        <v>21</v>
      </c>
      <c r="S28" s="774">
        <f t="shared" si="12"/>
        <v>100</v>
      </c>
      <c r="T28" s="773" t="s">
        <v>21</v>
      </c>
      <c r="U28" s="774">
        <f t="shared" si="13"/>
        <v>100</v>
      </c>
      <c r="V28" s="773" t="s">
        <v>21</v>
      </c>
      <c r="W28" s="774">
        <f t="shared" si="14"/>
        <v>100</v>
      </c>
      <c r="X28" s="1814"/>
      <c r="Y28" s="3145"/>
      <c r="Z28" s="1815">
        <f t="shared" ref="Z28:Z46" si="18">Q28</f>
        <v>111</v>
      </c>
      <c r="AA28" s="1812">
        <f t="shared" si="15"/>
        <v>1</v>
      </c>
      <c r="AB28" s="1812">
        <f t="shared" si="16"/>
        <v>1</v>
      </c>
      <c r="AC28" s="1812">
        <f t="shared" si="17"/>
        <v>1</v>
      </c>
    </row>
    <row r="29" spans="1:29" ht="15" hidden="1">
      <c r="A29" s="427"/>
      <c r="B29" s="1386">
        <v>111</v>
      </c>
      <c r="C29" s="433"/>
      <c r="D29" s="434">
        <v>100</v>
      </c>
      <c r="E29" s="433"/>
      <c r="F29" s="434">
        <f>SUMIF(94:94,E29,95:95)-SUMIF(94:94,C29,95:95)+100</f>
        <v>100</v>
      </c>
      <c r="G29" s="2614"/>
      <c r="H29" s="434">
        <f>SUMIF(94:94,G29,95:95)-SUMIF(94:94,C29,95:95)+100</f>
        <v>100</v>
      </c>
      <c r="I29" s="433"/>
      <c r="J29" s="434">
        <f>SUMIF(94:94,I29,95:95)-SUMIF(94:94,C29,95:95)+100</f>
        <v>100</v>
      </c>
      <c r="K29" s="2600"/>
      <c r="L29" s="1140"/>
      <c r="M29" s="1131"/>
      <c r="N29" s="1131"/>
      <c r="O29" s="1131"/>
      <c r="P29" s="3212"/>
      <c r="Q29" s="1811">
        <f t="shared" si="11"/>
        <v>111</v>
      </c>
      <c r="R29" s="773" t="s">
        <v>21</v>
      </c>
      <c r="S29" s="774">
        <f t="shared" si="12"/>
        <v>100</v>
      </c>
      <c r="T29" s="773" t="s">
        <v>21</v>
      </c>
      <c r="U29" s="774">
        <f t="shared" si="13"/>
        <v>100</v>
      </c>
      <c r="V29" s="773" t="s">
        <v>21</v>
      </c>
      <c r="W29" s="774">
        <f t="shared" si="14"/>
        <v>100</v>
      </c>
      <c r="X29" s="1814"/>
      <c r="Y29" s="3145"/>
      <c r="Z29" s="1815">
        <f t="shared" si="18"/>
        <v>111</v>
      </c>
      <c r="AA29" s="1812">
        <f t="shared" si="15"/>
        <v>1</v>
      </c>
      <c r="AB29" s="1812">
        <f t="shared" si="16"/>
        <v>1</v>
      </c>
      <c r="AC29" s="1812">
        <f t="shared" si="17"/>
        <v>1</v>
      </c>
    </row>
    <row r="30" spans="1:29" ht="15" hidden="1">
      <c r="A30" s="427"/>
      <c r="B30" s="1386">
        <v>111</v>
      </c>
      <c r="C30" s="433"/>
      <c r="D30" s="434">
        <v>100</v>
      </c>
      <c r="E30" s="433"/>
      <c r="F30" s="434">
        <f>SUMIF(96:96,E30,97:97)-SUMIF(96:96,C30,97:97)+100</f>
        <v>100</v>
      </c>
      <c r="G30" s="2614"/>
      <c r="H30" s="434">
        <f>SUMIF(96:96,G30,97:97)-SUMIF(96:96,C30,97:97)+100</f>
        <v>100</v>
      </c>
      <c r="I30" s="433"/>
      <c r="J30" s="434">
        <f>SUMIF(96:96,I30,97:97)-SUMIF(96:96,C30,97:97)+100</f>
        <v>100</v>
      </c>
      <c r="K30" s="2600"/>
      <c r="L30" s="1140"/>
      <c r="M30" s="1131"/>
      <c r="N30" s="1131"/>
      <c r="O30" s="1131"/>
      <c r="P30" s="3212"/>
      <c r="Q30" s="1811">
        <f t="shared" si="11"/>
        <v>111</v>
      </c>
      <c r="R30" s="773" t="s">
        <v>21</v>
      </c>
      <c r="S30" s="774">
        <f t="shared" si="12"/>
        <v>100</v>
      </c>
      <c r="T30" s="773" t="s">
        <v>21</v>
      </c>
      <c r="U30" s="774">
        <f t="shared" si="13"/>
        <v>100</v>
      </c>
      <c r="V30" s="773" t="s">
        <v>21</v>
      </c>
      <c r="W30" s="774">
        <f t="shared" si="14"/>
        <v>100</v>
      </c>
      <c r="X30" s="1814"/>
      <c r="Y30" s="3145"/>
      <c r="Z30" s="1815">
        <f t="shared" si="18"/>
        <v>111</v>
      </c>
      <c r="AA30" s="1812">
        <f t="shared" si="15"/>
        <v>1</v>
      </c>
      <c r="AB30" s="1812">
        <f t="shared" si="16"/>
        <v>1</v>
      </c>
      <c r="AC30" s="1812">
        <f t="shared" si="17"/>
        <v>1</v>
      </c>
    </row>
    <row r="31" spans="1:29" ht="15.75" hidden="1" thickBot="1">
      <c r="A31" s="435"/>
      <c r="B31" s="1386">
        <v>111</v>
      </c>
      <c r="C31" s="436"/>
      <c r="D31" s="437">
        <v>100</v>
      </c>
      <c r="E31" s="436"/>
      <c r="F31" s="437">
        <f>SUMIF(98:98,E31,99:99)-SUMIF(98:98,C31,99:99)+100</f>
        <v>100</v>
      </c>
      <c r="G31" s="2615"/>
      <c r="H31" s="437">
        <f>SUMIF(98:98,G31,99:99)-SUMIF(98:98,C31,99:99)+100</f>
        <v>100</v>
      </c>
      <c r="I31" s="436"/>
      <c r="J31" s="437">
        <f>SUMIF(98:98,I31,99:99)-SUMIF(98:98,C31,99:99)+100</f>
        <v>100</v>
      </c>
      <c r="K31" s="2600"/>
      <c r="L31" s="1140"/>
      <c r="M31" s="1131"/>
      <c r="N31" s="1131"/>
      <c r="O31" s="1131"/>
      <c r="P31" s="3212"/>
      <c r="Q31" s="1811">
        <f t="shared" si="11"/>
        <v>111</v>
      </c>
      <c r="R31" s="773" t="s">
        <v>21</v>
      </c>
      <c r="S31" s="774">
        <f t="shared" si="12"/>
        <v>100</v>
      </c>
      <c r="T31" s="773" t="s">
        <v>21</v>
      </c>
      <c r="U31" s="774">
        <f t="shared" si="13"/>
        <v>100</v>
      </c>
      <c r="V31" s="773" t="s">
        <v>21</v>
      </c>
      <c r="W31" s="774">
        <f t="shared" si="14"/>
        <v>100</v>
      </c>
      <c r="X31" s="1814"/>
      <c r="Y31" s="3145"/>
      <c r="Z31" s="1815">
        <f t="shared" si="18"/>
        <v>111</v>
      </c>
      <c r="AA31" s="1812">
        <f t="shared" si="15"/>
        <v>1</v>
      </c>
      <c r="AB31" s="1812">
        <f t="shared" si="16"/>
        <v>1</v>
      </c>
      <c r="AC31" s="1812">
        <f t="shared" si="17"/>
        <v>1</v>
      </c>
    </row>
    <row r="32" spans="1:29" ht="15">
      <c r="A32" s="439" t="s">
        <v>2564</v>
      </c>
      <c r="B32" s="70" t="s">
        <v>2565</v>
      </c>
      <c r="C32" s="2616" t="s">
        <v>3155</v>
      </c>
      <c r="D32" s="466">
        <v>100</v>
      </c>
      <c r="E32" s="2617" t="s">
        <v>3155</v>
      </c>
      <c r="F32" s="460">
        <f>SUMIF(100:100,E32,101:101)-SUMIF(100:100,C32,101:101)+100</f>
        <v>100</v>
      </c>
      <c r="G32" s="2616" t="s">
        <v>3155</v>
      </c>
      <c r="H32" s="466">
        <f>SUMIF(100:100,G32,101:101)-SUMIF(100:100,C32,101:101)+100</f>
        <v>100</v>
      </c>
      <c r="I32" s="2617" t="s">
        <v>3155</v>
      </c>
      <c r="J32" s="434">
        <f>SUMIF(100:100,I32,101:101)-SUMIF(100:100,C32,101:101)+100</f>
        <v>100</v>
      </c>
      <c r="K32" s="425"/>
      <c r="L32" s="1140"/>
      <c r="M32" s="1131"/>
      <c r="N32" s="1131"/>
      <c r="O32" s="1131"/>
      <c r="P32" s="3207" t="s">
        <v>2566</v>
      </c>
      <c r="Q32" s="1811" t="str">
        <f t="shared" si="11"/>
        <v>建筑类型</v>
      </c>
      <c r="R32" s="773" t="s">
        <v>21</v>
      </c>
      <c r="S32" s="774">
        <f t="shared" si="12"/>
        <v>100</v>
      </c>
      <c r="T32" s="773" t="s">
        <v>21</v>
      </c>
      <c r="U32" s="774">
        <f t="shared" si="13"/>
        <v>100</v>
      </c>
      <c r="V32" s="773" t="s">
        <v>21</v>
      </c>
      <c r="W32" s="774">
        <f t="shared" si="14"/>
        <v>100</v>
      </c>
      <c r="X32" s="1814"/>
      <c r="Y32" s="3147" t="s">
        <v>2566</v>
      </c>
      <c r="Z32" s="1815" t="str">
        <f t="shared" si="18"/>
        <v>建筑类型</v>
      </c>
      <c r="AA32" s="1812">
        <f t="shared" si="15"/>
        <v>1</v>
      </c>
      <c r="AB32" s="1812">
        <f t="shared" si="16"/>
        <v>1</v>
      </c>
      <c r="AC32" s="1812">
        <f t="shared" si="17"/>
        <v>1</v>
      </c>
    </row>
    <row r="33" spans="1:29" s="470" customFormat="1" ht="15">
      <c r="A33" s="467"/>
      <c r="B33" s="421" t="s">
        <v>2567</v>
      </c>
      <c r="C33" s="468">
        <f>'数据-汇总表'!E3</f>
        <v>210018.96</v>
      </c>
      <c r="D33" s="134">
        <v>100</v>
      </c>
      <c r="E33" s="429">
        <v>530000</v>
      </c>
      <c r="F33" s="424">
        <f>LOOKUP(E33,103:103,104:104)-LOOKUP(C33,103:103,104:104)+100</f>
        <v>103</v>
      </c>
      <c r="G33" s="428">
        <v>650000</v>
      </c>
      <c r="H33" s="134">
        <f>LOOKUP(G33,103:103,104:104)-LOOKUP(C33,103:103,104:104)+100</f>
        <v>103</v>
      </c>
      <c r="I33" s="429">
        <v>240000</v>
      </c>
      <c r="J33" s="134">
        <f>LOOKUP(I33,103:103,104:104)-LOOKUP(C33,103:103,104:104)+100</f>
        <v>100</v>
      </c>
      <c r="K33" s="2600"/>
      <c r="L33" s="1138"/>
      <c r="M33" s="1141"/>
      <c r="N33" s="1141"/>
      <c r="O33" s="1141"/>
      <c r="P33" s="3208"/>
      <c r="Q33" s="775" t="str">
        <f t="shared" si="11"/>
        <v>项目建筑规模</v>
      </c>
      <c r="R33" s="776" t="s">
        <v>21</v>
      </c>
      <c r="S33" s="777">
        <f t="shared" si="12"/>
        <v>103</v>
      </c>
      <c r="T33" s="776" t="s">
        <v>21</v>
      </c>
      <c r="U33" s="777">
        <f t="shared" si="13"/>
        <v>103</v>
      </c>
      <c r="V33" s="776" t="s">
        <v>21</v>
      </c>
      <c r="W33" s="777">
        <f t="shared" si="14"/>
        <v>100</v>
      </c>
      <c r="X33" s="778"/>
      <c r="Y33" s="3147"/>
      <c r="Z33" s="779" t="str">
        <f t="shared" si="18"/>
        <v>项目建筑规模</v>
      </c>
      <c r="AA33" s="1812">
        <f t="shared" si="15"/>
        <v>0.970873786407767</v>
      </c>
      <c r="AB33" s="1812">
        <f t="shared" si="16"/>
        <v>0.970873786407767</v>
      </c>
      <c r="AC33" s="1812">
        <f t="shared" si="17"/>
        <v>1</v>
      </c>
    </row>
    <row r="34" spans="1:29" ht="15">
      <c r="A34" s="471"/>
      <c r="B34" s="421" t="s">
        <v>2568</v>
      </c>
      <c r="C34" s="2618" t="s">
        <v>3157</v>
      </c>
      <c r="D34" s="434">
        <v>100</v>
      </c>
      <c r="E34" s="2619" t="s">
        <v>3157</v>
      </c>
      <c r="F34" s="460">
        <f>SUMIF(105:105,E34,106:106)-SUMIF(105:105,C34,106:106)+100</f>
        <v>100</v>
      </c>
      <c r="G34" s="2618" t="s">
        <v>3157</v>
      </c>
      <c r="H34" s="434">
        <f>SUMIF(105:105,G34,106:106)-SUMIF(105:105,C34,106:106)+100</f>
        <v>100</v>
      </c>
      <c r="I34" s="2619" t="s">
        <v>3157</v>
      </c>
      <c r="J34" s="434">
        <f>SUMIF(105:105,I34,106:106)-SUMIF(105:105,C34,106:106)+100</f>
        <v>100</v>
      </c>
      <c r="K34" s="425"/>
      <c r="L34" s="1140"/>
      <c r="M34" s="1131"/>
      <c r="N34" s="1131"/>
      <c r="O34" s="1131"/>
      <c r="P34" s="3208"/>
      <c r="Q34" s="1811" t="str">
        <f t="shared" si="11"/>
        <v>建筑结构</v>
      </c>
      <c r="R34" s="773" t="s">
        <v>21</v>
      </c>
      <c r="S34" s="774">
        <f t="shared" si="12"/>
        <v>100</v>
      </c>
      <c r="T34" s="773" t="s">
        <v>21</v>
      </c>
      <c r="U34" s="774">
        <f t="shared" si="13"/>
        <v>100</v>
      </c>
      <c r="V34" s="773" t="s">
        <v>21</v>
      </c>
      <c r="W34" s="774">
        <f t="shared" si="14"/>
        <v>100</v>
      </c>
      <c r="X34" s="1814"/>
      <c r="Y34" s="3147"/>
      <c r="Z34" s="1815" t="str">
        <f t="shared" si="18"/>
        <v>建筑结构</v>
      </c>
      <c r="AA34" s="1812">
        <f t="shared" si="15"/>
        <v>1</v>
      </c>
      <c r="AB34" s="1812">
        <f t="shared" si="16"/>
        <v>1</v>
      </c>
      <c r="AC34" s="1812">
        <f t="shared" si="17"/>
        <v>1</v>
      </c>
    </row>
    <row r="35" spans="1:29" ht="15">
      <c r="A35" s="471"/>
      <c r="B35" s="421" t="s">
        <v>2569</v>
      </c>
      <c r="C35" s="2612" t="s">
        <v>3161</v>
      </c>
      <c r="D35" s="434">
        <v>100</v>
      </c>
      <c r="E35" s="2613" t="s">
        <v>3161</v>
      </c>
      <c r="F35" s="460">
        <f>SUMIF(107:107,E35,108:108)-SUMIF(107:107,C35,108:108)+100</f>
        <v>100</v>
      </c>
      <c r="G35" s="2612" t="s">
        <v>3163</v>
      </c>
      <c r="H35" s="434">
        <f>SUMIF(107:107,G35,108:108)-SUMIF(107:107,C35,108:108)+100</f>
        <v>95</v>
      </c>
      <c r="I35" s="2613" t="s">
        <v>3163</v>
      </c>
      <c r="J35" s="434">
        <f>SUMIF(107:107,I35,108:108)-SUMIF(107:107,C35,108:108)+100</f>
        <v>95</v>
      </c>
      <c r="K35" s="425">
        <v>5</v>
      </c>
      <c r="L35" s="1140"/>
      <c r="M35" s="1131"/>
      <c r="N35" s="1131"/>
      <c r="O35" s="1131"/>
      <c r="P35" s="3208"/>
      <c r="Q35" s="1811" t="str">
        <f t="shared" si="11"/>
        <v>建筑品质</v>
      </c>
      <c r="R35" s="773" t="s">
        <v>21</v>
      </c>
      <c r="S35" s="774">
        <f t="shared" si="12"/>
        <v>100</v>
      </c>
      <c r="T35" s="773" t="s">
        <v>21</v>
      </c>
      <c r="U35" s="774">
        <f t="shared" si="13"/>
        <v>95</v>
      </c>
      <c r="V35" s="773" t="s">
        <v>21</v>
      </c>
      <c r="W35" s="774">
        <f t="shared" si="14"/>
        <v>95</v>
      </c>
      <c r="X35" s="1814"/>
      <c r="Y35" s="3147"/>
      <c r="Z35" s="1815" t="str">
        <f t="shared" si="18"/>
        <v>建筑品质</v>
      </c>
      <c r="AA35" s="1812">
        <f t="shared" si="15"/>
        <v>1</v>
      </c>
      <c r="AB35" s="1812">
        <f t="shared" si="16"/>
        <v>1.0526315789473684</v>
      </c>
      <c r="AC35" s="1812">
        <f t="shared" si="17"/>
        <v>1.0526315789473684</v>
      </c>
    </row>
    <row r="36" spans="1:29" ht="15">
      <c r="A36" s="471"/>
      <c r="B36" s="421" t="s">
        <v>2570</v>
      </c>
      <c r="C36" s="2612" t="s">
        <v>3166</v>
      </c>
      <c r="D36" s="434">
        <v>100</v>
      </c>
      <c r="E36" s="2613" t="s">
        <v>3168</v>
      </c>
      <c r="F36" s="460">
        <f>SUMIF(109:109,E36,110:110)-SUMIF(109:109,C36,110:110)+100</f>
        <v>90</v>
      </c>
      <c r="G36" s="2612" t="s">
        <v>3168</v>
      </c>
      <c r="H36" s="434">
        <f>SUMIF(109:109,G36,110:110)-SUMIF(109:109,C36,110:110)+100</f>
        <v>90</v>
      </c>
      <c r="I36" s="2613" t="s">
        <v>3168</v>
      </c>
      <c r="J36" s="434">
        <f>SUMIF(109:109,I36,110:110)-SUMIF(109:109,C36,110:110)+100</f>
        <v>90</v>
      </c>
      <c r="K36" s="425">
        <v>10</v>
      </c>
      <c r="L36" s="1140"/>
      <c r="M36" s="1131"/>
      <c r="N36" s="1131"/>
      <c r="O36" s="1131"/>
      <c r="P36" s="3208"/>
      <c r="Q36" s="1811" t="str">
        <f t="shared" si="11"/>
        <v>公共部分装修</v>
      </c>
      <c r="R36" s="773" t="s">
        <v>21</v>
      </c>
      <c r="S36" s="774">
        <f t="shared" si="12"/>
        <v>90</v>
      </c>
      <c r="T36" s="773" t="s">
        <v>21</v>
      </c>
      <c r="U36" s="774">
        <f t="shared" si="13"/>
        <v>90</v>
      </c>
      <c r="V36" s="773" t="s">
        <v>21</v>
      </c>
      <c r="W36" s="774">
        <f t="shared" si="14"/>
        <v>90</v>
      </c>
      <c r="X36" s="1814"/>
      <c r="Y36" s="3147"/>
      <c r="Z36" s="1815" t="str">
        <f t="shared" si="18"/>
        <v>公共部分装修</v>
      </c>
      <c r="AA36" s="1812">
        <f t="shared" si="15"/>
        <v>1.1111111111111112</v>
      </c>
      <c r="AB36" s="1812">
        <f t="shared" si="16"/>
        <v>1.1111111111111112</v>
      </c>
      <c r="AC36" s="1812">
        <f t="shared" si="17"/>
        <v>1.1111111111111112</v>
      </c>
    </row>
    <row r="37" spans="1:29" s="116" customFormat="1" ht="15" hidden="1">
      <c r="A37" s="472"/>
      <c r="B37" s="421" t="s">
        <v>2571</v>
      </c>
      <c r="C37" s="473">
        <v>1</v>
      </c>
      <c r="D37" s="134">
        <v>100</v>
      </c>
      <c r="E37" s="473">
        <v>1</v>
      </c>
      <c r="F37" s="424">
        <f>LOOKUP(E37,112:112,113:113)-LOOKUP(C37,112:112,113:113)+100</f>
        <v>100</v>
      </c>
      <c r="G37" s="475">
        <v>1</v>
      </c>
      <c r="H37" s="134">
        <f>LOOKUP(G37,112:112,113:113)-LOOKUP(C37,112:112,113:113)+100</f>
        <v>100</v>
      </c>
      <c r="I37" s="474">
        <v>1</v>
      </c>
      <c r="J37" s="134">
        <f>LOOKUP(I37,112:112,113:113)-LOOKUP(C37,112:112,113:113)+100</f>
        <v>100</v>
      </c>
      <c r="K37" s="425"/>
      <c r="L37" s="1132"/>
      <c r="M37" s="1133"/>
      <c r="N37" s="1133"/>
      <c r="O37" s="1133"/>
      <c r="P37" s="3208"/>
      <c r="Q37" s="1796" t="str">
        <f t="shared" si="11"/>
        <v>成新度</v>
      </c>
      <c r="R37" s="769" t="s">
        <v>21</v>
      </c>
      <c r="S37" s="770">
        <f t="shared" si="12"/>
        <v>100</v>
      </c>
      <c r="T37" s="769" t="s">
        <v>21</v>
      </c>
      <c r="U37" s="770">
        <f t="shared" si="13"/>
        <v>100</v>
      </c>
      <c r="V37" s="769" t="s">
        <v>21</v>
      </c>
      <c r="W37" s="770">
        <f t="shared" si="14"/>
        <v>100</v>
      </c>
      <c r="X37" s="771"/>
      <c r="Y37" s="3147"/>
      <c r="Z37" s="55" t="str">
        <f t="shared" si="18"/>
        <v>成新度</v>
      </c>
      <c r="AA37" s="772">
        <f t="shared" si="15"/>
        <v>1</v>
      </c>
      <c r="AB37" s="772">
        <f t="shared" si="16"/>
        <v>1</v>
      </c>
      <c r="AC37" s="772">
        <f t="shared" si="17"/>
        <v>1</v>
      </c>
    </row>
    <row r="38" spans="1:29" ht="15">
      <c r="A38" s="471"/>
      <c r="B38" s="421" t="s">
        <v>2572</v>
      </c>
      <c r="C38" s="2612" t="s">
        <v>3173</v>
      </c>
      <c r="D38" s="434">
        <v>100</v>
      </c>
      <c r="E38" s="2613" t="s">
        <v>3173</v>
      </c>
      <c r="F38" s="460">
        <f>SUMIF(114:114,E38,115:115)-SUMIF(114:114,C38,115:115)+100</f>
        <v>100</v>
      </c>
      <c r="G38" s="2612" t="s">
        <v>3173</v>
      </c>
      <c r="H38" s="434">
        <f>SUMIF(114:114,G38,115:115)-SUMIF(114:114,C38,115:115)+100</f>
        <v>100</v>
      </c>
      <c r="I38" s="2613" t="s">
        <v>3173</v>
      </c>
      <c r="J38" s="434">
        <f>SUMIF(114:114,I38,115:115)-SUMIF(114:114,C38,115:115)+100</f>
        <v>100</v>
      </c>
      <c r="K38" s="425"/>
      <c r="L38" s="1140"/>
      <c r="M38" s="1131"/>
      <c r="N38" s="1131"/>
      <c r="O38" s="1131"/>
      <c r="P38" s="3208" t="s">
        <v>2566</v>
      </c>
      <c r="Q38" s="1811" t="str">
        <f t="shared" si="11"/>
        <v>物业管理</v>
      </c>
      <c r="R38" s="773" t="s">
        <v>21</v>
      </c>
      <c r="S38" s="774">
        <f t="shared" si="12"/>
        <v>100</v>
      </c>
      <c r="T38" s="773" t="s">
        <v>21</v>
      </c>
      <c r="U38" s="774">
        <f t="shared" si="13"/>
        <v>100</v>
      </c>
      <c r="V38" s="773" t="s">
        <v>21</v>
      </c>
      <c r="W38" s="774">
        <f t="shared" si="14"/>
        <v>100</v>
      </c>
      <c r="X38" s="1814"/>
      <c r="Y38" s="3147" t="s">
        <v>2566</v>
      </c>
      <c r="Z38" s="1815" t="str">
        <f t="shared" si="18"/>
        <v>物业管理</v>
      </c>
      <c r="AA38" s="1812">
        <f t="shared" si="15"/>
        <v>1</v>
      </c>
      <c r="AB38" s="1812">
        <f t="shared" si="16"/>
        <v>1</v>
      </c>
      <c r="AC38" s="1812">
        <f t="shared" si="17"/>
        <v>1</v>
      </c>
    </row>
    <row r="39" spans="1:29" ht="15">
      <c r="A39" s="471"/>
      <c r="B39" s="421" t="s">
        <v>2573</v>
      </c>
      <c r="C39" s="2612" t="s">
        <v>3110</v>
      </c>
      <c r="D39" s="434">
        <v>100</v>
      </c>
      <c r="E39" s="2613" t="s">
        <v>3110</v>
      </c>
      <c r="F39" s="460">
        <f>SUMIF(116:116,E39,117:117)-SUMIF(116:116,C39,117:117)+100</f>
        <v>100</v>
      </c>
      <c r="G39" s="2612" t="s">
        <v>3110</v>
      </c>
      <c r="H39" s="434">
        <f>SUMIF(116:116,G39,117:117)-SUMIF(116:116,C39,117:117)+100</f>
        <v>100</v>
      </c>
      <c r="I39" s="2613" t="s">
        <v>3110</v>
      </c>
      <c r="J39" s="434">
        <f>SUMIF(116:116,I39,117:117)-SUMIF(116:116,C39,117:117)+100</f>
        <v>100</v>
      </c>
      <c r="K39" s="425"/>
      <c r="L39" s="1140"/>
      <c r="M39" s="1131"/>
      <c r="N39" s="1131"/>
      <c r="O39" s="1131"/>
      <c r="P39" s="3208"/>
      <c r="Q39" s="1811" t="str">
        <f t="shared" si="11"/>
        <v>市政基础设施</v>
      </c>
      <c r="R39" s="773" t="s">
        <v>21</v>
      </c>
      <c r="S39" s="774">
        <f t="shared" si="12"/>
        <v>100</v>
      </c>
      <c r="T39" s="773" t="s">
        <v>21</v>
      </c>
      <c r="U39" s="774">
        <f t="shared" si="13"/>
        <v>100</v>
      </c>
      <c r="V39" s="773" t="s">
        <v>21</v>
      </c>
      <c r="W39" s="774">
        <f t="shared" si="14"/>
        <v>100</v>
      </c>
      <c r="X39" s="1814"/>
      <c r="Y39" s="3147"/>
      <c r="Z39" s="1815" t="str">
        <f t="shared" si="18"/>
        <v>市政基础设施</v>
      </c>
      <c r="AA39" s="1812">
        <f t="shared" si="15"/>
        <v>1</v>
      </c>
      <c r="AB39" s="1812">
        <f t="shared" si="16"/>
        <v>1</v>
      </c>
      <c r="AC39" s="1812">
        <f t="shared" si="17"/>
        <v>1</v>
      </c>
    </row>
    <row r="40" spans="1:29" ht="15" hidden="1">
      <c r="A40" s="471"/>
      <c r="B40" s="421" t="s">
        <v>2574</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40"/>
      <c r="M40" s="1131"/>
      <c r="N40" s="1131"/>
      <c r="O40" s="1131"/>
      <c r="P40" s="3208"/>
      <c r="Q40" s="1811" t="str">
        <f t="shared" si="11"/>
        <v>房型</v>
      </c>
      <c r="R40" s="773" t="s">
        <v>21</v>
      </c>
      <c r="S40" s="774">
        <f t="shared" si="12"/>
        <v>100</v>
      </c>
      <c r="T40" s="773" t="s">
        <v>21</v>
      </c>
      <c r="U40" s="774">
        <f t="shared" si="13"/>
        <v>100</v>
      </c>
      <c r="V40" s="773" t="s">
        <v>21</v>
      </c>
      <c r="W40" s="774">
        <f t="shared" si="14"/>
        <v>100</v>
      </c>
      <c r="X40" s="1814"/>
      <c r="Y40" s="3147"/>
      <c r="Z40" s="1815" t="str">
        <f t="shared" si="18"/>
        <v>房型</v>
      </c>
      <c r="AA40" s="1812">
        <f t="shared" si="15"/>
        <v>1</v>
      </c>
      <c r="AB40" s="1812">
        <f t="shared" si="16"/>
        <v>1</v>
      </c>
      <c r="AC40" s="1812">
        <f t="shared" si="17"/>
        <v>1</v>
      </c>
    </row>
    <row r="41" spans="1:29" s="470" customFormat="1" ht="28.5">
      <c r="A41" s="467"/>
      <c r="B41" s="421" t="s">
        <v>2575</v>
      </c>
      <c r="C41" s="468" t="s">
        <v>3183</v>
      </c>
      <c r="D41" s="134">
        <v>100</v>
      </c>
      <c r="E41" s="429" t="s">
        <v>3183</v>
      </c>
      <c r="F41" s="424">
        <f>SUMIF(120:120,E41,121:121)-SUMIF(120:120,C41,121:121)+100</f>
        <v>100</v>
      </c>
      <c r="G41" s="428" t="s">
        <v>3183</v>
      </c>
      <c r="H41" s="134">
        <f>SUMIF(120:120,G41,121:121)-SUMIF(120:120,C41,121:121)+100</f>
        <v>100</v>
      </c>
      <c r="I41" s="476" t="s">
        <v>3183</v>
      </c>
      <c r="J41" s="434">
        <f>SUMIF(120:120,I41,121:121)-SUMIF(120:120,C41,121:121)+100</f>
        <v>100</v>
      </c>
      <c r="K41" s="2600"/>
      <c r="L41" s="1138"/>
      <c r="M41" s="1141"/>
      <c r="N41" s="1141"/>
      <c r="O41" s="1141"/>
      <c r="P41" s="3208"/>
      <c r="Q41" s="775" t="str">
        <f t="shared" si="11"/>
        <v>单套/主力户型建筑面积</v>
      </c>
      <c r="R41" s="776" t="s">
        <v>21</v>
      </c>
      <c r="S41" s="777">
        <f t="shared" si="12"/>
        <v>100</v>
      </c>
      <c r="T41" s="776" t="s">
        <v>21</v>
      </c>
      <c r="U41" s="777">
        <f t="shared" si="13"/>
        <v>100</v>
      </c>
      <c r="V41" s="776" t="s">
        <v>21</v>
      </c>
      <c r="W41" s="777">
        <f t="shared" si="14"/>
        <v>100</v>
      </c>
      <c r="X41" s="778"/>
      <c r="Y41" s="3147"/>
      <c r="Z41" s="779" t="str">
        <f t="shared" si="18"/>
        <v>单套/主力户型建筑面积</v>
      </c>
      <c r="AA41" s="1812">
        <f t="shared" si="15"/>
        <v>1</v>
      </c>
      <c r="AB41" s="1812">
        <f t="shared" si="16"/>
        <v>1</v>
      </c>
      <c r="AC41" s="1812">
        <f t="shared" si="17"/>
        <v>1</v>
      </c>
    </row>
    <row r="42" spans="1:29" ht="15.75" thickBot="1">
      <c r="A42" s="471"/>
      <c r="B42" s="421" t="s">
        <v>2576</v>
      </c>
      <c r="C42" s="2612" t="s">
        <v>3166</v>
      </c>
      <c r="D42" s="434">
        <v>100</v>
      </c>
      <c r="E42" s="2613" t="s">
        <v>3168</v>
      </c>
      <c r="F42" s="460">
        <f>SUMIF(122:122,E42,123:123)-SUMIF(122:122,C42,123:123)+100</f>
        <v>90</v>
      </c>
      <c r="G42" s="2612" t="s">
        <v>3168</v>
      </c>
      <c r="H42" s="434">
        <f>SUMIF(122:122,G42,123:123)-SUMIF(122:122,C42,123:123)+100</f>
        <v>90</v>
      </c>
      <c r="I42" s="2613" t="s">
        <v>3166</v>
      </c>
      <c r="J42" s="434">
        <f>SUMIF(122:122,I42,123:123)-SUMIF(122:122,C42,123:123)+100</f>
        <v>100</v>
      </c>
      <c r="K42" s="425">
        <v>10</v>
      </c>
      <c r="L42" s="1140"/>
      <c r="M42" s="1131"/>
      <c r="N42" s="1131"/>
      <c r="O42" s="1131"/>
      <c r="P42" s="3208"/>
      <c r="Q42" s="1811" t="str">
        <f t="shared" si="11"/>
        <v>内部装修</v>
      </c>
      <c r="R42" s="773" t="s">
        <v>21</v>
      </c>
      <c r="S42" s="774">
        <f t="shared" si="12"/>
        <v>90</v>
      </c>
      <c r="T42" s="773" t="s">
        <v>21</v>
      </c>
      <c r="U42" s="774">
        <f t="shared" si="13"/>
        <v>90</v>
      </c>
      <c r="V42" s="773" t="s">
        <v>21</v>
      </c>
      <c r="W42" s="774">
        <f t="shared" si="14"/>
        <v>100</v>
      </c>
      <c r="X42" s="1814"/>
      <c r="Y42" s="3147"/>
      <c r="Z42" s="1815" t="str">
        <f t="shared" si="18"/>
        <v>内部装修</v>
      </c>
      <c r="AA42" s="1812">
        <f t="shared" si="15"/>
        <v>1.1111111111111112</v>
      </c>
      <c r="AB42" s="1812">
        <f t="shared" si="16"/>
        <v>1.1111111111111112</v>
      </c>
      <c r="AC42" s="1812">
        <f t="shared" si="17"/>
        <v>1</v>
      </c>
    </row>
    <row r="43" spans="1:29" ht="15" hidden="1">
      <c r="A43" s="471"/>
      <c r="B43" s="421" t="s">
        <v>2577</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40"/>
      <c r="M43" s="1131"/>
      <c r="N43" s="1131"/>
      <c r="O43" s="1131"/>
      <c r="P43" s="3208"/>
      <c r="Q43" s="1811" t="str">
        <f t="shared" si="11"/>
        <v>内部装修维护情况</v>
      </c>
      <c r="R43" s="773" t="s">
        <v>21</v>
      </c>
      <c r="S43" s="774">
        <f t="shared" si="12"/>
        <v>100</v>
      </c>
      <c r="T43" s="773" t="s">
        <v>21</v>
      </c>
      <c r="U43" s="774">
        <f t="shared" si="13"/>
        <v>100</v>
      </c>
      <c r="V43" s="773" t="s">
        <v>21</v>
      </c>
      <c r="W43" s="774">
        <f t="shared" si="14"/>
        <v>100</v>
      </c>
      <c r="X43" s="1814"/>
      <c r="Y43" s="3147"/>
      <c r="Z43" s="1815" t="str">
        <f t="shared" si="18"/>
        <v>内部装修维护情况</v>
      </c>
      <c r="AA43" s="1812">
        <f t="shared" si="15"/>
        <v>1</v>
      </c>
      <c r="AB43" s="1812">
        <f t="shared" si="16"/>
        <v>1</v>
      </c>
      <c r="AC43" s="1812">
        <f t="shared" si="17"/>
        <v>1</v>
      </c>
    </row>
    <row r="44" spans="1:29" s="116" customFormat="1" ht="15" hidden="1">
      <c r="A44" s="472"/>
      <c r="B44" s="1386">
        <v>111</v>
      </c>
      <c r="C44" s="468"/>
      <c r="D44" s="134">
        <v>100</v>
      </c>
      <c r="E44" s="468"/>
      <c r="F44" s="424">
        <f>SUMIF(126:126,E44,127:127)-SUMIF(126:126,C44,127:127)+100</f>
        <v>100</v>
      </c>
      <c r="G44" s="468"/>
      <c r="H44" s="134">
        <f>SUMIF(126:126,G44,127:127)-SUMIF(126:126,C44,127:127)+100</f>
        <v>100</v>
      </c>
      <c r="I44" s="468"/>
      <c r="J44" s="134">
        <f>SUMIF(126:126,I44,127:127)-SUMIF(126:126,C44,127:127)+100</f>
        <v>100</v>
      </c>
      <c r="K44" s="2600"/>
      <c r="L44" s="1132"/>
      <c r="M44" s="1133"/>
      <c r="N44" s="1133"/>
      <c r="O44" s="1133"/>
      <c r="P44" s="3208"/>
      <c r="Q44" s="1796">
        <f t="shared" si="11"/>
        <v>111</v>
      </c>
      <c r="R44" s="769" t="s">
        <v>21</v>
      </c>
      <c r="S44" s="770">
        <f t="shared" si="12"/>
        <v>100</v>
      </c>
      <c r="T44" s="769" t="s">
        <v>21</v>
      </c>
      <c r="U44" s="770">
        <f t="shared" si="13"/>
        <v>100</v>
      </c>
      <c r="V44" s="769" t="s">
        <v>21</v>
      </c>
      <c r="W44" s="770">
        <f t="shared" si="14"/>
        <v>100</v>
      </c>
      <c r="X44" s="771"/>
      <c r="Y44" s="3147"/>
      <c r="Z44" s="55">
        <f t="shared" si="18"/>
        <v>111</v>
      </c>
      <c r="AA44" s="772">
        <f t="shared" si="15"/>
        <v>1</v>
      </c>
      <c r="AB44" s="772">
        <f t="shared" si="16"/>
        <v>1</v>
      </c>
      <c r="AC44" s="772">
        <f t="shared" si="17"/>
        <v>1</v>
      </c>
    </row>
    <row r="45" spans="1:29" ht="15" hidden="1">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40"/>
      <c r="M45" s="1131"/>
      <c r="N45" s="1131"/>
      <c r="O45" s="1131"/>
      <c r="P45" s="3208"/>
      <c r="Q45" s="1811">
        <f t="shared" si="11"/>
        <v>111</v>
      </c>
      <c r="R45" s="773" t="s">
        <v>21</v>
      </c>
      <c r="S45" s="774">
        <f t="shared" si="12"/>
        <v>100</v>
      </c>
      <c r="T45" s="773" t="s">
        <v>21</v>
      </c>
      <c r="U45" s="774">
        <f t="shared" si="13"/>
        <v>100</v>
      </c>
      <c r="V45" s="773" t="s">
        <v>21</v>
      </c>
      <c r="W45" s="774">
        <f t="shared" si="14"/>
        <v>100</v>
      </c>
      <c r="X45" s="1814"/>
      <c r="Y45" s="3147"/>
      <c r="Z45" s="1815">
        <f t="shared" si="18"/>
        <v>111</v>
      </c>
      <c r="AA45" s="1812">
        <f t="shared" si="15"/>
        <v>1</v>
      </c>
      <c r="AB45" s="1812">
        <f t="shared" si="16"/>
        <v>1</v>
      </c>
      <c r="AC45" s="1812">
        <f t="shared" si="17"/>
        <v>1</v>
      </c>
    </row>
    <row r="46" spans="1:29" ht="15.75" hidden="1"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40"/>
      <c r="M46" s="1131"/>
      <c r="N46" s="1131"/>
      <c r="O46" s="1131"/>
      <c r="P46" s="3209"/>
      <c r="Q46" s="1811">
        <f t="shared" si="11"/>
        <v>111</v>
      </c>
      <c r="R46" s="773" t="s">
        <v>20</v>
      </c>
      <c r="S46" s="774">
        <f t="shared" si="12"/>
        <v>100</v>
      </c>
      <c r="T46" s="773" t="s">
        <v>20</v>
      </c>
      <c r="U46" s="774">
        <f t="shared" si="13"/>
        <v>100</v>
      </c>
      <c r="V46" s="773" t="s">
        <v>20</v>
      </c>
      <c r="W46" s="774">
        <f t="shared" si="14"/>
        <v>100</v>
      </c>
      <c r="X46" s="1814"/>
      <c r="Y46" s="3210"/>
      <c r="Z46" s="1815">
        <f t="shared" si="18"/>
        <v>111</v>
      </c>
      <c r="AA46" s="1812">
        <f t="shared" si="15"/>
        <v>1</v>
      </c>
      <c r="AB46" s="1812">
        <f t="shared" si="16"/>
        <v>1</v>
      </c>
      <c r="AC46" s="1812">
        <f t="shared" si="17"/>
        <v>1</v>
      </c>
    </row>
    <row r="47" spans="1:29" ht="15">
      <c r="A47" s="478" t="s">
        <v>2578</v>
      </c>
      <c r="B47" s="479"/>
      <c r="C47" s="1407" t="s">
        <v>19</v>
      </c>
      <c r="D47" s="1408"/>
      <c r="E47" s="1409">
        <f>ROUND(19000*0.99,0)</f>
        <v>18810</v>
      </c>
      <c r="F47" s="1410"/>
      <c r="G47" s="1411">
        <f>ROUND(18000*0.98,0)</f>
        <v>17640</v>
      </c>
      <c r="H47" s="1412"/>
      <c r="I47" s="1409">
        <f>ROUND(20000*0.99,0)</f>
        <v>19800</v>
      </c>
      <c r="J47" s="1412"/>
      <c r="K47" s="2620"/>
      <c r="L47" s="1143"/>
      <c r="M47" s="1144"/>
      <c r="N47" s="1131"/>
      <c r="O47" s="1144"/>
      <c r="P47" s="3142" t="str">
        <f>A47</f>
        <v>成交单价（元/平方米）</v>
      </c>
      <c r="Q47" s="3142"/>
      <c r="R47" s="3206">
        <f>E47</f>
        <v>18810</v>
      </c>
      <c r="S47" s="3206"/>
      <c r="T47" s="3206">
        <f>G47</f>
        <v>17640</v>
      </c>
      <c r="U47" s="3206"/>
      <c r="V47" s="3206">
        <f>I47</f>
        <v>19800</v>
      </c>
      <c r="W47" s="3206"/>
      <c r="X47" s="758"/>
      <c r="Y47" s="780"/>
      <c r="Z47" s="758"/>
      <c r="AA47" s="758"/>
      <c r="AB47" s="758"/>
      <c r="AC47" s="758"/>
    </row>
    <row r="48" spans="1:29" ht="15.75" thickBot="1">
      <c r="A48" s="485" t="s">
        <v>2579</v>
      </c>
      <c r="B48" s="486"/>
      <c r="C48" s="1413">
        <f>R49</f>
        <v>22892</v>
      </c>
      <c r="D48" s="1414"/>
      <c r="E48" s="1415">
        <f>R48</f>
        <v>22546</v>
      </c>
      <c r="F48" s="1415"/>
      <c r="G48" s="1413">
        <f>T48</f>
        <v>22256</v>
      </c>
      <c r="H48" s="1414"/>
      <c r="I48" s="1415">
        <f>V48</f>
        <v>23874</v>
      </c>
      <c r="J48" s="1414"/>
      <c r="K48" s="2621"/>
      <c r="L48" s="1143"/>
      <c r="M48" s="1144"/>
      <c r="N48" s="1144"/>
      <c r="O48" s="1144"/>
      <c r="P48" s="3142" t="str">
        <f>A48</f>
        <v>比较价值（元/平方米）</v>
      </c>
      <c r="Q48" s="3142"/>
      <c r="R48" s="3206">
        <f>IF(F1="售价",ROUND(PRODUCT(R47,AA7:AA46),0),ROUND(PRODUCT(R47,AA7:AA46),1))</f>
        <v>22546</v>
      </c>
      <c r="S48" s="3206"/>
      <c r="T48" s="3206">
        <f>IF(F1="售价",ROUND(PRODUCT(T47,AB7:AB46),0),ROUND(PRODUCT(T47,AB7:AB46),1))</f>
        <v>22256</v>
      </c>
      <c r="U48" s="3206"/>
      <c r="V48" s="3206">
        <f>IF(F1="售价",ROUND(PRODUCT(V47,AC7:AC46),0),ROUND(PRODUCT(V47,AC7:AC46),1))</f>
        <v>23874</v>
      </c>
      <c r="W48" s="3206"/>
      <c r="X48" s="758"/>
      <c r="Y48" s="758"/>
      <c r="Z48" s="758"/>
      <c r="AA48" s="758"/>
      <c r="AB48" s="758"/>
      <c r="AC48" s="758"/>
    </row>
    <row r="49" spans="1:29" ht="15.75" thickBot="1">
      <c r="A49" s="491" t="s">
        <v>2580</v>
      </c>
      <c r="B49" s="492"/>
      <c r="C49" s="1416">
        <f>R49</f>
        <v>22892</v>
      </c>
      <c r="D49" s="1417"/>
      <c r="E49" s="1417"/>
      <c r="F49" s="1417"/>
      <c r="G49" s="1417"/>
      <c r="H49" s="1417"/>
      <c r="I49" s="1417"/>
      <c r="J49" s="1417"/>
      <c r="K49" s="2622"/>
      <c r="L49" s="1143"/>
      <c r="M49" s="1144"/>
      <c r="N49" s="1144"/>
      <c r="O49" s="1144"/>
      <c r="P49" s="3136" t="str">
        <f>A49</f>
        <v>估价对象XX用房的比较价值（楼面单价，元/平方米）</v>
      </c>
      <c r="Q49" s="3137"/>
      <c r="R49" s="3205">
        <f>IF(F1="售价",ROUND(AVERAGE(R48:V48),0),ROUND(AVERAGE(R48:V48),1))</f>
        <v>22892</v>
      </c>
      <c r="S49" s="3205"/>
      <c r="T49" s="3205"/>
      <c r="U49" s="3205"/>
      <c r="V49" s="3205"/>
      <c r="W49" s="3205"/>
      <c r="X49" s="758"/>
      <c r="Y49" s="758"/>
      <c r="Z49" s="758"/>
      <c r="AA49" s="758"/>
      <c r="AB49" s="758"/>
      <c r="AC49" s="758"/>
    </row>
    <row r="50" spans="1:29">
      <c r="A50" s="1144"/>
      <c r="B50" s="1144"/>
      <c r="C50" s="1144"/>
      <c r="D50" s="1144"/>
      <c r="E50" s="1144"/>
      <c r="F50" s="1144"/>
      <c r="G50" s="1147"/>
      <c r="H50" s="1144"/>
      <c r="I50" s="1144"/>
      <c r="J50" s="1144"/>
      <c r="K50" s="1106"/>
      <c r="L50" s="1107"/>
      <c r="M50" s="1144"/>
      <c r="N50" s="1144"/>
      <c r="O50" s="1144"/>
    </row>
    <row r="51" spans="1:29">
      <c r="A51" s="1144"/>
      <c r="B51" s="1144"/>
      <c r="C51" s="1144"/>
      <c r="D51" s="1144"/>
      <c r="E51" s="1144"/>
      <c r="F51" s="1144"/>
      <c r="G51" s="1144"/>
      <c r="H51" s="1144"/>
      <c r="I51" s="1144"/>
      <c r="J51" s="1144"/>
      <c r="K51" s="1106"/>
      <c r="L51" s="1107"/>
      <c r="M51" s="1144"/>
      <c r="N51" s="1144"/>
      <c r="O51" s="1144"/>
    </row>
    <row r="52" spans="1:29" ht="13.5" customHeight="1">
      <c r="A52" s="1144"/>
      <c r="B52" s="1144"/>
      <c r="C52" s="496" t="s">
        <v>2581</v>
      </c>
      <c r="D52" s="497"/>
      <c r="E52" s="498">
        <f>IF(E47&lt;E48,E48/E47-1,E47/E48-1)</f>
        <v>0.19861775651249336</v>
      </c>
      <c r="F52" s="499" t="str">
        <f>IF(OR(E52&gt;=0.3,E52&lt;=-0.3),"超过30%","")</f>
        <v/>
      </c>
      <c r="G52" s="498">
        <f>IF(G47&lt;G48,G48/G47-1,G47/G48-1)</f>
        <v>0.26167800453514745</v>
      </c>
      <c r="H52" s="499" t="str">
        <f>IF(OR(G52&gt;=0.3,G52&lt;=-0.3),"超过30%","")</f>
        <v/>
      </c>
      <c r="I52" s="498">
        <f>IF(I47&lt;I48,I48/I47-1,I47/I48-1)</f>
        <v>0.20575757575757581</v>
      </c>
      <c r="J52" s="499" t="str">
        <f>IF(OR(I52&gt;=0.3,I52&lt;=-0.3),"超过30%","")</f>
        <v/>
      </c>
      <c r="K52" s="1106"/>
      <c r="L52" s="1107"/>
      <c r="M52" s="1144"/>
      <c r="N52" s="1144"/>
      <c r="O52" s="1144"/>
    </row>
    <row r="53" spans="1:29" ht="13.5" customHeight="1">
      <c r="A53" s="1144"/>
      <c r="B53" s="1144"/>
      <c r="C53" s="496" t="s">
        <v>2582</v>
      </c>
      <c r="D53" s="500"/>
      <c r="E53" s="498">
        <f>IF(E48&lt;G48,G48/E48-1,E48/G48-1)</f>
        <v>1.3030194104960424E-2</v>
      </c>
      <c r="F53" s="499" t="str">
        <f>IF(OR(E53&gt;=0.2,E53&lt;=-0.2),"超过20%","")</f>
        <v/>
      </c>
      <c r="G53" s="498">
        <f>IF(G48&lt;I48,I48/G48-1,G48/I48-1)</f>
        <v>7.2699496764917271E-2</v>
      </c>
      <c r="H53" s="499" t="str">
        <f>IF(OR(G53&gt;=0.2,G53&lt;=-0.2),"超过20%","")</f>
        <v/>
      </c>
      <c r="I53" s="498">
        <f>IF(I48&lt;E48,E48/I48-1,I48/E48-1)</f>
        <v>5.890180076288476E-2</v>
      </c>
      <c r="J53" s="499" t="str">
        <f>IF(OR(I53&gt;=0.2,I53&lt;=-0.2),"超过20%","")</f>
        <v/>
      </c>
      <c r="K53" s="1106"/>
      <c r="L53" s="1107"/>
      <c r="M53" s="1144"/>
      <c r="N53" s="1144"/>
      <c r="O53" s="1144"/>
    </row>
    <row r="54" spans="1:29" s="501" customFormat="1" ht="13.5" customHeight="1">
      <c r="A54" s="1145"/>
      <c r="B54" s="1145"/>
      <c r="C54" s="496" t="s">
        <v>2583</v>
      </c>
      <c r="D54" s="500"/>
      <c r="E54" s="498">
        <f>IF(E47&lt;G47,G47/E47-1,E47/G47-1)</f>
        <v>6.6326530612244916E-2</v>
      </c>
      <c r="F54" s="499" t="str">
        <f>IF(OR(E54&gt;=0.3,E54&lt;=-0.3),"超过30%","")</f>
        <v/>
      </c>
      <c r="G54" s="498">
        <f>IF(G47&lt;I47,I47/G47-1,G47/I47-1)</f>
        <v>0.12244897959183665</v>
      </c>
      <c r="H54" s="499" t="str">
        <f>IF(OR(G54&gt;=0.3,G54&lt;=-0.3),"超过30%","")</f>
        <v/>
      </c>
      <c r="I54" s="498">
        <f>IF(I47&lt;E47,E47/I47-1,I47/E47-1)</f>
        <v>5.2631578947368363E-2</v>
      </c>
      <c r="J54" s="499" t="str">
        <f>IF(OR(I54&gt;=0.3,I54&lt;=-0.3),"超过30%","")</f>
        <v/>
      </c>
      <c r="K54" s="1148"/>
      <c r="L54" s="1149"/>
      <c r="M54" s="1145"/>
      <c r="N54" s="1145"/>
      <c r="O54" s="1145"/>
      <c r="P54" s="2624"/>
    </row>
    <row r="55" spans="1:29" s="501"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6"/>
      <c r="L56" s="1107"/>
      <c r="M56" s="1144"/>
      <c r="N56" s="1144"/>
      <c r="O56" s="1144"/>
    </row>
    <row r="57" spans="1:29" ht="21.75" thickBot="1">
      <c r="A57" s="762" t="s">
        <v>2584</v>
      </c>
      <c r="B57" s="758"/>
      <c r="C57" s="763"/>
      <c r="D57" s="763"/>
      <c r="E57" s="763"/>
      <c r="F57" s="764"/>
      <c r="G57" s="764"/>
      <c r="H57" s="763"/>
      <c r="I57" s="763"/>
      <c r="J57" s="763"/>
      <c r="K57" s="1160"/>
      <c r="L57" s="1161"/>
      <c r="M57" s="1159"/>
      <c r="N57" s="1159"/>
      <c r="O57" s="1159"/>
      <c r="P57" s="2625"/>
      <c r="Q57" s="503"/>
    </row>
    <row r="58" spans="1:29" s="507" customFormat="1" ht="15">
      <c r="A58" s="504" t="s">
        <v>2585</v>
      </c>
      <c r="B58" s="505"/>
      <c r="C58" s="1577" t="str">
        <f>YEAR(C7)&amp;"-"&amp;MONTH(C7)</f>
        <v>2017-10</v>
      </c>
      <c r="D58" s="1576">
        <f>EDATE(C58,-1)</f>
        <v>42979</v>
      </c>
      <c r="E58" s="1576">
        <f>EDATE(D58,-1)</f>
        <v>42948</v>
      </c>
      <c r="F58" s="1576">
        <f t="shared" ref="F58:O58" si="19">EDATE(E58,-1)</f>
        <v>42917</v>
      </c>
      <c r="G58" s="1576">
        <f t="shared" si="19"/>
        <v>42887</v>
      </c>
      <c r="H58" s="1576">
        <f t="shared" si="19"/>
        <v>42856</v>
      </c>
      <c r="I58" s="1576">
        <f t="shared" si="19"/>
        <v>42826</v>
      </c>
      <c r="J58" s="1576">
        <f t="shared" si="19"/>
        <v>42795</v>
      </c>
      <c r="K58" s="1576">
        <f t="shared" si="19"/>
        <v>42767</v>
      </c>
      <c r="L58" s="1576">
        <f t="shared" si="19"/>
        <v>42736</v>
      </c>
      <c r="M58" s="1576">
        <f t="shared" si="19"/>
        <v>42705</v>
      </c>
      <c r="N58" s="1576">
        <f t="shared" si="19"/>
        <v>42675</v>
      </c>
      <c r="O58" s="1576">
        <f t="shared" si="19"/>
        <v>42644</v>
      </c>
      <c r="P58" s="1571"/>
    </row>
    <row r="59" spans="1:29" s="116" customFormat="1" ht="15">
      <c r="A59" s="508"/>
      <c r="B59" s="2626"/>
      <c r="C59" s="1574">
        <v>100</v>
      </c>
      <c r="D59" s="510"/>
      <c r="E59" s="511"/>
      <c r="F59" s="511"/>
      <c r="G59" s="511"/>
      <c r="H59" s="511"/>
      <c r="I59" s="511"/>
      <c r="J59" s="511"/>
      <c r="K59" s="511"/>
      <c r="L59" s="511"/>
      <c r="M59" s="512"/>
      <c r="N59" s="511"/>
      <c r="O59" s="512"/>
      <c r="P59" s="2627"/>
    </row>
    <row r="60" spans="1:29" s="116" customFormat="1" ht="15.75" thickBot="1">
      <c r="A60" s="514" t="s">
        <v>2586</v>
      </c>
      <c r="B60" s="515"/>
      <c r="C60" s="516"/>
      <c r="D60" s="517"/>
      <c r="E60" s="517"/>
      <c r="F60" s="517"/>
      <c r="G60" s="517"/>
      <c r="H60" s="517"/>
      <c r="I60" s="517"/>
      <c r="J60" s="517"/>
      <c r="K60" s="517"/>
      <c r="L60" s="517"/>
      <c r="M60" s="518"/>
      <c r="N60" s="517"/>
      <c r="O60" s="518"/>
      <c r="P60" s="2627"/>
      <c r="Q60" s="503"/>
    </row>
    <row r="61" spans="1:29" s="116" customFormat="1" ht="15">
      <c r="A61" s="520" t="s">
        <v>2587</v>
      </c>
      <c r="B61" s="509"/>
      <c r="C61" s="521" t="s">
        <v>2588</v>
      </c>
      <c r="D61" s="522"/>
      <c r="E61" s="522"/>
      <c r="F61" s="522"/>
      <c r="G61" s="522"/>
      <c r="H61" s="522"/>
      <c r="I61" s="522"/>
      <c r="J61" s="522"/>
      <c r="K61" s="522"/>
      <c r="L61" s="523"/>
      <c r="M61" s="524"/>
      <c r="N61" s="1151"/>
      <c r="O61" s="1151"/>
      <c r="P61" s="2628"/>
      <c r="Q61" s="503"/>
    </row>
    <row r="62" spans="1:29" s="116" customFormat="1" ht="15.75" thickBot="1">
      <c r="A62" s="520"/>
      <c r="B62" s="509"/>
      <c r="C62" s="510">
        <v>100</v>
      </c>
      <c r="D62" s="511"/>
      <c r="E62" s="511"/>
      <c r="F62" s="511"/>
      <c r="G62" s="511"/>
      <c r="H62" s="511"/>
      <c r="I62" s="511"/>
      <c r="J62" s="511"/>
      <c r="K62" s="511"/>
      <c r="L62" s="511"/>
      <c r="M62" s="513"/>
      <c r="N62" s="1151"/>
      <c r="O62" s="1151"/>
      <c r="P62" s="2627"/>
      <c r="Q62" s="503"/>
    </row>
    <row r="63" spans="1:29">
      <c r="A63" s="526" t="s">
        <v>2589</v>
      </c>
      <c r="B63" s="527" t="s">
        <v>2555</v>
      </c>
      <c r="C63" s="528" t="str">
        <f>C9</f>
        <v>住宅</v>
      </c>
      <c r="D63" s="529"/>
      <c r="E63" s="529"/>
      <c r="F63" s="529"/>
      <c r="G63" s="529"/>
      <c r="H63" s="529"/>
      <c r="I63" s="529"/>
      <c r="J63" s="529"/>
      <c r="K63" s="530"/>
      <c r="L63" s="531"/>
      <c r="M63" s="532"/>
      <c r="N63" s="1152"/>
      <c r="O63" s="1152"/>
      <c r="P63" s="2629"/>
      <c r="Q63" s="503"/>
    </row>
    <row r="64" spans="1:29" ht="15.75" thickBot="1">
      <c r="A64" s="533"/>
      <c r="B64" s="534"/>
      <c r="C64" s="535">
        <v>100</v>
      </c>
      <c r="D64" s="535"/>
      <c r="E64" s="535"/>
      <c r="F64" s="535"/>
      <c r="G64" s="535"/>
      <c r="H64" s="535"/>
      <c r="I64" s="535"/>
      <c r="J64" s="535"/>
      <c r="K64" s="535"/>
      <c r="L64" s="535"/>
      <c r="M64" s="536"/>
      <c r="N64" s="1153"/>
      <c r="O64" s="1153"/>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2"/>
      <c r="O65" s="1152"/>
      <c r="P65" s="2629"/>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3"/>
      <c r="O66" s="1153"/>
      <c r="P66" s="2629"/>
      <c r="Q66" s="503"/>
    </row>
    <row r="67" spans="1:17" ht="15.75" thickTop="1">
      <c r="A67" s="533"/>
      <c r="B67" s="545" t="s">
        <v>2559</v>
      </c>
      <c r="C67" s="546" t="str">
        <f>C68&amp;"（含）"&amp;"-"&amp;D68</f>
        <v>0（含）-2</v>
      </c>
      <c r="D67" s="546" t="str">
        <f t="shared" ref="D67:L67" si="21">D68&amp;"（含）"&amp;"-"&amp;E68</f>
        <v>2（含）-4</v>
      </c>
      <c r="E67" s="546" t="str">
        <f t="shared" si="21"/>
        <v>4（含）-6</v>
      </c>
      <c r="F67" s="546" t="str">
        <f t="shared" si="21"/>
        <v>6（含）-8</v>
      </c>
      <c r="G67" s="546" t="str">
        <f t="shared" si="21"/>
        <v>8（含）-10</v>
      </c>
      <c r="H67" s="546" t="str">
        <f t="shared" si="21"/>
        <v>10（含）-</v>
      </c>
      <c r="I67" s="546" t="str">
        <f t="shared" si="21"/>
        <v>（含）-</v>
      </c>
      <c r="J67" s="546" t="str">
        <f t="shared" si="21"/>
        <v>（含）-</v>
      </c>
      <c r="K67" s="546" t="str">
        <f>K68&amp;"（含）"&amp;"-"&amp;L68</f>
        <v>（含）-</v>
      </c>
      <c r="L67" s="546" t="str">
        <f t="shared" si="21"/>
        <v>（含）-</v>
      </c>
      <c r="M67" s="447" t="str">
        <f>M68&amp;"（含）"&amp;"-"&amp;P68</f>
        <v>（含）-</v>
      </c>
      <c r="N67" s="1153"/>
      <c r="O67" s="1153"/>
      <c r="P67" s="2629"/>
      <c r="Q67" s="503"/>
    </row>
    <row r="68" spans="1:17" ht="15">
      <c r="A68" s="533"/>
      <c r="B68" s="547"/>
      <c r="C68" s="548">
        <v>0</v>
      </c>
      <c r="D68" s="548">
        <v>2</v>
      </c>
      <c r="E68" s="548">
        <v>4</v>
      </c>
      <c r="F68" s="548">
        <v>6</v>
      </c>
      <c r="G68" s="548">
        <v>8</v>
      </c>
      <c r="H68" s="548">
        <v>10</v>
      </c>
      <c r="I68" s="548"/>
      <c r="J68" s="548"/>
      <c r="K68" s="549"/>
      <c r="L68" s="550"/>
      <c r="M68" s="551"/>
      <c r="N68" s="1152"/>
      <c r="O68" s="1152"/>
      <c r="P68" s="2629"/>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3"/>
      <c r="O69" s="1153"/>
      <c r="P69" s="2629"/>
      <c r="Q69" s="503"/>
    </row>
    <row r="70" spans="1:17" s="470" customFormat="1" ht="15.75" hidden="1" thickTop="1">
      <c r="A70" s="552"/>
      <c r="B70" s="537">
        <f>B12</f>
        <v>111</v>
      </c>
      <c r="C70" s="553"/>
      <c r="D70" s="553"/>
      <c r="E70" s="553"/>
      <c r="F70" s="553"/>
      <c r="G70" s="553"/>
      <c r="H70" s="554"/>
      <c r="I70" s="554"/>
      <c r="J70" s="554"/>
      <c r="K70" s="554"/>
      <c r="L70" s="555"/>
      <c r="M70" s="556"/>
      <c r="N70" s="1154"/>
      <c r="O70" s="1154"/>
      <c r="P70" s="2630"/>
      <c r="Q70" s="558"/>
    </row>
    <row r="71" spans="1:17" s="470" customFormat="1" ht="15.75" hidden="1" thickBot="1">
      <c r="A71" s="552"/>
      <c r="B71" s="542"/>
      <c r="C71" s="559"/>
      <c r="D71" s="535"/>
      <c r="E71" s="535"/>
      <c r="F71" s="535"/>
      <c r="G71" s="535"/>
      <c r="H71" s="535"/>
      <c r="I71" s="535"/>
      <c r="J71" s="535"/>
      <c r="K71" s="535"/>
      <c r="L71" s="535"/>
      <c r="M71" s="536"/>
      <c r="N71" s="1153"/>
      <c r="O71" s="1153"/>
      <c r="P71" s="2630"/>
      <c r="Q71" s="558"/>
    </row>
    <row r="72" spans="1:17" s="470" customFormat="1" ht="15.75" hidden="1" thickTop="1">
      <c r="A72" s="552"/>
      <c r="B72" s="537">
        <f>B13</f>
        <v>111</v>
      </c>
      <c r="C72" s="553"/>
      <c r="D72" s="553"/>
      <c r="E72" s="553"/>
      <c r="F72" s="553"/>
      <c r="G72" s="553"/>
      <c r="H72" s="554"/>
      <c r="I72" s="554"/>
      <c r="J72" s="554"/>
      <c r="K72" s="554"/>
      <c r="L72" s="555"/>
      <c r="M72" s="556"/>
      <c r="N72" s="1154"/>
      <c r="O72" s="1154"/>
      <c r="P72" s="2631"/>
      <c r="Q72" s="560"/>
    </row>
    <row r="73" spans="1:17" s="470" customFormat="1" ht="15.75" hidden="1" thickBot="1">
      <c r="A73" s="552"/>
      <c r="B73" s="542"/>
      <c r="C73" s="559"/>
      <c r="D73" s="559"/>
      <c r="E73" s="559"/>
      <c r="F73" s="559"/>
      <c r="G73" s="559"/>
      <c r="H73" s="561"/>
      <c r="I73" s="561"/>
      <c r="J73" s="561"/>
      <c r="K73" s="561"/>
      <c r="L73" s="561"/>
      <c r="M73" s="562"/>
      <c r="N73" s="1154"/>
      <c r="O73" s="1154"/>
      <c r="P73" s="2630"/>
      <c r="Q73" s="558"/>
    </row>
    <row r="74" spans="1:17" s="470" customFormat="1" ht="15.75" hidden="1" thickTop="1">
      <c r="A74" s="552"/>
      <c r="B74" s="545">
        <f>B14</f>
        <v>111</v>
      </c>
      <c r="C74" s="553"/>
      <c r="D74" s="553"/>
      <c r="E74" s="553"/>
      <c r="F74" s="553"/>
      <c r="G74" s="522"/>
      <c r="H74" s="563"/>
      <c r="I74" s="563"/>
      <c r="J74" s="563"/>
      <c r="K74" s="563"/>
      <c r="L74" s="564"/>
      <c r="M74" s="565"/>
      <c r="N74" s="1154"/>
      <c r="O74" s="1154"/>
      <c r="P74" s="2632"/>
      <c r="Q74" s="558"/>
    </row>
    <row r="75" spans="1:17" s="470" customFormat="1" ht="15.75" hidden="1" thickBot="1">
      <c r="A75" s="567"/>
      <c r="B75" s="568"/>
      <c r="C75" s="569"/>
      <c r="D75" s="569"/>
      <c r="E75" s="569"/>
      <c r="F75" s="569"/>
      <c r="G75" s="569"/>
      <c r="H75" s="570"/>
      <c r="I75" s="570"/>
      <c r="J75" s="570"/>
      <c r="K75" s="570"/>
      <c r="L75" s="570"/>
      <c r="M75" s="571"/>
      <c r="N75" s="1154"/>
      <c r="O75" s="1154"/>
      <c r="P75" s="2630"/>
      <c r="Q75" s="558"/>
    </row>
    <row r="76" spans="1:17" ht="15" thickTop="1">
      <c r="A76" s="526" t="s">
        <v>2560</v>
      </c>
      <c r="B76" s="527" t="s">
        <v>2597</v>
      </c>
      <c r="C76" s="572" t="s">
        <v>2598</v>
      </c>
      <c r="D76" s="572" t="s">
        <v>2599</v>
      </c>
      <c r="E76" s="572" t="s">
        <v>2600</v>
      </c>
      <c r="F76" s="572" t="s">
        <v>2601</v>
      </c>
      <c r="G76" s="572" t="s">
        <v>2602</v>
      </c>
      <c r="H76" s="528"/>
      <c r="I76" s="528"/>
      <c r="J76" s="528"/>
      <c r="K76" s="573"/>
      <c r="L76" s="574"/>
      <c r="M76" s="575"/>
      <c r="N76" s="1152"/>
      <c r="O76" s="1152"/>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3"/>
      <c r="O77" s="1153"/>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2"/>
      <c r="O78" s="1152"/>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3"/>
      <c r="O79" s="1153"/>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2"/>
      <c r="O80" s="1152"/>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3"/>
      <c r="O81" s="1153"/>
      <c r="P81" s="2629"/>
      <c r="Q81" s="503"/>
    </row>
    <row r="82" spans="1:17" ht="15.75" thickTop="1">
      <c r="A82" s="533"/>
      <c r="B82" s="545" t="s">
        <v>2100</v>
      </c>
      <c r="C82" s="538" t="s">
        <v>2605</v>
      </c>
      <c r="D82" s="538" t="s">
        <v>2606</v>
      </c>
      <c r="E82" s="538" t="s">
        <v>2607</v>
      </c>
      <c r="F82" s="538" t="s">
        <v>2608</v>
      </c>
      <c r="G82" s="538" t="s">
        <v>2609</v>
      </c>
      <c r="H82" s="538"/>
      <c r="I82" s="538"/>
      <c r="J82" s="538"/>
      <c r="K82" s="538"/>
      <c r="L82" s="538"/>
      <c r="M82" s="1382"/>
      <c r="N82" s="1153"/>
      <c r="O82" s="1153"/>
      <c r="P82" s="2629"/>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3"/>
      <c r="O83" s="1153"/>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2"/>
      <c r="O84" s="1152"/>
      <c r="P84" s="2629"/>
      <c r="Q84" s="503"/>
    </row>
    <row r="85" spans="1:17" ht="15.75" thickBot="1">
      <c r="A85" s="533"/>
      <c r="B85" s="542"/>
      <c r="C85" s="543">
        <v>100</v>
      </c>
      <c r="D85" s="543">
        <f>C85-$K23</f>
        <v>97</v>
      </c>
      <c r="E85" s="543">
        <f>D85-$K23</f>
        <v>94</v>
      </c>
      <c r="F85" s="543">
        <f>E85-$K23</f>
        <v>91</v>
      </c>
      <c r="G85" s="543">
        <f>F85-$K23</f>
        <v>88</v>
      </c>
      <c r="H85" s="543"/>
      <c r="I85" s="543"/>
      <c r="J85" s="543"/>
      <c r="K85" s="543"/>
      <c r="L85" s="543"/>
      <c r="M85" s="544"/>
      <c r="N85" s="1153"/>
      <c r="O85" s="1153"/>
      <c r="P85" s="2629"/>
      <c r="Q85" s="503"/>
    </row>
    <row r="86" spans="1:17" s="116" customFormat="1" ht="15.75" hidden="1" thickTop="1">
      <c r="A86" s="578"/>
      <c r="B86" s="537" t="s">
        <v>2611</v>
      </c>
      <c r="C86" s="553"/>
      <c r="D86" s="553"/>
      <c r="E86" s="553"/>
      <c r="F86" s="553"/>
      <c r="G86" s="553"/>
      <c r="H86" s="553"/>
      <c r="I86" s="553"/>
      <c r="J86" s="553"/>
      <c r="K86" s="553"/>
      <c r="L86" s="579"/>
      <c r="M86" s="580"/>
      <c r="N86" s="1151"/>
      <c r="O86" s="1151"/>
      <c r="P86" s="2629"/>
      <c r="Q86" s="503"/>
    </row>
    <row r="87" spans="1:17" s="116" customFormat="1" ht="15.75" hidden="1"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29"/>
      <c r="Q87" s="503"/>
    </row>
    <row r="88" spans="1:17" s="116" customFormat="1" ht="15.75" hidden="1" thickTop="1">
      <c r="A88" s="578"/>
      <c r="B88" s="537" t="s">
        <v>2612</v>
      </c>
      <c r="C88" s="553"/>
      <c r="D88" s="553"/>
      <c r="E88" s="553"/>
      <c r="F88" s="2634"/>
      <c r="G88" s="553"/>
      <c r="H88" s="553"/>
      <c r="I88" s="553"/>
      <c r="J88" s="553"/>
      <c r="K88" s="553"/>
      <c r="L88" s="553"/>
      <c r="M88" s="580"/>
      <c r="N88" s="1151"/>
      <c r="O88" s="1151"/>
      <c r="P88" s="2629"/>
      <c r="Q88" s="503"/>
    </row>
    <row r="89" spans="1:17" s="116" customFormat="1" ht="15.75" hidden="1"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29"/>
      <c r="Q89" s="503"/>
    </row>
    <row r="90" spans="1:17" s="470" customFormat="1" ht="15.75" hidden="1" thickTop="1">
      <c r="A90" s="552"/>
      <c r="B90" s="537">
        <f>B27</f>
        <v>111</v>
      </c>
      <c r="C90" s="553"/>
      <c r="D90" s="553"/>
      <c r="E90" s="553"/>
      <c r="F90" s="553"/>
      <c r="G90" s="553"/>
      <c r="H90" s="554"/>
      <c r="I90" s="554"/>
      <c r="J90" s="554"/>
      <c r="K90" s="554"/>
      <c r="L90" s="555"/>
      <c r="M90" s="556"/>
      <c r="N90" s="1154"/>
      <c r="O90" s="1154"/>
      <c r="P90" s="2630"/>
      <c r="Q90" s="558"/>
    </row>
    <row r="91" spans="1:17" s="470" customFormat="1" ht="15.75" hidden="1" thickBot="1">
      <c r="A91" s="552"/>
      <c r="B91" s="542"/>
      <c r="C91" s="559"/>
      <c r="D91" s="559"/>
      <c r="E91" s="559"/>
      <c r="F91" s="559"/>
      <c r="G91" s="559"/>
      <c r="H91" s="561"/>
      <c r="I91" s="561"/>
      <c r="J91" s="561"/>
      <c r="K91" s="561"/>
      <c r="L91" s="561"/>
      <c r="M91" s="562"/>
      <c r="N91" s="1154"/>
      <c r="O91" s="1154"/>
      <c r="P91" s="2630"/>
      <c r="Q91" s="558"/>
    </row>
    <row r="92" spans="1:17" ht="15.75" hidden="1" thickTop="1">
      <c r="A92" s="533"/>
      <c r="B92" s="537">
        <f>B28</f>
        <v>111</v>
      </c>
      <c r="C92" s="553"/>
      <c r="D92" s="553"/>
      <c r="E92" s="553"/>
      <c r="F92" s="553"/>
      <c r="G92" s="582"/>
      <c r="H92" s="582"/>
      <c r="I92" s="582"/>
      <c r="J92" s="582"/>
      <c r="K92" s="583"/>
      <c r="L92" s="584"/>
      <c r="M92" s="585"/>
      <c r="N92" s="1152"/>
      <c r="O92" s="1152"/>
      <c r="P92" s="2629"/>
      <c r="Q92" s="503"/>
    </row>
    <row r="93" spans="1:17" ht="15.75" hidden="1" thickBot="1">
      <c r="A93" s="533"/>
      <c r="B93" s="542"/>
      <c r="C93" s="559"/>
      <c r="D93" s="535"/>
      <c r="E93" s="535"/>
      <c r="F93" s="535"/>
      <c r="G93" s="535"/>
      <c r="H93" s="535"/>
      <c r="I93" s="535"/>
      <c r="J93" s="535"/>
      <c r="K93" s="535"/>
      <c r="L93" s="535"/>
      <c r="M93" s="536"/>
      <c r="N93" s="1153"/>
      <c r="O93" s="1153"/>
      <c r="P93" s="2629"/>
      <c r="Q93" s="503"/>
    </row>
    <row r="94" spans="1:17" ht="15.75" hidden="1" thickTop="1">
      <c r="A94" s="533"/>
      <c r="B94" s="537">
        <f>B29</f>
        <v>111</v>
      </c>
      <c r="C94" s="553"/>
      <c r="D94" s="553"/>
      <c r="E94" s="553"/>
      <c r="F94" s="553"/>
      <c r="G94" s="582"/>
      <c r="H94" s="582"/>
      <c r="I94" s="582"/>
      <c r="J94" s="582"/>
      <c r="K94" s="583"/>
      <c r="L94" s="584"/>
      <c r="M94" s="585"/>
      <c r="N94" s="1152"/>
      <c r="O94" s="1152"/>
      <c r="P94" s="2629"/>
      <c r="Q94" s="503"/>
    </row>
    <row r="95" spans="1:17" ht="15.75" hidden="1" thickBot="1">
      <c r="A95" s="533"/>
      <c r="B95" s="542"/>
      <c r="C95" s="559"/>
      <c r="D95" s="559"/>
      <c r="E95" s="559"/>
      <c r="F95" s="559"/>
      <c r="G95" s="535"/>
      <c r="H95" s="535"/>
      <c r="I95" s="535"/>
      <c r="J95" s="535"/>
      <c r="K95" s="535"/>
      <c r="L95" s="535"/>
      <c r="M95" s="536"/>
      <c r="N95" s="1153"/>
      <c r="O95" s="1153"/>
      <c r="P95" s="2629"/>
      <c r="Q95" s="503"/>
    </row>
    <row r="96" spans="1:17" ht="15.75" hidden="1" thickTop="1">
      <c r="A96" s="533"/>
      <c r="B96" s="537">
        <f>B30</f>
        <v>111</v>
      </c>
      <c r="C96" s="553"/>
      <c r="D96" s="553"/>
      <c r="E96" s="553"/>
      <c r="F96" s="553"/>
      <c r="G96" s="582"/>
      <c r="H96" s="582"/>
      <c r="I96" s="582"/>
      <c r="J96" s="582"/>
      <c r="K96" s="583"/>
      <c r="L96" s="584"/>
      <c r="M96" s="585"/>
      <c r="N96" s="1152"/>
      <c r="O96" s="1152"/>
      <c r="P96" s="2629"/>
      <c r="Q96" s="503"/>
    </row>
    <row r="97" spans="1:17" ht="15.75" hidden="1" thickBot="1">
      <c r="A97" s="533"/>
      <c r="B97" s="542"/>
      <c r="C97" s="569"/>
      <c r="D97" s="569"/>
      <c r="E97" s="569"/>
      <c r="F97" s="569"/>
      <c r="G97" s="535"/>
      <c r="H97" s="535"/>
      <c r="I97" s="535"/>
      <c r="J97" s="535"/>
      <c r="K97" s="535"/>
      <c r="L97" s="535"/>
      <c r="M97" s="536"/>
      <c r="N97" s="1153"/>
      <c r="O97" s="1153"/>
      <c r="P97" s="2629"/>
      <c r="Q97" s="503"/>
    </row>
    <row r="98" spans="1:17" ht="15.75" hidden="1" thickTop="1">
      <c r="A98" s="533"/>
      <c r="B98" s="545">
        <f>B31</f>
        <v>111</v>
      </c>
      <c r="C98" s="586"/>
      <c r="D98" s="586"/>
      <c r="E98" s="586"/>
      <c r="F98" s="586"/>
      <c r="G98" s="586"/>
      <c r="H98" s="586"/>
      <c r="I98" s="586"/>
      <c r="J98" s="586"/>
      <c r="K98" s="587"/>
      <c r="L98" s="588"/>
      <c r="M98" s="589"/>
      <c r="N98" s="1152"/>
      <c r="O98" s="1152"/>
      <c r="P98" s="2629"/>
      <c r="Q98" s="503"/>
    </row>
    <row r="99" spans="1:17" ht="15.75" hidden="1" thickBot="1">
      <c r="A99" s="2635"/>
      <c r="B99" s="568"/>
      <c r="C99" s="590"/>
      <c r="D99" s="590"/>
      <c r="E99" s="590"/>
      <c r="F99" s="590"/>
      <c r="G99" s="590"/>
      <c r="H99" s="590"/>
      <c r="I99" s="590"/>
      <c r="J99" s="590"/>
      <c r="K99" s="590"/>
      <c r="L99" s="590"/>
      <c r="M99" s="591"/>
      <c r="N99" s="1153"/>
      <c r="O99" s="1153"/>
      <c r="P99" s="2629"/>
      <c r="Q99" s="503"/>
    </row>
    <row r="100" spans="1:17" ht="15" thickTop="1">
      <c r="A100" s="526" t="s">
        <v>2564</v>
      </c>
      <c r="B100" s="527" t="s">
        <v>2613</v>
      </c>
      <c r="C100" s="2935" t="s">
        <v>3152</v>
      </c>
      <c r="D100" s="2935" t="s">
        <v>3153</v>
      </c>
      <c r="E100" s="2935" t="s">
        <v>3154</v>
      </c>
      <c r="F100" s="2935" t="s">
        <v>3156</v>
      </c>
      <c r="G100" s="529"/>
      <c r="H100" s="529"/>
      <c r="I100" s="529"/>
      <c r="J100" s="529"/>
      <c r="K100" s="530"/>
      <c r="L100" s="531"/>
      <c r="M100" s="532"/>
      <c r="N100" s="1152"/>
      <c r="O100" s="1152"/>
      <c r="P100" s="2629"/>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29"/>
      <c r="Q101" s="503"/>
    </row>
    <row r="102" spans="1:17" ht="29.25" thickTop="1">
      <c r="A102" s="533"/>
      <c r="B102" s="537" t="s">
        <v>2614</v>
      </c>
      <c r="C102" s="577" t="str">
        <f>C103&amp;"(含)"&amp;"-"&amp;D103</f>
        <v>0(含)-100000</v>
      </c>
      <c r="D102" s="577" t="str">
        <f t="shared" ref="D102:L102" si="27">D103&amp;"(含)"&amp;"-"&amp;E103</f>
        <v>100000(含)-200000</v>
      </c>
      <c r="E102" s="577" t="str">
        <f t="shared" si="27"/>
        <v>200000(含)-300000</v>
      </c>
      <c r="F102" s="577" t="str">
        <f t="shared" si="27"/>
        <v>300000(含)-400000</v>
      </c>
      <c r="G102" s="577" t="str">
        <f t="shared" si="27"/>
        <v>400000(含)-500000</v>
      </c>
      <c r="H102" s="577" t="str">
        <f t="shared" si="27"/>
        <v>500000(含)-</v>
      </c>
      <c r="I102" s="577" t="str">
        <f t="shared" si="27"/>
        <v>(含)-</v>
      </c>
      <c r="J102" s="577" t="str">
        <f t="shared" si="27"/>
        <v>(含)-</v>
      </c>
      <c r="K102" s="577" t="str">
        <f>K103&amp;"(含)"&amp;"-"&amp;L103</f>
        <v>(含)-</v>
      </c>
      <c r="L102" s="577" t="str">
        <f t="shared" si="27"/>
        <v>(含)-</v>
      </c>
      <c r="M102" s="577" t="str">
        <f>M103&amp;"(含)"&amp;"-"&amp;P103</f>
        <v>(含)-</v>
      </c>
      <c r="N102" s="1151"/>
      <c r="O102" s="1151"/>
      <c r="P102" s="2629"/>
      <c r="Q102" s="503"/>
    </row>
    <row r="103" spans="1:17" s="470" customFormat="1">
      <c r="A103" s="592"/>
      <c r="B103" s="593"/>
      <c r="C103" s="594">
        <v>0</v>
      </c>
      <c r="D103" s="594">
        <v>100000</v>
      </c>
      <c r="E103" s="594">
        <v>200000</v>
      </c>
      <c r="F103" s="594">
        <v>300000</v>
      </c>
      <c r="G103" s="594">
        <v>400000</v>
      </c>
      <c r="H103" s="594">
        <v>500000</v>
      </c>
      <c r="I103" s="594"/>
      <c r="J103" s="595"/>
      <c r="K103" s="595"/>
      <c r="L103" s="596"/>
      <c r="M103" s="597"/>
      <c r="N103" s="1154"/>
      <c r="O103" s="1154"/>
      <c r="P103" s="2630"/>
      <c r="Q103" s="558"/>
    </row>
    <row r="104" spans="1:17" s="470" customFormat="1" ht="15.75" thickBot="1">
      <c r="A104" s="552"/>
      <c r="B104" s="542"/>
      <c r="C104" s="559">
        <v>100</v>
      </c>
      <c r="D104" s="535">
        <v>101</v>
      </c>
      <c r="E104" s="535">
        <v>102</v>
      </c>
      <c r="F104" s="535">
        <v>103</v>
      </c>
      <c r="G104" s="535">
        <v>104</v>
      </c>
      <c r="H104" s="535">
        <v>105</v>
      </c>
      <c r="I104" s="535"/>
      <c r="J104" s="535"/>
      <c r="K104" s="535"/>
      <c r="L104" s="535"/>
      <c r="M104" s="535"/>
      <c r="N104" s="1153"/>
      <c r="O104" s="1153"/>
      <c r="P104" s="2630"/>
      <c r="Q104" s="558"/>
    </row>
    <row r="105" spans="1:17" ht="15" thickTop="1">
      <c r="A105" s="598"/>
      <c r="B105" s="537" t="s">
        <v>2615</v>
      </c>
      <c r="C105" s="2936" t="s">
        <v>3158</v>
      </c>
      <c r="D105" s="2936" t="s">
        <v>3159</v>
      </c>
      <c r="E105" s="2937" t="s">
        <v>3160</v>
      </c>
      <c r="F105" s="582"/>
      <c r="G105" s="582"/>
      <c r="H105" s="582"/>
      <c r="I105" s="582"/>
      <c r="J105" s="582"/>
      <c r="K105" s="583"/>
      <c r="L105" s="584"/>
      <c r="M105" s="585"/>
      <c r="N105" s="1152"/>
      <c r="O105" s="1152"/>
      <c r="P105" s="2629"/>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29"/>
      <c r="Q106" s="503"/>
    </row>
    <row r="107" spans="1:17" ht="15" thickTop="1">
      <c r="A107" s="598"/>
      <c r="B107" s="537" t="s">
        <v>2616</v>
      </c>
      <c r="C107" s="2937" t="s">
        <v>3162</v>
      </c>
      <c r="D107" s="2937" t="s">
        <v>3164</v>
      </c>
      <c r="E107" s="2937" t="s">
        <v>3165</v>
      </c>
      <c r="F107" s="582"/>
      <c r="G107" s="582"/>
      <c r="H107" s="582"/>
      <c r="I107" s="582"/>
      <c r="J107" s="582"/>
      <c r="K107" s="583"/>
      <c r="L107" s="584"/>
      <c r="M107" s="585"/>
      <c r="N107" s="1152"/>
      <c r="O107" s="1152"/>
      <c r="P107" s="2629"/>
      <c r="Q107" s="503"/>
    </row>
    <row r="108" spans="1:17" ht="15.75" thickBot="1">
      <c r="A108" s="533"/>
      <c r="B108" s="542"/>
      <c r="C108" s="543">
        <v>100</v>
      </c>
      <c r="D108" s="543">
        <f t="shared" ref="D108:M108" si="29">C108-$K35</f>
        <v>95</v>
      </c>
      <c r="E108" s="543">
        <f t="shared" si="29"/>
        <v>90</v>
      </c>
      <c r="F108" s="543">
        <f t="shared" si="29"/>
        <v>85</v>
      </c>
      <c r="G108" s="543">
        <f t="shared" si="29"/>
        <v>80</v>
      </c>
      <c r="H108" s="543">
        <f t="shared" si="29"/>
        <v>75</v>
      </c>
      <c r="I108" s="543">
        <f t="shared" si="29"/>
        <v>70</v>
      </c>
      <c r="J108" s="543">
        <f t="shared" si="29"/>
        <v>65</v>
      </c>
      <c r="K108" s="543">
        <f t="shared" si="29"/>
        <v>60</v>
      </c>
      <c r="L108" s="543">
        <f t="shared" si="29"/>
        <v>55</v>
      </c>
      <c r="M108" s="543">
        <f t="shared" si="29"/>
        <v>50</v>
      </c>
      <c r="N108" s="1153"/>
      <c r="O108" s="1153"/>
      <c r="P108" s="2629"/>
      <c r="Q108" s="503"/>
    </row>
    <row r="109" spans="1:17" ht="15" thickTop="1">
      <c r="A109" s="598"/>
      <c r="B109" s="537" t="s">
        <v>2617</v>
      </c>
      <c r="C109" s="2936" t="s">
        <v>3167</v>
      </c>
      <c r="D109" s="2936" t="s">
        <v>3169</v>
      </c>
      <c r="E109" s="2936" t="s">
        <v>3171</v>
      </c>
      <c r="F109" s="2937" t="s">
        <v>3172</v>
      </c>
      <c r="G109" s="582"/>
      <c r="H109" s="582"/>
      <c r="I109" s="582"/>
      <c r="J109" s="582"/>
      <c r="K109" s="583"/>
      <c r="L109" s="584"/>
      <c r="M109" s="585"/>
      <c r="N109" s="1152"/>
      <c r="O109" s="1152"/>
      <c r="P109" s="2629"/>
      <c r="Q109" s="503"/>
    </row>
    <row r="110" spans="1:17" ht="15.75" thickBot="1">
      <c r="A110" s="533"/>
      <c r="B110" s="542"/>
      <c r="C110" s="543">
        <v>100</v>
      </c>
      <c r="D110" s="543">
        <f t="shared" ref="D110:M110" si="30">C110-$K36</f>
        <v>90</v>
      </c>
      <c r="E110" s="543">
        <f t="shared" si="30"/>
        <v>80</v>
      </c>
      <c r="F110" s="543">
        <f t="shared" si="30"/>
        <v>70</v>
      </c>
      <c r="G110" s="543">
        <f t="shared" si="30"/>
        <v>60</v>
      </c>
      <c r="H110" s="543">
        <f t="shared" si="30"/>
        <v>50</v>
      </c>
      <c r="I110" s="543">
        <f t="shared" si="30"/>
        <v>40</v>
      </c>
      <c r="J110" s="543">
        <f t="shared" si="30"/>
        <v>30</v>
      </c>
      <c r="K110" s="543">
        <f t="shared" si="30"/>
        <v>20</v>
      </c>
      <c r="L110" s="543">
        <f t="shared" si="30"/>
        <v>10</v>
      </c>
      <c r="M110" s="543">
        <f t="shared" si="30"/>
        <v>0</v>
      </c>
      <c r="N110" s="1153"/>
      <c r="O110" s="1153"/>
      <c r="P110" s="2629"/>
      <c r="Q110" s="503"/>
    </row>
    <row r="111" spans="1:17" s="470" customFormat="1" ht="15" hidden="1" thickTop="1">
      <c r="A111" s="592"/>
      <c r="B111" s="537" t="s">
        <v>1997</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30"/>
      <c r="Q111" s="558"/>
    </row>
    <row r="112" spans="1:17" s="470" customFormat="1" hidden="1">
      <c r="A112" s="592"/>
      <c r="B112" s="545"/>
      <c r="C112" s="602">
        <v>0.5</v>
      </c>
      <c r="D112" s="602">
        <v>0.6</v>
      </c>
      <c r="E112" s="602">
        <v>0.7</v>
      </c>
      <c r="F112" s="602">
        <v>0.8</v>
      </c>
      <c r="G112" s="602">
        <v>0.9</v>
      </c>
      <c r="H112" s="602">
        <v>1.0001</v>
      </c>
      <c r="I112" s="602"/>
      <c r="J112" s="603"/>
      <c r="K112" s="603"/>
      <c r="L112" s="604"/>
      <c r="M112" s="605"/>
      <c r="N112" s="1154"/>
      <c r="O112" s="1154"/>
      <c r="P112" s="2630"/>
      <c r="Q112" s="558"/>
    </row>
    <row r="113" spans="1:17" s="470" customFormat="1" ht="15.75" hidden="1"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30"/>
      <c r="Q113" s="558"/>
    </row>
    <row r="114" spans="1:17" ht="15" thickTop="1">
      <c r="A114" s="598"/>
      <c r="B114" s="537" t="s">
        <v>2618</v>
      </c>
      <c r="C114" s="2936" t="s">
        <v>3174</v>
      </c>
      <c r="D114" s="2936" t="s">
        <v>3175</v>
      </c>
      <c r="E114" s="582"/>
      <c r="F114" s="582"/>
      <c r="G114" s="582"/>
      <c r="H114" s="582"/>
      <c r="I114" s="582"/>
      <c r="J114" s="582"/>
      <c r="K114" s="583"/>
      <c r="L114" s="584"/>
      <c r="M114" s="585"/>
      <c r="N114" s="1152"/>
      <c r="O114" s="1152"/>
      <c r="P114" s="2629"/>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29"/>
      <c r="Q115" s="503"/>
    </row>
    <row r="116" spans="1:17" ht="15" thickTop="1">
      <c r="A116" s="598"/>
      <c r="B116" s="537" t="s">
        <v>2619</v>
      </c>
      <c r="C116" s="2936" t="s">
        <v>3176</v>
      </c>
      <c r="D116" s="2936" t="s">
        <v>3177</v>
      </c>
      <c r="E116" s="2936" t="s">
        <v>3178</v>
      </c>
      <c r="F116" s="2936" t="s">
        <v>3179</v>
      </c>
      <c r="G116" s="2936" t="s">
        <v>3180</v>
      </c>
      <c r="H116" s="582"/>
      <c r="I116" s="582"/>
      <c r="J116" s="582"/>
      <c r="K116" s="583"/>
      <c r="L116" s="584"/>
      <c r="M116" s="585"/>
      <c r="N116" s="1152"/>
      <c r="O116" s="1152"/>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9"/>
      <c r="Q117" s="503"/>
    </row>
    <row r="118" spans="1:17" ht="15" hidden="1" thickTop="1">
      <c r="A118" s="598"/>
      <c r="B118" s="537" t="s">
        <v>2620</v>
      </c>
      <c r="C118" s="582"/>
      <c r="D118" s="582"/>
      <c r="E118" s="582"/>
      <c r="F118" s="582"/>
      <c r="G118" s="582"/>
      <c r="H118" s="582"/>
      <c r="I118" s="582"/>
      <c r="J118" s="582"/>
      <c r="K118" s="583"/>
      <c r="L118" s="584"/>
      <c r="M118" s="585"/>
      <c r="N118" s="1152"/>
      <c r="O118" s="1152"/>
      <c r="P118" s="2629"/>
      <c r="Q118" s="503"/>
    </row>
    <row r="119" spans="1:17" ht="15.75" hidden="1"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29"/>
      <c r="Q119" s="503"/>
    </row>
    <row r="120" spans="1:17" s="470" customFormat="1" ht="28.5" thickTop="1">
      <c r="A120" s="592"/>
      <c r="B120" s="537" t="s">
        <v>2575</v>
      </c>
      <c r="C120" s="553" t="s">
        <v>3181</v>
      </c>
      <c r="D120" s="553" t="s">
        <v>3182</v>
      </c>
      <c r="E120" s="553" t="s">
        <v>3183</v>
      </c>
      <c r="F120" s="553"/>
      <c r="G120" s="553"/>
      <c r="H120" s="553"/>
      <c r="I120" s="553"/>
      <c r="J120" s="553"/>
      <c r="K120" s="553"/>
      <c r="L120" s="579"/>
      <c r="M120" s="580"/>
      <c r="N120" s="1154"/>
      <c r="O120" s="1154"/>
      <c r="P120" s="2630"/>
      <c r="Q120" s="558"/>
    </row>
    <row r="121" spans="1:17" s="470" customFormat="1" ht="15.75" thickBot="1">
      <c r="A121" s="552"/>
      <c r="B121" s="534"/>
      <c r="C121" s="559">
        <v>100</v>
      </c>
      <c r="D121" s="535">
        <v>102</v>
      </c>
      <c r="E121" s="535">
        <v>104</v>
      </c>
      <c r="F121" s="535"/>
      <c r="G121" s="535"/>
      <c r="H121" s="535"/>
      <c r="I121" s="535"/>
      <c r="J121" s="535"/>
      <c r="K121" s="535"/>
      <c r="L121" s="535"/>
      <c r="M121" s="535"/>
      <c r="N121" s="1154"/>
      <c r="O121" s="1154"/>
      <c r="P121" s="2630"/>
      <c r="Q121" s="558"/>
    </row>
    <row r="122" spans="1:17" ht="15" thickTop="1">
      <c r="A122" s="598"/>
      <c r="B122" s="537" t="s">
        <v>2621</v>
      </c>
      <c r="C122" s="2936" t="s">
        <v>3167</v>
      </c>
      <c r="D122" s="2936" t="s">
        <v>3169</v>
      </c>
      <c r="E122" s="2936" t="s">
        <v>3171</v>
      </c>
      <c r="F122" s="2937" t="s">
        <v>3172</v>
      </c>
      <c r="G122" s="582"/>
      <c r="H122" s="582"/>
      <c r="I122" s="582"/>
      <c r="J122" s="582"/>
      <c r="K122" s="583"/>
      <c r="L122" s="584"/>
      <c r="M122" s="585"/>
      <c r="N122" s="1152"/>
      <c r="O122" s="1152"/>
      <c r="P122" s="2629"/>
      <c r="Q122" s="503"/>
    </row>
    <row r="123" spans="1:17" ht="15.75" thickBot="1">
      <c r="A123" s="533"/>
      <c r="B123" s="542"/>
      <c r="C123" s="543">
        <v>100</v>
      </c>
      <c r="D123" s="543">
        <f t="shared" ref="D123:M123" si="33">C123-$K42</f>
        <v>90</v>
      </c>
      <c r="E123" s="543">
        <f t="shared" si="33"/>
        <v>80</v>
      </c>
      <c r="F123" s="543">
        <f t="shared" si="33"/>
        <v>70</v>
      </c>
      <c r="G123" s="543">
        <f t="shared" si="33"/>
        <v>60</v>
      </c>
      <c r="H123" s="543">
        <f t="shared" si="33"/>
        <v>50</v>
      </c>
      <c r="I123" s="543">
        <f t="shared" si="33"/>
        <v>40</v>
      </c>
      <c r="J123" s="543">
        <f t="shared" si="33"/>
        <v>30</v>
      </c>
      <c r="K123" s="543">
        <f t="shared" si="33"/>
        <v>20</v>
      </c>
      <c r="L123" s="543">
        <f t="shared" si="33"/>
        <v>10</v>
      </c>
      <c r="M123" s="543">
        <f t="shared" si="33"/>
        <v>0</v>
      </c>
      <c r="N123" s="1153"/>
      <c r="O123" s="1153"/>
      <c r="P123" s="2629"/>
      <c r="Q123" s="503"/>
    </row>
    <row r="124" spans="1:17" ht="15" hidden="1" thickTop="1">
      <c r="A124" s="598"/>
      <c r="B124" s="537" t="s">
        <v>2622</v>
      </c>
      <c r="C124" s="577" t="s">
        <v>2598</v>
      </c>
      <c r="D124" s="577" t="s">
        <v>2599</v>
      </c>
      <c r="E124" s="577" t="s">
        <v>2600</v>
      </c>
      <c r="F124" s="577" t="s">
        <v>2601</v>
      </c>
      <c r="G124" s="577" t="s">
        <v>2602</v>
      </c>
      <c r="H124" s="538"/>
      <c r="I124" s="538"/>
      <c r="J124" s="538"/>
      <c r="K124" s="539"/>
      <c r="L124" s="540"/>
      <c r="M124" s="541"/>
      <c r="N124" s="1152"/>
      <c r="O124" s="1152"/>
      <c r="P124" s="2630"/>
      <c r="Q124" s="503"/>
    </row>
    <row r="125" spans="1:17" ht="15.75" hidden="1"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9"/>
      <c r="Q125" s="503"/>
    </row>
    <row r="126" spans="1:17" s="470" customFormat="1" ht="15" hidden="1" thickTop="1">
      <c r="A126" s="592"/>
      <c r="B126" s="537">
        <f>B44</f>
        <v>111</v>
      </c>
      <c r="C126" s="553"/>
      <c r="D126" s="553"/>
      <c r="E126" s="553"/>
      <c r="F126" s="553"/>
      <c r="G126" s="553"/>
      <c r="H126" s="554"/>
      <c r="I126" s="554"/>
      <c r="J126" s="554"/>
      <c r="K126" s="554"/>
      <c r="L126" s="555"/>
      <c r="M126" s="556"/>
      <c r="N126" s="1154"/>
      <c r="O126" s="1154"/>
      <c r="P126" s="2630"/>
      <c r="Q126" s="558"/>
    </row>
    <row r="127" spans="1:17" s="470" customFormat="1" ht="15.75" hidden="1" thickBot="1">
      <c r="A127" s="552"/>
      <c r="B127" s="542"/>
      <c r="C127" s="559"/>
      <c r="D127" s="535"/>
      <c r="E127" s="535"/>
      <c r="F127" s="535"/>
      <c r="G127" s="559"/>
      <c r="H127" s="561"/>
      <c r="I127" s="561"/>
      <c r="J127" s="561"/>
      <c r="K127" s="561"/>
      <c r="L127" s="561"/>
      <c r="M127" s="562"/>
      <c r="N127" s="1154"/>
      <c r="O127" s="1154"/>
      <c r="P127" s="2630"/>
      <c r="Q127" s="558"/>
    </row>
    <row r="128" spans="1:17" ht="15" hidden="1" thickTop="1">
      <c r="A128" s="598"/>
      <c r="B128" s="537">
        <f>B45</f>
        <v>111</v>
      </c>
      <c r="C128" s="553"/>
      <c r="D128" s="553"/>
      <c r="E128" s="553"/>
      <c r="F128" s="553"/>
      <c r="G128" s="582"/>
      <c r="H128" s="582"/>
      <c r="I128" s="582"/>
      <c r="J128" s="582"/>
      <c r="K128" s="583"/>
      <c r="L128" s="584"/>
      <c r="M128" s="585"/>
      <c r="N128" s="1152"/>
      <c r="O128" s="1152"/>
      <c r="P128" s="2629"/>
      <c r="Q128" s="503"/>
    </row>
    <row r="129" spans="1:17" ht="15.75" hidden="1" thickBot="1">
      <c r="A129" s="533"/>
      <c r="B129" s="542"/>
      <c r="C129" s="559"/>
      <c r="D129" s="559"/>
      <c r="E129" s="559"/>
      <c r="F129" s="559"/>
      <c r="G129" s="535"/>
      <c r="H129" s="535"/>
      <c r="I129" s="535"/>
      <c r="J129" s="535"/>
      <c r="K129" s="535"/>
      <c r="L129" s="535"/>
      <c r="M129" s="536"/>
      <c r="N129" s="1153"/>
      <c r="O129" s="1153"/>
      <c r="P129" s="2629"/>
      <c r="Q129" s="503"/>
    </row>
    <row r="130" spans="1:17" ht="15" hidden="1" thickTop="1">
      <c r="A130" s="598"/>
      <c r="B130" s="545">
        <f>B46</f>
        <v>111</v>
      </c>
      <c r="C130" s="553"/>
      <c r="D130" s="553"/>
      <c r="E130" s="553"/>
      <c r="F130" s="553"/>
      <c r="G130" s="586"/>
      <c r="H130" s="586"/>
      <c r="I130" s="586"/>
      <c r="J130" s="586"/>
      <c r="K130" s="522"/>
      <c r="L130" s="523"/>
      <c r="M130" s="589"/>
      <c r="N130" s="1152"/>
      <c r="O130" s="1152"/>
      <c r="P130" s="2629"/>
      <c r="Q130" s="503"/>
    </row>
    <row r="131" spans="1:17" ht="15.75" hidden="1" thickBot="1">
      <c r="A131" s="2635"/>
      <c r="B131" s="568"/>
      <c r="C131" s="569"/>
      <c r="D131" s="569"/>
      <c r="E131" s="569"/>
      <c r="F131" s="569"/>
      <c r="G131" s="590"/>
      <c r="H131" s="590"/>
      <c r="I131" s="590"/>
      <c r="J131" s="590"/>
      <c r="K131" s="590"/>
      <c r="L131" s="590"/>
      <c r="M131" s="591"/>
      <c r="N131" s="1153"/>
      <c r="O131" s="1153"/>
      <c r="P131" s="2629"/>
      <c r="Q131" s="503"/>
    </row>
    <row r="132" spans="1:17" ht="15" thickTop="1"/>
    <row r="136" spans="1:17" ht="15" thickBot="1">
      <c r="B136" s="2636" t="s">
        <v>2623</v>
      </c>
    </row>
    <row r="137" spans="1:17" ht="15">
      <c r="B137" s="2637" t="s">
        <v>2624</v>
      </c>
      <c r="C137" s="2638"/>
      <c r="D137" s="2638"/>
      <c r="E137" s="2638"/>
      <c r="F137" s="2638"/>
      <c r="G137" s="2639"/>
      <c r="H137" s="2640"/>
      <c r="I137" s="2641" t="s">
        <v>2625</v>
      </c>
      <c r="J137" s="2638"/>
      <c r="K137" s="2642"/>
    </row>
    <row r="138" spans="1:17" ht="15">
      <c r="B138" s="2643"/>
      <c r="C138" s="144" t="s">
        <v>2626</v>
      </c>
      <c r="D138" s="144" t="s">
        <v>2627</v>
      </c>
      <c r="E138" s="2644" t="s">
        <v>2628</v>
      </c>
      <c r="F138" s="2645" t="s">
        <v>2629</v>
      </c>
      <c r="G138" s="144" t="s">
        <v>2627</v>
      </c>
      <c r="H138" s="145" t="s">
        <v>2628</v>
      </c>
      <c r="I138" s="2646"/>
      <c r="J138" s="144" t="s">
        <v>2630</v>
      </c>
      <c r="K138" s="145" t="s">
        <v>2631</v>
      </c>
    </row>
    <row r="139" spans="1:17" ht="15">
      <c r="B139" s="1085">
        <v>6</v>
      </c>
      <c r="C139" s="1086">
        <v>96</v>
      </c>
      <c r="D139" s="2647" t="s">
        <v>2632</v>
      </c>
      <c r="E139" s="1087">
        <v>100</v>
      </c>
      <c r="F139" s="1088">
        <v>102.5</v>
      </c>
      <c r="G139" s="2647" t="s">
        <v>2632</v>
      </c>
      <c r="H139" s="1089">
        <v>105</v>
      </c>
      <c r="I139" s="2648" t="s">
        <v>2633</v>
      </c>
      <c r="J139" s="1086">
        <v>20</v>
      </c>
      <c r="K139" s="1090">
        <f>C145/(J139-2)</f>
        <v>4.0555555555555553E-3</v>
      </c>
    </row>
    <row r="140" spans="1:17" ht="15">
      <c r="B140" s="1091">
        <v>5</v>
      </c>
      <c r="C140" s="1092">
        <v>100</v>
      </c>
      <c r="D140" s="1092"/>
      <c r="E140" s="1093"/>
      <c r="F140" s="1094">
        <v>102</v>
      </c>
      <c r="G140" s="1092"/>
      <c r="H140" s="1095"/>
      <c r="I140" s="2649" t="s">
        <v>2634</v>
      </c>
      <c r="J140" s="314">
        <f>ROUNDUP((J139-1)/2,0)</f>
        <v>10</v>
      </c>
      <c r="K140" s="1096">
        <v>100</v>
      </c>
    </row>
    <row r="141" spans="1:17" ht="15">
      <c r="B141" s="1091">
        <v>4</v>
      </c>
      <c r="C141" s="1092">
        <v>102</v>
      </c>
      <c r="D141" s="1092"/>
      <c r="E141" s="1093"/>
      <c r="F141" s="1094">
        <v>101.5</v>
      </c>
      <c r="G141" s="1092"/>
      <c r="H141" s="1095"/>
      <c r="I141" s="2649" t="s">
        <v>2635</v>
      </c>
      <c r="J141" s="314">
        <v>1</v>
      </c>
      <c r="K141" s="1097">
        <f>ROUND(100+(J141-J140)*K139*100,1)</f>
        <v>96.4</v>
      </c>
    </row>
    <row r="142" spans="1:17" ht="15">
      <c r="B142" s="1091">
        <v>3</v>
      </c>
      <c r="C142" s="1092">
        <v>103</v>
      </c>
      <c r="D142" s="1092"/>
      <c r="E142" s="1093"/>
      <c r="F142" s="1094">
        <v>101</v>
      </c>
      <c r="G142" s="1092"/>
      <c r="H142" s="1095"/>
      <c r="I142" s="2649" t="s">
        <v>2636</v>
      </c>
      <c r="J142" s="314">
        <f>J139</f>
        <v>20</v>
      </c>
      <c r="K142" s="1098">
        <v>95</v>
      </c>
    </row>
    <row r="143" spans="1:17" ht="15">
      <c r="B143" s="1091">
        <v>2</v>
      </c>
      <c r="C143" s="1092">
        <v>100</v>
      </c>
      <c r="D143" s="1092"/>
      <c r="E143" s="1093"/>
      <c r="F143" s="1094">
        <v>100.5</v>
      </c>
      <c r="G143" s="1092"/>
      <c r="H143" s="1095"/>
      <c r="I143" s="2649" t="s">
        <v>2637</v>
      </c>
      <c r="J143" s="1092">
        <v>15</v>
      </c>
      <c r="K143" s="1097">
        <f>ROUND(100+(J143-J140)*K139*100,1)</f>
        <v>102</v>
      </c>
    </row>
    <row r="144" spans="1:17" ht="15">
      <c r="B144" s="1091">
        <v>1</v>
      </c>
      <c r="C144" s="1092">
        <v>98</v>
      </c>
      <c r="D144" s="2650" t="s">
        <v>2638</v>
      </c>
      <c r="E144" s="1093">
        <v>102</v>
      </c>
      <c r="F144" s="1099">
        <v>100</v>
      </c>
      <c r="G144" s="2650" t="s">
        <v>2638</v>
      </c>
      <c r="H144" s="1095">
        <v>105</v>
      </c>
      <c r="I144" s="2649" t="s">
        <v>2637</v>
      </c>
      <c r="J144" s="1092">
        <v>18</v>
      </c>
      <c r="K144" s="1097">
        <f>ROUND(100+(J144-J140)*K139*100,1)</f>
        <v>103.2</v>
      </c>
    </row>
    <row r="145" spans="2:11" ht="15.75" thickBot="1">
      <c r="B145" s="2651" t="s">
        <v>2639</v>
      </c>
      <c r="C145" s="1100">
        <f>ROUND(MAX(C139:C144)/MIN(C139:C144)-1,3)</f>
        <v>7.2999999999999995E-2</v>
      </c>
      <c r="D145" s="1101"/>
      <c r="E145" s="1101"/>
      <c r="F145" s="2652" t="s">
        <v>2640</v>
      </c>
      <c r="G145" s="2653"/>
      <c r="H145" s="2654"/>
      <c r="I145" s="2655" t="s">
        <v>2637</v>
      </c>
      <c r="J145" s="1102">
        <v>8</v>
      </c>
      <c r="K145" s="1103">
        <f>ROUND(100+(J145-J140)*K139*100,1)</f>
        <v>99.2</v>
      </c>
    </row>
    <row r="147" spans="2:11">
      <c r="B147" s="2636" t="s">
        <v>2641</v>
      </c>
    </row>
    <row r="148" spans="2:11">
      <c r="B148" s="2636"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2529</v>
      </c>
      <c r="B1" s="2581" t="s">
        <v>2643</v>
      </c>
      <c r="C1" s="1635" t="s">
        <v>2531</v>
      </c>
      <c r="D1" s="1622"/>
      <c r="E1" s="2656"/>
      <c r="F1" s="2583"/>
      <c r="G1" s="1632" t="s">
        <v>2644</v>
      </c>
      <c r="H1" s="1631"/>
      <c r="I1" s="1631"/>
      <c r="J1" s="1631"/>
      <c r="K1" s="1633"/>
      <c r="L1" s="1634"/>
      <c r="M1" s="1635"/>
      <c r="N1" s="1635"/>
      <c r="O1" s="1635"/>
      <c r="P1" s="2657"/>
      <c r="Q1" s="2658"/>
      <c r="R1" s="2658"/>
      <c r="S1" s="2658"/>
      <c r="T1" s="2658"/>
      <c r="U1" s="2658"/>
      <c r="V1" s="2658"/>
      <c r="W1" s="2658"/>
      <c r="X1" s="2658"/>
      <c r="Y1" s="2658"/>
      <c r="Z1" s="2658"/>
      <c r="AA1" s="2658"/>
      <c r="AB1" s="2658"/>
      <c r="AC1" s="2659"/>
    </row>
    <row r="2" spans="1:29" s="397" customFormat="1" ht="28.5" customHeight="1" thickTop="1">
      <c r="A2" s="1618" t="s">
        <v>2331</v>
      </c>
      <c r="B2" s="1418" t="e">
        <f ca="1">IF(C2="——",ROUND(C49*D3/10000,0),ROUND(C49*D3/10000,0)-D2)</f>
        <v>#DIV/0!</v>
      </c>
      <c r="C2" s="2585"/>
      <c r="D2" s="1365" t="e">
        <f ca="1">SUMIF(INDIRECT("'"&amp;F2&amp;"'"&amp;"!A:A"),"承租人权益价值",INDIRECT("'"&amp;F2&amp;"'"&amp;"!c:c"))</f>
        <v>#REF!</v>
      </c>
      <c r="E2" s="2586" t="s">
        <v>2332</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7" customFormat="1" ht="28.5" customHeight="1" thickBot="1">
      <c r="A3" s="246" t="s">
        <v>2333</v>
      </c>
      <c r="B3" s="608" t="e">
        <f ca="1">IF(C2="——",C49,ROUND(B2*10000/D3,0))</f>
        <v>#DIV/0!</v>
      </c>
      <c r="C3" s="399" t="s">
        <v>2645</v>
      </c>
      <c r="D3" s="398">
        <f>IF(D1="",'数据-汇总表'!E3,SUMIF('数据-汇总表'!$C19:$C33,D1,'数据-汇总表'!$E19:$E33))</f>
        <v>210018.96</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0" t="s">
        <v>2646</v>
      </c>
      <c r="B4" s="401"/>
      <c r="C4" s="3139" t="s">
        <v>2647</v>
      </c>
      <c r="D4" s="3152"/>
      <c r="E4" s="3153" t="s">
        <v>2648</v>
      </c>
      <c r="F4" s="3154"/>
      <c r="G4" s="3139" t="s">
        <v>2649</v>
      </c>
      <c r="H4" s="3152"/>
      <c r="I4" s="3139" t="s">
        <v>2650</v>
      </c>
      <c r="J4" s="3152"/>
      <c r="K4" s="609" t="s">
        <v>2651</v>
      </c>
      <c r="L4" s="1130"/>
      <c r="M4" s="1131"/>
      <c r="N4" s="1131"/>
      <c r="O4" s="1131"/>
      <c r="P4" s="3155" t="s">
        <v>2652</v>
      </c>
      <c r="Q4" s="3156"/>
      <c r="R4" s="3161" t="s">
        <v>2648</v>
      </c>
      <c r="S4" s="3162"/>
      <c r="T4" s="3161" t="s">
        <v>2649</v>
      </c>
      <c r="U4" s="3162"/>
      <c r="V4" s="3148" t="s">
        <v>2650</v>
      </c>
      <c r="W4" s="3148"/>
      <c r="X4" s="1814"/>
      <c r="Y4" s="3161" t="s">
        <v>2652</v>
      </c>
      <c r="Z4" s="3162"/>
      <c r="AA4" s="3149" t="s">
        <v>2648</v>
      </c>
      <c r="AB4" s="3148" t="s">
        <v>2649</v>
      </c>
      <c r="AC4" s="3149" t="s">
        <v>2650</v>
      </c>
    </row>
    <row r="5" spans="1:29" ht="15">
      <c r="A5" s="403"/>
      <c r="B5" s="404"/>
      <c r="C5" s="3213" t="s">
        <v>2543</v>
      </c>
      <c r="D5" s="3170"/>
      <c r="E5" s="3216" t="s">
        <v>2544</v>
      </c>
      <c r="F5" s="3177"/>
      <c r="G5" s="3213" t="s">
        <v>2545</v>
      </c>
      <c r="H5" s="3170"/>
      <c r="I5" s="3213" t="s">
        <v>2546</v>
      </c>
      <c r="J5" s="3170"/>
      <c r="K5" s="609"/>
      <c r="L5" s="1130"/>
      <c r="M5" s="1131"/>
      <c r="N5" s="1131"/>
      <c r="O5" s="1131"/>
      <c r="P5" s="3157"/>
      <c r="Q5" s="3158"/>
      <c r="R5" s="3163"/>
      <c r="S5" s="3164"/>
      <c r="T5" s="3163"/>
      <c r="U5" s="3164"/>
      <c r="V5" s="3148"/>
      <c r="W5" s="3148"/>
      <c r="X5" s="1814"/>
      <c r="Y5" s="3163"/>
      <c r="Z5" s="3164"/>
      <c r="AA5" s="3150"/>
      <c r="AB5" s="3148"/>
      <c r="AC5" s="3150"/>
    </row>
    <row r="6" spans="1:29" ht="15.75" thickBot="1">
      <c r="A6" s="405"/>
      <c r="B6" s="406"/>
      <c r="C6" s="3214" t="s">
        <v>2547</v>
      </c>
      <c r="D6" s="3168"/>
      <c r="E6" s="3215" t="s">
        <v>2547</v>
      </c>
      <c r="F6" s="3175"/>
      <c r="G6" s="3214" t="s">
        <v>2547</v>
      </c>
      <c r="H6" s="3168"/>
      <c r="I6" s="3214" t="s">
        <v>2547</v>
      </c>
      <c r="J6" s="3168"/>
      <c r="K6" s="609" t="s">
        <v>2548</v>
      </c>
      <c r="L6" s="1130"/>
      <c r="M6" s="1131"/>
      <c r="N6" s="1131"/>
      <c r="O6" s="1131"/>
      <c r="P6" s="3159"/>
      <c r="Q6" s="3160"/>
      <c r="R6" s="3163"/>
      <c r="S6" s="3164"/>
      <c r="T6" s="3165"/>
      <c r="U6" s="3166"/>
      <c r="V6" s="3148"/>
      <c r="W6" s="3148"/>
      <c r="X6" s="1814"/>
      <c r="Y6" s="3165"/>
      <c r="Z6" s="3166"/>
      <c r="AA6" s="3151"/>
      <c r="AB6" s="3148"/>
      <c r="AC6" s="3151"/>
    </row>
    <row r="7" spans="1:29" s="116" customFormat="1" ht="15.75" thickBot="1">
      <c r="A7" s="407" t="s">
        <v>2549</v>
      </c>
      <c r="B7" s="408"/>
      <c r="C7" s="409">
        <f>'数据-取费表'!B2</f>
        <v>43025</v>
      </c>
      <c r="D7" s="410">
        <v>100</v>
      </c>
      <c r="E7" s="411"/>
      <c r="F7" s="412">
        <f>SUMIF(58:58,YEAR(E7)&amp;"-"&amp;MONTH(E7),59:59)</f>
        <v>0</v>
      </c>
      <c r="G7" s="411"/>
      <c r="H7" s="410">
        <f>SUMIF(58:58,YEAR(G7)&amp;"-"&amp;MONTH(G7),59:59)</f>
        <v>0</v>
      </c>
      <c r="I7" s="411"/>
      <c r="J7" s="410">
        <f>SUMIF(58:58,YEAR(I7)&amp;"-"&amp;MONTH(I7),59:59)</f>
        <v>0</v>
      </c>
      <c r="K7" s="610"/>
      <c r="L7" s="1132"/>
      <c r="M7" s="1133"/>
      <c r="N7" s="1133"/>
      <c r="O7" s="1133"/>
      <c r="P7" s="3171" t="s">
        <v>2550</v>
      </c>
      <c r="Q7" s="3173"/>
      <c r="R7" s="769" t="s">
        <v>17</v>
      </c>
      <c r="S7" s="770">
        <f t="shared" ref="S7:S15" si="0">F7</f>
        <v>0</v>
      </c>
      <c r="T7" s="769" t="s">
        <v>17</v>
      </c>
      <c r="U7" s="770">
        <f t="shared" ref="U7:U15" si="1">H7</f>
        <v>0</v>
      </c>
      <c r="V7" s="769" t="s">
        <v>17</v>
      </c>
      <c r="W7" s="770">
        <f t="shared" ref="W7:W15" si="2">J7</f>
        <v>0</v>
      </c>
      <c r="X7" s="771"/>
      <c r="Y7" s="3171" t="s">
        <v>2550</v>
      </c>
      <c r="Z7" s="3172"/>
      <c r="AA7" s="772" t="e">
        <f>D7/F7</f>
        <v>#DIV/0!</v>
      </c>
      <c r="AB7" s="772" t="e">
        <f>D7/H7</f>
        <v>#DIV/0!</v>
      </c>
      <c r="AC7" s="772" t="e">
        <f>D7/J7</f>
        <v>#DIV/0!</v>
      </c>
    </row>
    <row r="8" spans="1:29" s="116" customFormat="1" ht="15.75" thickBot="1">
      <c r="A8" s="407" t="s">
        <v>2551</v>
      </c>
      <c r="B8" s="408"/>
      <c r="C8" s="413" t="s">
        <v>2653</v>
      </c>
      <c r="D8" s="410">
        <v>100</v>
      </c>
      <c r="E8" s="413"/>
      <c r="F8" s="412">
        <f>SUMIF(61:61,E8,62:62)-SUMIF(61:61,C8,62:62)+100</f>
        <v>0</v>
      </c>
      <c r="G8" s="413"/>
      <c r="H8" s="410">
        <f>SUMIF(61:61,G8,62:62)-SUMIF(61:61,C8,62:62)+100</f>
        <v>0</v>
      </c>
      <c r="I8" s="413"/>
      <c r="J8" s="410">
        <f>SUMIF(61:61,I8,62:62)-SUMIF(61:61,C8,62:62)+100</f>
        <v>0</v>
      </c>
      <c r="K8" s="610"/>
      <c r="L8" s="1132"/>
      <c r="M8" s="1133"/>
      <c r="N8" s="1133"/>
      <c r="O8" s="1133"/>
      <c r="P8" s="3171" t="s">
        <v>2553</v>
      </c>
      <c r="Q8" s="3172"/>
      <c r="R8" s="769" t="s">
        <v>17</v>
      </c>
      <c r="S8" s="770">
        <f t="shared" si="0"/>
        <v>0</v>
      </c>
      <c r="T8" s="769" t="s">
        <v>17</v>
      </c>
      <c r="U8" s="770">
        <f t="shared" si="1"/>
        <v>0</v>
      </c>
      <c r="V8" s="769" t="s">
        <v>17</v>
      </c>
      <c r="W8" s="770">
        <f t="shared" si="2"/>
        <v>0</v>
      </c>
      <c r="X8" s="771"/>
      <c r="Y8" s="3171" t="s">
        <v>2553</v>
      </c>
      <c r="Z8" s="3172"/>
      <c r="AA8" s="772" t="e">
        <f t="shared" ref="AA8:AA46" si="3">D8/F8</f>
        <v>#DIV/0!</v>
      </c>
      <c r="AB8" s="772" t="e">
        <f t="shared" ref="AB8:AB46" si="4">D8/H8</f>
        <v>#DIV/0!</v>
      </c>
      <c r="AC8" s="772" t="e">
        <f t="shared" ref="AC8:AC46" si="5">D8/J8</f>
        <v>#DIV/0!</v>
      </c>
    </row>
    <row r="9" spans="1:29" s="116" customFormat="1">
      <c r="A9" s="414" t="s">
        <v>2554</v>
      </c>
      <c r="B9" s="70" t="s">
        <v>2555</v>
      </c>
      <c r="C9" s="415"/>
      <c r="D9" s="133">
        <v>100</v>
      </c>
      <c r="E9" s="416"/>
      <c r="F9" s="417">
        <f>SUMIF(63:63,E9,64:64)-SUMIF(63:63,C9,64:64)+100</f>
        <v>100</v>
      </c>
      <c r="G9" s="416"/>
      <c r="H9" s="133">
        <f>SUMIF(63:63,G9,64:64)-SUMIF(63:63,C9,64:64)+100</f>
        <v>100</v>
      </c>
      <c r="I9" s="416"/>
      <c r="J9" s="133">
        <f>SUMIF(63:63,I9,64:64)-SUMIF(63:63,C9,64:64)+100</f>
        <v>100</v>
      </c>
      <c r="K9" s="610"/>
      <c r="L9" s="1132"/>
      <c r="M9" s="1133"/>
      <c r="N9" s="1133"/>
      <c r="O9" s="1133"/>
      <c r="P9" s="3141" t="s">
        <v>2556</v>
      </c>
      <c r="Q9" s="1796" t="str">
        <f t="shared" ref="Q9:Q15" si="6">B9</f>
        <v>用途</v>
      </c>
      <c r="R9" s="769" t="s">
        <v>17</v>
      </c>
      <c r="S9" s="770">
        <f t="shared" si="0"/>
        <v>100</v>
      </c>
      <c r="T9" s="769" t="s">
        <v>17</v>
      </c>
      <c r="U9" s="770">
        <f t="shared" si="1"/>
        <v>100</v>
      </c>
      <c r="V9" s="769" t="s">
        <v>17</v>
      </c>
      <c r="W9" s="770">
        <f t="shared" si="2"/>
        <v>100</v>
      </c>
      <c r="X9" s="771"/>
      <c r="Y9" s="2990" t="s">
        <v>2557</v>
      </c>
      <c r="Z9" s="55" t="str">
        <f t="shared" ref="Z9:Z15" si="7">Q9</f>
        <v>用途</v>
      </c>
      <c r="AA9" s="772">
        <f t="shared" si="3"/>
        <v>1</v>
      </c>
      <c r="AB9" s="772">
        <f t="shared" si="4"/>
        <v>1</v>
      </c>
      <c r="AC9" s="772">
        <f t="shared" si="5"/>
        <v>1</v>
      </c>
    </row>
    <row r="10" spans="1:29" s="426" customFormat="1" ht="27">
      <c r="A10" s="420"/>
      <c r="B10" s="421" t="s">
        <v>2558</v>
      </c>
      <c r="C10" s="422"/>
      <c r="D10" s="134">
        <v>100</v>
      </c>
      <c r="E10" s="423"/>
      <c r="F10" s="424">
        <f>SUMIF(65:65,E10,66:66)-SUMIF(65:65,C10,66:66)+100</f>
        <v>100</v>
      </c>
      <c r="G10" s="422"/>
      <c r="H10" s="134">
        <f>SUMIF(65:65,G10,66:66)-SUMIF(65:65,C10,66:66)+100</f>
        <v>100</v>
      </c>
      <c r="I10" s="422"/>
      <c r="J10" s="134">
        <f>SUMIF(65:65,I10,66:66)-SUMIF(65:65,C10,66:66)+100</f>
        <v>100</v>
      </c>
      <c r="K10" s="611"/>
      <c r="L10" s="1135"/>
      <c r="M10" s="1136"/>
      <c r="N10" s="1136"/>
      <c r="O10" s="1136"/>
      <c r="P10" s="3141"/>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29" ht="15">
      <c r="A11" s="427"/>
      <c r="B11" s="421" t="s">
        <v>2559</v>
      </c>
      <c r="C11" s="428"/>
      <c r="D11" s="134">
        <v>100</v>
      </c>
      <c r="E11" s="429"/>
      <c r="F11" s="424" t="e">
        <f>LOOKUP(E11,68:68,69:69)-LOOKUP(C11,68:68,69:69)+100</f>
        <v>#N/A</v>
      </c>
      <c r="G11" s="428"/>
      <c r="H11" s="134" t="e">
        <f>LOOKUP(G11,68:68,69:69)-LOOKUP(C11,68:68,69:69)+100</f>
        <v>#N/A</v>
      </c>
      <c r="I11" s="428"/>
      <c r="J11" s="134" t="e">
        <f>LOOKUP(I11,68:68,69:69)-LOOKUP(C11,68:68,69:69)+100</f>
        <v>#N/A</v>
      </c>
      <c r="K11" s="611"/>
      <c r="L11" s="1138"/>
      <c r="M11" s="1131"/>
      <c r="N11" s="1131"/>
      <c r="O11" s="1131"/>
      <c r="P11" s="3141"/>
      <c r="Q11" s="1796" t="str">
        <f t="shared" si="6"/>
        <v>容积率</v>
      </c>
      <c r="R11" s="769" t="s">
        <v>17</v>
      </c>
      <c r="S11" s="770" t="e">
        <f t="shared" si="0"/>
        <v>#N/A</v>
      </c>
      <c r="T11" s="769" t="s">
        <v>17</v>
      </c>
      <c r="U11" s="770" t="e">
        <f t="shared" si="1"/>
        <v>#N/A</v>
      </c>
      <c r="V11" s="769" t="s">
        <v>17</v>
      </c>
      <c r="W11" s="770" t="e">
        <f t="shared" si="2"/>
        <v>#N/A</v>
      </c>
      <c r="X11" s="771"/>
      <c r="Y11" s="2990"/>
      <c r="Z11" s="55" t="str">
        <f t="shared" si="7"/>
        <v>容积率</v>
      </c>
      <c r="AA11" s="772" t="e">
        <f t="shared" si="3"/>
        <v>#N/A</v>
      </c>
      <c r="AB11" s="772" t="e">
        <f t="shared" si="4"/>
        <v>#N/A</v>
      </c>
      <c r="AC11" s="772" t="e">
        <f t="shared" si="5"/>
        <v>#N/A</v>
      </c>
    </row>
    <row r="12" spans="1:29" s="116" customFormat="1" ht="15">
      <c r="A12" s="430"/>
      <c r="B12" s="2599">
        <v>111</v>
      </c>
      <c r="C12" s="431"/>
      <c r="D12" s="432">
        <v>100</v>
      </c>
      <c r="E12" s="433"/>
      <c r="F12" s="424">
        <f>SUMIF(70:70,E12,71:71)-SUMIF(70:70,C12,71:71)+100</f>
        <v>100</v>
      </c>
      <c r="G12" s="433"/>
      <c r="H12" s="134">
        <f>SUMIF(70:70,G12,71:71)-SUMIF(70:70,C12,71:71)+100</f>
        <v>100</v>
      </c>
      <c r="I12" s="433"/>
      <c r="J12" s="134">
        <f>SUMIF(70:70,I12,71:71)-SUMIF(70:70,C12,71:71)+100</f>
        <v>100</v>
      </c>
      <c r="K12" s="612"/>
      <c r="L12" s="1132"/>
      <c r="M12" s="1133"/>
      <c r="N12" s="1133"/>
      <c r="O12" s="1133"/>
      <c r="P12" s="3141"/>
      <c r="Q12" s="1796">
        <f t="shared" si="6"/>
        <v>111</v>
      </c>
      <c r="R12" s="769" t="s">
        <v>17</v>
      </c>
      <c r="S12" s="770">
        <f t="shared" si="0"/>
        <v>100</v>
      </c>
      <c r="T12" s="769" t="s">
        <v>17</v>
      </c>
      <c r="U12" s="770">
        <f t="shared" si="1"/>
        <v>100</v>
      </c>
      <c r="V12" s="769" t="s">
        <v>17</v>
      </c>
      <c r="W12" s="770">
        <f t="shared" si="2"/>
        <v>100</v>
      </c>
      <c r="X12" s="771"/>
      <c r="Y12" s="2990"/>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612"/>
      <c r="L13" s="1140"/>
      <c r="M13" s="1131"/>
      <c r="N13" s="1131"/>
      <c r="O13" s="1131"/>
      <c r="P13" s="3141"/>
      <c r="Q13" s="1796">
        <f t="shared" si="6"/>
        <v>111</v>
      </c>
      <c r="R13" s="769" t="s">
        <v>17</v>
      </c>
      <c r="S13" s="770">
        <f t="shared" si="0"/>
        <v>100</v>
      </c>
      <c r="T13" s="769" t="s">
        <v>17</v>
      </c>
      <c r="U13" s="770">
        <f t="shared" si="1"/>
        <v>100</v>
      </c>
      <c r="V13" s="769" t="s">
        <v>17</v>
      </c>
      <c r="W13" s="770">
        <f t="shared" si="2"/>
        <v>100</v>
      </c>
      <c r="X13" s="771"/>
      <c r="Y13" s="2990"/>
      <c r="Z13" s="55">
        <f t="shared" si="7"/>
        <v>111</v>
      </c>
      <c r="AA13" s="772">
        <f t="shared" si="3"/>
        <v>1</v>
      </c>
      <c r="AB13" s="772">
        <f t="shared" si="4"/>
        <v>1</v>
      </c>
      <c r="AC13" s="772">
        <f t="shared" si="5"/>
        <v>1</v>
      </c>
    </row>
    <row r="14" spans="1:29" ht="15.75" thickBot="1">
      <c r="A14" s="435"/>
      <c r="B14" s="2601">
        <v>111</v>
      </c>
      <c r="C14" s="436"/>
      <c r="D14" s="437">
        <v>100</v>
      </c>
      <c r="E14" s="433"/>
      <c r="F14" s="438">
        <f>SUMIF(74:74,E14,75:75)-SUMIF(74:74,C14,75:75)+100</f>
        <v>100</v>
      </c>
      <c r="G14" s="433"/>
      <c r="H14" s="437">
        <f>SUMIF(74:74,G14,75:75)-SUMIF(74:74,C14,75:75)+100</f>
        <v>100</v>
      </c>
      <c r="I14" s="433"/>
      <c r="J14" s="437">
        <f>SUMIF(74:74,I14,75:75)-SUMIF(74:74,C14,75:75)+100</f>
        <v>100</v>
      </c>
      <c r="K14" s="612"/>
      <c r="L14" s="1140"/>
      <c r="M14" s="1131"/>
      <c r="N14" s="1131"/>
      <c r="O14" s="1131"/>
      <c r="P14" s="3141"/>
      <c r="Q14" s="1796">
        <f t="shared" si="6"/>
        <v>111</v>
      </c>
      <c r="R14" s="769" t="s">
        <v>17</v>
      </c>
      <c r="S14" s="770">
        <f t="shared" si="0"/>
        <v>100</v>
      </c>
      <c r="T14" s="769" t="s">
        <v>17</v>
      </c>
      <c r="U14" s="770">
        <f t="shared" si="1"/>
        <v>100</v>
      </c>
      <c r="V14" s="769" t="s">
        <v>17</v>
      </c>
      <c r="W14" s="770">
        <f t="shared" si="2"/>
        <v>100</v>
      </c>
      <c r="X14" s="771"/>
      <c r="Y14" s="2990"/>
      <c r="Z14" s="55">
        <f t="shared" si="7"/>
        <v>111</v>
      </c>
      <c r="AA14" s="772">
        <f t="shared" si="3"/>
        <v>1</v>
      </c>
      <c r="AB14" s="772">
        <f t="shared" si="4"/>
        <v>1</v>
      </c>
      <c r="AC14" s="772">
        <f t="shared" si="5"/>
        <v>1</v>
      </c>
    </row>
    <row r="15" spans="1:29" ht="71.25">
      <c r="A15" s="439" t="s">
        <v>2560</v>
      </c>
      <c r="B15" s="68" t="s">
        <v>2654</v>
      </c>
      <c r="C15" s="2602"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0"/>
      <c r="M15" s="1131"/>
      <c r="N15" s="1131"/>
      <c r="O15" s="1131"/>
      <c r="P15" s="3211" t="s">
        <v>2561</v>
      </c>
      <c r="Q15" s="1811" t="str">
        <f t="shared" si="6"/>
        <v>商业繁华度</v>
      </c>
      <c r="R15" s="773" t="s">
        <v>17</v>
      </c>
      <c r="S15" s="774">
        <f t="shared" si="0"/>
        <v>100</v>
      </c>
      <c r="T15" s="773" t="s">
        <v>17</v>
      </c>
      <c r="U15" s="774">
        <f t="shared" si="1"/>
        <v>100</v>
      </c>
      <c r="V15" s="773" t="s">
        <v>17</v>
      </c>
      <c r="W15" s="774">
        <f t="shared" si="2"/>
        <v>100</v>
      </c>
      <c r="X15" s="1814"/>
      <c r="Y15" s="3144" t="s">
        <v>2561</v>
      </c>
      <c r="Z15" s="1815" t="str">
        <f t="shared" si="7"/>
        <v>商业繁华度</v>
      </c>
      <c r="AA15" s="1812">
        <f t="shared" si="3"/>
        <v>1</v>
      </c>
      <c r="AB15" s="1812">
        <f t="shared" si="4"/>
        <v>1</v>
      </c>
      <c r="AC15" s="1812">
        <f t="shared" si="5"/>
        <v>1</v>
      </c>
    </row>
    <row r="16" spans="1:29" ht="15">
      <c r="A16" s="427"/>
      <c r="B16" s="445"/>
      <c r="C16" s="446"/>
      <c r="D16" s="447"/>
      <c r="E16" s="446"/>
      <c r="F16" s="448"/>
      <c r="G16" s="446"/>
      <c r="H16" s="449"/>
      <c r="I16" s="446"/>
      <c r="J16" s="447"/>
      <c r="K16" s="614"/>
      <c r="L16" s="1140"/>
      <c r="M16" s="1131"/>
      <c r="N16" s="1131"/>
      <c r="O16" s="1131"/>
      <c r="P16" s="3212"/>
      <c r="Q16" s="1811"/>
      <c r="R16" s="773"/>
      <c r="S16" s="774"/>
      <c r="T16" s="773"/>
      <c r="U16" s="774"/>
      <c r="V16" s="773"/>
      <c r="W16" s="774"/>
      <c r="X16" s="1814"/>
      <c r="Y16" s="3145"/>
      <c r="Z16" s="1815"/>
      <c r="AA16" s="1812">
        <v>1</v>
      </c>
      <c r="AB16" s="1812">
        <v>1</v>
      </c>
      <c r="AC16" s="1812">
        <v>1</v>
      </c>
    </row>
    <row r="17" spans="1:29" ht="85.5">
      <c r="A17" s="427"/>
      <c r="B17" s="450" t="s">
        <v>2099</v>
      </c>
      <c r="C17" s="2606"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0"/>
      <c r="M17" s="1131"/>
      <c r="N17" s="1131"/>
      <c r="O17" s="1131"/>
      <c r="P17" s="3212"/>
      <c r="Q17" s="1811" t="str">
        <f>B17</f>
        <v>交通便捷度</v>
      </c>
      <c r="R17" s="773" t="s">
        <v>17</v>
      </c>
      <c r="S17" s="774">
        <f>F17</f>
        <v>100</v>
      </c>
      <c r="T17" s="773" t="s">
        <v>17</v>
      </c>
      <c r="U17" s="774">
        <f>H17</f>
        <v>100</v>
      </c>
      <c r="V17" s="773" t="s">
        <v>17</v>
      </c>
      <c r="W17" s="774">
        <f>J17</f>
        <v>100</v>
      </c>
      <c r="X17" s="1814"/>
      <c r="Y17" s="3145"/>
      <c r="Z17" s="1815" t="str">
        <f>Q17</f>
        <v>交通便捷度</v>
      </c>
      <c r="AA17" s="1812">
        <f t="shared" si="3"/>
        <v>1</v>
      </c>
      <c r="AB17" s="1812">
        <f t="shared" si="4"/>
        <v>1</v>
      </c>
      <c r="AC17" s="1812">
        <f t="shared" si="5"/>
        <v>1</v>
      </c>
    </row>
    <row r="18" spans="1:29" ht="15">
      <c r="A18" s="427"/>
      <c r="B18" s="455"/>
      <c r="C18" s="2607"/>
      <c r="D18" s="449"/>
      <c r="E18" s="2609"/>
      <c r="F18" s="452"/>
      <c r="G18" s="2608"/>
      <c r="H18" s="447"/>
      <c r="I18" s="2609"/>
      <c r="J18" s="447"/>
      <c r="K18" s="614"/>
      <c r="L18" s="1140"/>
      <c r="M18" s="1131"/>
      <c r="N18" s="1131"/>
      <c r="O18" s="1131"/>
      <c r="P18" s="3212"/>
      <c r="Q18" s="1811"/>
      <c r="R18" s="773"/>
      <c r="S18" s="774"/>
      <c r="T18" s="773"/>
      <c r="U18" s="774"/>
      <c r="V18" s="773"/>
      <c r="W18" s="774"/>
      <c r="X18" s="1814"/>
      <c r="Y18" s="3145"/>
      <c r="Z18" s="1815"/>
      <c r="AA18" s="1812">
        <v>1</v>
      </c>
      <c r="AB18" s="1812">
        <v>1</v>
      </c>
      <c r="AC18" s="1812">
        <v>1</v>
      </c>
    </row>
    <row r="19" spans="1:29" ht="42.75">
      <c r="A19" s="427"/>
      <c r="B19" s="450" t="s">
        <v>2655</v>
      </c>
      <c r="C19" s="2606"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0"/>
      <c r="M19" s="1131"/>
      <c r="N19" s="1131"/>
      <c r="O19" s="1131"/>
      <c r="P19" s="3212"/>
      <c r="Q19" s="1811" t="str">
        <f>B19</f>
        <v>公共配套设施</v>
      </c>
      <c r="R19" s="773" t="s">
        <v>17</v>
      </c>
      <c r="S19" s="774">
        <f>F19</f>
        <v>100</v>
      </c>
      <c r="T19" s="773" t="s">
        <v>17</v>
      </c>
      <c r="U19" s="774">
        <f>H19</f>
        <v>100</v>
      </c>
      <c r="V19" s="773" t="s">
        <v>17</v>
      </c>
      <c r="W19" s="774">
        <f>J19</f>
        <v>100</v>
      </c>
      <c r="X19" s="1814"/>
      <c r="Y19" s="3145"/>
      <c r="Z19" s="1815" t="str">
        <f>Q19</f>
        <v>公共配套设施</v>
      </c>
      <c r="AA19" s="1812">
        <f t="shared" si="3"/>
        <v>1</v>
      </c>
      <c r="AB19" s="1812">
        <f t="shared" si="4"/>
        <v>1</v>
      </c>
      <c r="AC19" s="1812">
        <f t="shared" si="5"/>
        <v>1</v>
      </c>
    </row>
    <row r="20" spans="1:29" ht="15">
      <c r="A20" s="427"/>
      <c r="B20" s="455"/>
      <c r="C20" s="446"/>
      <c r="D20" s="447"/>
      <c r="E20" s="2604"/>
      <c r="F20" s="448"/>
      <c r="G20" s="2603"/>
      <c r="H20" s="447"/>
      <c r="I20" s="2604"/>
      <c r="J20" s="447"/>
      <c r="K20" s="614"/>
      <c r="L20" s="1140"/>
      <c r="M20" s="1131"/>
      <c r="N20" s="1131"/>
      <c r="O20" s="1131"/>
      <c r="P20" s="3212"/>
      <c r="Q20" s="1811"/>
      <c r="R20" s="773"/>
      <c r="S20" s="774"/>
      <c r="T20" s="773"/>
      <c r="U20" s="774"/>
      <c r="V20" s="773"/>
      <c r="W20" s="774"/>
      <c r="X20" s="1814"/>
      <c r="Y20" s="3145"/>
      <c r="Z20" s="1815"/>
      <c r="AA20" s="1812">
        <v>1</v>
      </c>
      <c r="AB20" s="1812">
        <v>1</v>
      </c>
      <c r="AC20" s="1812">
        <v>1</v>
      </c>
    </row>
    <row r="21" spans="1:29" ht="28.5">
      <c r="A21" s="427"/>
      <c r="B21" s="1384" t="s">
        <v>2656</v>
      </c>
      <c r="C21" s="2606"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0"/>
      <c r="M21" s="1131"/>
      <c r="N21" s="1131"/>
      <c r="O21" s="1131"/>
      <c r="P21" s="3212"/>
      <c r="Q21" s="1811" t="str">
        <f>B21</f>
        <v>基础设施水平</v>
      </c>
      <c r="R21" s="773" t="s">
        <v>17</v>
      </c>
      <c r="S21" s="774">
        <f>F21</f>
        <v>100</v>
      </c>
      <c r="T21" s="773" t="s">
        <v>17</v>
      </c>
      <c r="U21" s="774">
        <f>H21</f>
        <v>100</v>
      </c>
      <c r="V21" s="773" t="s">
        <v>17</v>
      </c>
      <c r="W21" s="774">
        <f>J21</f>
        <v>100</v>
      </c>
      <c r="X21" s="1814"/>
      <c r="Y21" s="3145"/>
      <c r="Z21" s="1815" t="str">
        <f>Q21</f>
        <v>基础设施水平</v>
      </c>
      <c r="AA21" s="1812">
        <f t="shared" ref="AA21" si="8">D21/F21</f>
        <v>1</v>
      </c>
      <c r="AB21" s="1812">
        <f t="shared" ref="AB21" si="9">D21/H21</f>
        <v>1</v>
      </c>
      <c r="AC21" s="1812">
        <f t="shared" ref="AC21" si="10">D21/J21</f>
        <v>1</v>
      </c>
    </row>
    <row r="22" spans="1:29" ht="15">
      <c r="A22" s="427"/>
      <c r="B22" s="1384"/>
      <c r="C22" s="2607"/>
      <c r="D22" s="447"/>
      <c r="E22" s="446"/>
      <c r="F22" s="448"/>
      <c r="G22" s="446"/>
      <c r="H22" s="447"/>
      <c r="I22" s="446"/>
      <c r="J22" s="447"/>
      <c r="K22" s="1383"/>
      <c r="L22" s="1140"/>
      <c r="M22" s="1131"/>
      <c r="N22" s="1131"/>
      <c r="O22" s="1131"/>
      <c r="P22" s="3212"/>
      <c r="Q22" s="1811"/>
      <c r="R22" s="773"/>
      <c r="S22" s="774"/>
      <c r="T22" s="773"/>
      <c r="U22" s="774"/>
      <c r="V22" s="773"/>
      <c r="W22" s="774"/>
      <c r="X22" s="1814"/>
      <c r="Y22" s="3145"/>
      <c r="Z22" s="1815"/>
      <c r="AA22" s="1812">
        <v>1</v>
      </c>
      <c r="AB22" s="1812">
        <v>1</v>
      </c>
      <c r="AC22" s="1812">
        <v>1</v>
      </c>
    </row>
    <row r="23" spans="1:29" ht="57">
      <c r="A23" s="427"/>
      <c r="B23" s="450" t="s">
        <v>2104</v>
      </c>
      <c r="C23" s="2663"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0"/>
      <c r="M23" s="1131"/>
      <c r="N23" s="1131"/>
      <c r="O23" s="1131"/>
      <c r="P23" s="3212"/>
      <c r="Q23" s="1811" t="str">
        <f>B23</f>
        <v>自然及人文环境</v>
      </c>
      <c r="R23" s="773" t="s">
        <v>17</v>
      </c>
      <c r="S23" s="774">
        <f>F23</f>
        <v>100</v>
      </c>
      <c r="T23" s="773" t="s">
        <v>17</v>
      </c>
      <c r="U23" s="774">
        <f>H23</f>
        <v>100</v>
      </c>
      <c r="V23" s="773" t="s">
        <v>17</v>
      </c>
      <c r="W23" s="774">
        <f>J23</f>
        <v>100</v>
      </c>
      <c r="X23" s="1814"/>
      <c r="Y23" s="3145"/>
      <c r="Z23" s="1815" t="str">
        <f>Q23</f>
        <v>自然及人文环境</v>
      </c>
      <c r="AA23" s="1812">
        <f t="shared" si="3"/>
        <v>1</v>
      </c>
      <c r="AB23" s="1812">
        <f t="shared" si="4"/>
        <v>1</v>
      </c>
      <c r="AC23" s="1812">
        <f t="shared" si="5"/>
        <v>1</v>
      </c>
    </row>
    <row r="24" spans="1:29" ht="15">
      <c r="A24" s="427"/>
      <c r="B24" s="455"/>
      <c r="C24" s="446"/>
      <c r="D24" s="447"/>
      <c r="E24" s="2604"/>
      <c r="F24" s="448"/>
      <c r="G24" s="2603"/>
      <c r="H24" s="447"/>
      <c r="I24" s="2604"/>
      <c r="J24" s="447"/>
      <c r="K24" s="614"/>
      <c r="L24" s="1140"/>
      <c r="M24" s="1131"/>
      <c r="N24" s="1131"/>
      <c r="O24" s="1131"/>
      <c r="P24" s="3212"/>
      <c r="Q24" s="1811"/>
      <c r="R24" s="773"/>
      <c r="S24" s="774"/>
      <c r="T24" s="773"/>
      <c r="U24" s="774"/>
      <c r="V24" s="773"/>
      <c r="W24" s="774"/>
      <c r="X24" s="1814"/>
      <c r="Y24" s="3145"/>
      <c r="Z24" s="1815"/>
      <c r="AA24" s="1812">
        <v>1</v>
      </c>
      <c r="AB24" s="1812">
        <v>1</v>
      </c>
      <c r="AC24" s="1812">
        <v>1</v>
      </c>
    </row>
    <row r="25" spans="1:29" ht="15">
      <c r="A25" s="427"/>
      <c r="B25" s="421" t="s">
        <v>2657</v>
      </c>
      <c r="C25" s="615"/>
      <c r="D25" s="434">
        <v>100</v>
      </c>
      <c r="E25" s="615"/>
      <c r="F25" s="460">
        <f>SUMIF(86:86,E25,87:87)-SUMIF(86:86,C25,87:87)+100</f>
        <v>100</v>
      </c>
      <c r="G25" s="615"/>
      <c r="H25" s="434">
        <f>SUMIF(86:86,G25,87:87)-SUMIF(86:86,C25,87:87)+100</f>
        <v>100</v>
      </c>
      <c r="I25" s="615"/>
      <c r="J25" s="434">
        <f>SUMIF(86:86,I25,87:87)-SUMIF(86:86,C25,87:87)+100</f>
        <v>100</v>
      </c>
      <c r="K25" s="611"/>
      <c r="L25" s="1140"/>
      <c r="M25" s="1131"/>
      <c r="N25" s="1131"/>
      <c r="O25" s="1131"/>
      <c r="P25" s="3212"/>
      <c r="Q25" s="1811" t="str">
        <f t="shared" ref="Q25:Q46" si="11">B25</f>
        <v>临街状况</v>
      </c>
      <c r="R25" s="773" t="s">
        <v>17</v>
      </c>
      <c r="S25" s="774">
        <f>F25</f>
        <v>100</v>
      </c>
      <c r="T25" s="773" t="s">
        <v>17</v>
      </c>
      <c r="U25" s="774">
        <f>H25</f>
        <v>100</v>
      </c>
      <c r="V25" s="773" t="s">
        <v>17</v>
      </c>
      <c r="W25" s="774">
        <f>J25</f>
        <v>100</v>
      </c>
      <c r="X25" s="1814"/>
      <c r="Y25" s="3145"/>
      <c r="Z25" s="1815" t="str">
        <f>Q25</f>
        <v>临街状况</v>
      </c>
      <c r="AA25" s="1812">
        <f t="shared" si="3"/>
        <v>1</v>
      </c>
      <c r="AB25" s="1812">
        <f t="shared" si="4"/>
        <v>1</v>
      </c>
      <c r="AC25" s="1812">
        <f t="shared" si="5"/>
        <v>1</v>
      </c>
    </row>
    <row r="26" spans="1:29" ht="15">
      <c r="A26" s="427"/>
      <c r="B26" s="1386" t="s">
        <v>2658</v>
      </c>
      <c r="C26" s="433"/>
      <c r="D26" s="434">
        <v>100</v>
      </c>
      <c r="E26" s="433"/>
      <c r="F26" s="460">
        <f>SUMIF(88:88,E26,89:89)-SUMIF(88:88,C26,89:89)+100</f>
        <v>100</v>
      </c>
      <c r="G26" s="433"/>
      <c r="H26" s="434">
        <f>SUMIF(88:88,G26,89:89)-SUMIF(88:88,C26,89:89)+100</f>
        <v>100</v>
      </c>
      <c r="I26" s="433"/>
      <c r="J26" s="434">
        <f>SUMIF(88:88,I26,89:89)-SUMIF(88:88,C26,89:89)+100</f>
        <v>100</v>
      </c>
      <c r="K26" s="612"/>
      <c r="L26" s="1140"/>
      <c r="M26" s="1131"/>
      <c r="N26" s="1131"/>
      <c r="O26" s="1131"/>
      <c r="P26" s="3212"/>
      <c r="Q26" s="1811" t="str">
        <f t="shared" si="11"/>
        <v>平面位置/可视性</v>
      </c>
      <c r="R26" s="773" t="s">
        <v>17</v>
      </c>
      <c r="S26" s="774">
        <f>F26</f>
        <v>100</v>
      </c>
      <c r="T26" s="773" t="s">
        <v>17</v>
      </c>
      <c r="U26" s="774">
        <f>H26</f>
        <v>100</v>
      </c>
      <c r="V26" s="773" t="s">
        <v>17</v>
      </c>
      <c r="W26" s="774">
        <f>J26</f>
        <v>100</v>
      </c>
      <c r="X26" s="1814"/>
      <c r="Y26" s="3145"/>
      <c r="Z26" s="1815" t="str">
        <f>Q26</f>
        <v>平面位置/可视性</v>
      </c>
      <c r="AA26" s="1812">
        <f t="shared" si="3"/>
        <v>1</v>
      </c>
      <c r="AB26" s="1812">
        <f t="shared" si="4"/>
        <v>1</v>
      </c>
      <c r="AC26" s="1812">
        <f t="shared" si="5"/>
        <v>1</v>
      </c>
    </row>
    <row r="27" spans="1:29" s="116" customFormat="1" ht="15">
      <c r="A27" s="430"/>
      <c r="B27" s="450" t="s">
        <v>2659</v>
      </c>
      <c r="C27" s="2664"/>
      <c r="D27" s="461">
        <v>100</v>
      </c>
      <c r="E27" s="2664"/>
      <c r="F27" s="463">
        <f>SUMIF(90:90,E27,91:91)-SUMIF(90:90,C27,91:91)+100</f>
        <v>100</v>
      </c>
      <c r="G27" s="2664"/>
      <c r="H27" s="461">
        <f>SUMIF(90:90,G27,91:91)-SUMIF(90:90,C27,91:91)+100</f>
        <v>100</v>
      </c>
      <c r="I27" s="2664"/>
      <c r="J27" s="461">
        <f>SUMIF(90:90,I27,91:91)-SUMIF(90:90,C27,91:91)+100</f>
        <v>100</v>
      </c>
      <c r="K27" s="611"/>
      <c r="L27" s="1132"/>
      <c r="M27" s="1133"/>
      <c r="N27" s="1133"/>
      <c r="O27" s="1133"/>
      <c r="P27" s="3212"/>
      <c r="Q27" s="1796" t="str">
        <f t="shared" si="11"/>
        <v>人流量</v>
      </c>
      <c r="R27" s="769" t="s">
        <v>17</v>
      </c>
      <c r="S27" s="770">
        <f>F27</f>
        <v>100</v>
      </c>
      <c r="T27" s="769" t="s">
        <v>17</v>
      </c>
      <c r="U27" s="770">
        <f>H27</f>
        <v>100</v>
      </c>
      <c r="V27" s="769" t="s">
        <v>17</v>
      </c>
      <c r="W27" s="770">
        <f>J27</f>
        <v>100</v>
      </c>
      <c r="X27" s="771"/>
      <c r="Y27" s="3145"/>
      <c r="Z27" s="55" t="str">
        <f>Q27</f>
        <v>人流量</v>
      </c>
      <c r="AA27" s="1812">
        <f>D27/F27</f>
        <v>1</v>
      </c>
      <c r="AB27" s="1812">
        <f>D27/H27</f>
        <v>1</v>
      </c>
      <c r="AC27" s="1812">
        <f>D27/J27</f>
        <v>1</v>
      </c>
    </row>
    <row r="28" spans="1:29" ht="15">
      <c r="A28" s="427"/>
      <c r="B28" s="421" t="s">
        <v>2660</v>
      </c>
      <c r="C28" s="615"/>
      <c r="D28" s="434">
        <v>100</v>
      </c>
      <c r="E28" s="615"/>
      <c r="F28" s="460">
        <f>SUMIF(92:92,E28,93:93)-SUMIF(92:92,C28,93:93)+100</f>
        <v>100</v>
      </c>
      <c r="G28" s="615"/>
      <c r="H28" s="434">
        <f>SUMIF(92:92,G28,93:93)-SUMIF(92:92,C28,93:93)+100</f>
        <v>100</v>
      </c>
      <c r="I28" s="615"/>
      <c r="J28" s="434">
        <f>SUMIF(92:92,I28,93:93)-SUMIF(92:92,C28,93:93)+100</f>
        <v>100</v>
      </c>
      <c r="K28" s="612"/>
      <c r="L28" s="1140"/>
      <c r="M28" s="1131"/>
      <c r="N28" s="1131"/>
      <c r="O28" s="1131"/>
      <c r="P28" s="3212"/>
      <c r="Q28" s="1811" t="str">
        <f t="shared" si="11"/>
        <v>楼层</v>
      </c>
      <c r="R28" s="773" t="s">
        <v>17</v>
      </c>
      <c r="S28" s="774">
        <f t="shared" ref="S28:S46" si="12">F28</f>
        <v>100</v>
      </c>
      <c r="T28" s="773" t="s">
        <v>17</v>
      </c>
      <c r="U28" s="774">
        <f t="shared" ref="U28:U46" si="13">H28</f>
        <v>100</v>
      </c>
      <c r="V28" s="773" t="s">
        <v>17</v>
      </c>
      <c r="W28" s="774">
        <f t="shared" ref="W28:W46" si="14">J28</f>
        <v>100</v>
      </c>
      <c r="X28" s="1814"/>
      <c r="Y28" s="3145"/>
      <c r="Z28" s="1815" t="str">
        <f t="shared" ref="Z28:Z46" si="15">Q28</f>
        <v>楼层</v>
      </c>
      <c r="AA28" s="1812">
        <f t="shared" si="3"/>
        <v>1</v>
      </c>
      <c r="AB28" s="1812">
        <f t="shared" si="4"/>
        <v>1</v>
      </c>
      <c r="AC28" s="1812">
        <f t="shared" si="5"/>
        <v>1</v>
      </c>
    </row>
    <row r="29" spans="1:29" ht="15">
      <c r="A29" s="427"/>
      <c r="B29" s="1386">
        <v>111</v>
      </c>
      <c r="C29" s="433"/>
      <c r="D29" s="434">
        <v>100</v>
      </c>
      <c r="E29" s="433"/>
      <c r="F29" s="460">
        <f>SUMIF(94:94,E29,95:95)-SUMIF(94:94,C29,95:95)+100</f>
        <v>100</v>
      </c>
      <c r="G29" s="433"/>
      <c r="H29" s="434">
        <f>SUMIF(94:94,G29,95:95)-SUMIF(94:94,C29,95:95)+100</f>
        <v>100</v>
      </c>
      <c r="I29" s="433"/>
      <c r="J29" s="434">
        <f>SUMIF(94:94,I29,95:95)-SUMIF(94:94,C29,95:95)+100</f>
        <v>100</v>
      </c>
      <c r="K29" s="612"/>
      <c r="L29" s="1140"/>
      <c r="M29" s="1131"/>
      <c r="N29" s="1131"/>
      <c r="O29" s="1131"/>
      <c r="P29" s="3212"/>
      <c r="Q29" s="1811">
        <f t="shared" si="11"/>
        <v>111</v>
      </c>
      <c r="R29" s="773" t="s">
        <v>17</v>
      </c>
      <c r="S29" s="774">
        <f t="shared" si="12"/>
        <v>100</v>
      </c>
      <c r="T29" s="773" t="s">
        <v>17</v>
      </c>
      <c r="U29" s="774">
        <f t="shared" si="13"/>
        <v>100</v>
      </c>
      <c r="V29" s="773" t="s">
        <v>17</v>
      </c>
      <c r="W29" s="774">
        <f t="shared" si="14"/>
        <v>100</v>
      </c>
      <c r="X29" s="1814"/>
      <c r="Y29" s="3145"/>
      <c r="Z29" s="1815">
        <f t="shared" si="15"/>
        <v>111</v>
      </c>
      <c r="AA29" s="1812">
        <f t="shared" si="3"/>
        <v>1</v>
      </c>
      <c r="AB29" s="1812">
        <f t="shared" si="4"/>
        <v>1</v>
      </c>
      <c r="AC29" s="1812">
        <f t="shared" si="5"/>
        <v>1</v>
      </c>
    </row>
    <row r="30" spans="1:29" ht="15">
      <c r="A30" s="427"/>
      <c r="B30" s="1386">
        <v>111</v>
      </c>
      <c r="C30" s="433"/>
      <c r="D30" s="434">
        <v>100</v>
      </c>
      <c r="E30" s="433"/>
      <c r="F30" s="460">
        <f>SUMIF(96:96,E30,97:97)-SUMIF(96:96,C30,97:97)+100</f>
        <v>100</v>
      </c>
      <c r="G30" s="433"/>
      <c r="H30" s="434">
        <f>SUMIF(96:96,G30,97:97)-SUMIF(96:96,C30,97:97)+100</f>
        <v>100</v>
      </c>
      <c r="I30" s="433"/>
      <c r="J30" s="434">
        <f>SUMIF(96:96,I30,97:97)-SUMIF(96:96,C30,97:97)+100</f>
        <v>100</v>
      </c>
      <c r="K30" s="612"/>
      <c r="L30" s="1140"/>
      <c r="M30" s="1131"/>
      <c r="N30" s="1131"/>
      <c r="O30" s="1131"/>
      <c r="P30" s="3212"/>
      <c r="Q30" s="1811">
        <f t="shared" si="11"/>
        <v>111</v>
      </c>
      <c r="R30" s="773" t="s">
        <v>17</v>
      </c>
      <c r="S30" s="774">
        <f t="shared" si="12"/>
        <v>100</v>
      </c>
      <c r="T30" s="773" t="s">
        <v>17</v>
      </c>
      <c r="U30" s="774">
        <f t="shared" si="13"/>
        <v>100</v>
      </c>
      <c r="V30" s="773" t="s">
        <v>17</v>
      </c>
      <c r="W30" s="774">
        <f t="shared" si="14"/>
        <v>100</v>
      </c>
      <c r="X30" s="1814"/>
      <c r="Y30" s="3145"/>
      <c r="Z30" s="1815">
        <f t="shared" si="15"/>
        <v>111</v>
      </c>
      <c r="AA30" s="1812">
        <f t="shared" si="3"/>
        <v>1</v>
      </c>
      <c r="AB30" s="1812">
        <f t="shared" si="4"/>
        <v>1</v>
      </c>
      <c r="AC30" s="1812">
        <f t="shared" si="5"/>
        <v>1</v>
      </c>
    </row>
    <row r="31" spans="1:29" ht="15.75" thickBot="1">
      <c r="A31" s="435"/>
      <c r="B31" s="1386">
        <v>111</v>
      </c>
      <c r="C31" s="436"/>
      <c r="D31" s="437">
        <v>100</v>
      </c>
      <c r="E31" s="433"/>
      <c r="F31" s="438">
        <f>SUMIF(98:98,E31,99:99)-SUMIF(98:98,C31,99:99)+100</f>
        <v>100</v>
      </c>
      <c r="G31" s="433"/>
      <c r="H31" s="437">
        <f>SUMIF(98:98,G31,99:99)-SUMIF(98:98,C31,99:99)+100</f>
        <v>100</v>
      </c>
      <c r="I31" s="433"/>
      <c r="J31" s="437">
        <f>SUMIF(98:98,I31,99:99)-SUMIF(98:98,C31,99:99)+100</f>
        <v>100</v>
      </c>
      <c r="K31" s="612"/>
      <c r="L31" s="1140"/>
      <c r="M31" s="1131"/>
      <c r="N31" s="1131"/>
      <c r="O31" s="1131"/>
      <c r="P31" s="3212"/>
      <c r="Q31" s="1811">
        <f t="shared" si="11"/>
        <v>111</v>
      </c>
      <c r="R31" s="773" t="s">
        <v>17</v>
      </c>
      <c r="S31" s="774">
        <f t="shared" si="12"/>
        <v>100</v>
      </c>
      <c r="T31" s="773" t="s">
        <v>17</v>
      </c>
      <c r="U31" s="774">
        <f t="shared" si="13"/>
        <v>100</v>
      </c>
      <c r="V31" s="773" t="s">
        <v>17</v>
      </c>
      <c r="W31" s="774">
        <f t="shared" si="14"/>
        <v>100</v>
      </c>
      <c r="X31" s="1814"/>
      <c r="Y31" s="3145"/>
      <c r="Z31" s="1815">
        <f t="shared" si="15"/>
        <v>111</v>
      </c>
      <c r="AA31" s="1812">
        <f t="shared" si="3"/>
        <v>1</v>
      </c>
      <c r="AB31" s="1812">
        <f t="shared" si="4"/>
        <v>1</v>
      </c>
      <c r="AC31" s="1812">
        <f t="shared" si="5"/>
        <v>1</v>
      </c>
    </row>
    <row r="32" spans="1:29" ht="15">
      <c r="A32" s="439" t="s">
        <v>2564</v>
      </c>
      <c r="B32" s="70" t="s">
        <v>2661</v>
      </c>
      <c r="C32" s="2616"/>
      <c r="D32" s="466">
        <v>100</v>
      </c>
      <c r="E32" s="2616"/>
      <c r="F32" s="460">
        <f>SUMIF(100:100,E32,101:101)-SUMIF(100:100,C32,101:101)+100</f>
        <v>100</v>
      </c>
      <c r="G32" s="2616"/>
      <c r="H32" s="434">
        <f>SUMIF(100:100,G32,101:101)-SUMIF(100:100,C32,101:101)+100</f>
        <v>100</v>
      </c>
      <c r="I32" s="2616"/>
      <c r="J32" s="466">
        <f>SUMIF(100:100,I32,101:101)-SUMIF(100:100,C32,101:101)+100</f>
        <v>100</v>
      </c>
      <c r="K32" s="611"/>
      <c r="L32" s="1140"/>
      <c r="M32" s="1131"/>
      <c r="N32" s="1131"/>
      <c r="O32" s="1131"/>
      <c r="P32" s="3207" t="s">
        <v>2566</v>
      </c>
      <c r="Q32" s="1811" t="str">
        <f t="shared" si="11"/>
        <v>商业类型</v>
      </c>
      <c r="R32" s="773" t="s">
        <v>17</v>
      </c>
      <c r="S32" s="774">
        <f t="shared" si="12"/>
        <v>100</v>
      </c>
      <c r="T32" s="773" t="s">
        <v>17</v>
      </c>
      <c r="U32" s="774">
        <f t="shared" si="13"/>
        <v>100</v>
      </c>
      <c r="V32" s="773" t="s">
        <v>17</v>
      </c>
      <c r="W32" s="774">
        <f t="shared" si="14"/>
        <v>100</v>
      </c>
      <c r="X32" s="1814"/>
      <c r="Y32" s="3147" t="s">
        <v>2566</v>
      </c>
      <c r="Z32" s="1815" t="str">
        <f t="shared" si="15"/>
        <v>商业类型</v>
      </c>
      <c r="AA32" s="1812">
        <f t="shared" si="3"/>
        <v>1</v>
      </c>
      <c r="AB32" s="1812">
        <f t="shared" si="4"/>
        <v>1</v>
      </c>
      <c r="AC32" s="1812">
        <f t="shared" si="5"/>
        <v>1</v>
      </c>
    </row>
    <row r="33" spans="1:29" s="470" customFormat="1" ht="15">
      <c r="A33" s="467"/>
      <c r="B33" s="421" t="s">
        <v>2567</v>
      </c>
      <c r="C33" s="468"/>
      <c r="D33" s="134">
        <v>100</v>
      </c>
      <c r="E33" s="429"/>
      <c r="F33" s="424" t="e">
        <f>LOOKUP(E33,103:103,104:104)-LOOKUP(C33,103:103,104:104)+100</f>
        <v>#N/A</v>
      </c>
      <c r="G33" s="428"/>
      <c r="H33" s="134" t="e">
        <f>LOOKUP(G33,103:103,104:104)-LOOKUP(C33,103:103,104:104)+100</f>
        <v>#N/A</v>
      </c>
      <c r="I33" s="428"/>
      <c r="J33" s="134" t="e">
        <f>LOOKUP(I33,103:103,104:104)-LOOKUP(C33,103:103,104:104)+100</f>
        <v>#N/A</v>
      </c>
      <c r="K33" s="612"/>
      <c r="L33" s="1138"/>
      <c r="M33" s="1141"/>
      <c r="N33" s="1141"/>
      <c r="O33" s="1141"/>
      <c r="P33" s="3208"/>
      <c r="Q33" s="775" t="str">
        <f t="shared" si="11"/>
        <v>项目建筑规模</v>
      </c>
      <c r="R33" s="776" t="s">
        <v>17</v>
      </c>
      <c r="S33" s="777" t="e">
        <f t="shared" si="12"/>
        <v>#N/A</v>
      </c>
      <c r="T33" s="776" t="s">
        <v>17</v>
      </c>
      <c r="U33" s="777" t="e">
        <f t="shared" si="13"/>
        <v>#N/A</v>
      </c>
      <c r="V33" s="776" t="s">
        <v>17</v>
      </c>
      <c r="W33" s="777" t="e">
        <f t="shared" si="14"/>
        <v>#N/A</v>
      </c>
      <c r="X33" s="778"/>
      <c r="Y33" s="3147"/>
      <c r="Z33" s="779" t="str">
        <f t="shared" si="15"/>
        <v>项目建筑规模</v>
      </c>
      <c r="AA33" s="1812" t="e">
        <f t="shared" si="3"/>
        <v>#N/A</v>
      </c>
      <c r="AB33" s="1812" t="e">
        <f t="shared" si="4"/>
        <v>#N/A</v>
      </c>
      <c r="AC33" s="1812" t="e">
        <f t="shared" si="5"/>
        <v>#N/A</v>
      </c>
    </row>
    <row r="34" spans="1:29" ht="15">
      <c r="A34" s="471"/>
      <c r="B34" s="421" t="s">
        <v>2568</v>
      </c>
      <c r="C34" s="2618"/>
      <c r="D34" s="434">
        <v>100</v>
      </c>
      <c r="E34" s="2618"/>
      <c r="F34" s="460">
        <f>SUMIF(105:105,E34,106:106)-SUMIF(105:105,C34,106:106)+100</f>
        <v>100</v>
      </c>
      <c r="G34" s="2618"/>
      <c r="H34" s="434">
        <f>SUMIF(105:105,G34,106:106)-SUMIF(105:105,C34,106:106)+100</f>
        <v>100</v>
      </c>
      <c r="I34" s="2618"/>
      <c r="J34" s="434">
        <f>SUMIF(105:105,I34,106:106)-SUMIF(105:105,C34,106:106)+100</f>
        <v>100</v>
      </c>
      <c r="K34" s="611"/>
      <c r="L34" s="1140"/>
      <c r="M34" s="1131"/>
      <c r="N34" s="1131"/>
      <c r="O34" s="1131"/>
      <c r="P34" s="3208"/>
      <c r="Q34" s="1811" t="str">
        <f t="shared" si="11"/>
        <v>建筑结构</v>
      </c>
      <c r="R34" s="773" t="s">
        <v>17</v>
      </c>
      <c r="S34" s="774">
        <f t="shared" si="12"/>
        <v>100</v>
      </c>
      <c r="T34" s="773" t="s">
        <v>17</v>
      </c>
      <c r="U34" s="774">
        <f t="shared" si="13"/>
        <v>100</v>
      </c>
      <c r="V34" s="773" t="s">
        <v>17</v>
      </c>
      <c r="W34" s="774">
        <f t="shared" si="14"/>
        <v>100</v>
      </c>
      <c r="X34" s="1814"/>
      <c r="Y34" s="3147"/>
      <c r="Z34" s="1815" t="str">
        <f t="shared" si="15"/>
        <v>建筑结构</v>
      </c>
      <c r="AA34" s="1812">
        <f t="shared" si="3"/>
        <v>1</v>
      </c>
      <c r="AB34" s="1812">
        <f t="shared" si="4"/>
        <v>1</v>
      </c>
      <c r="AC34" s="1812">
        <f t="shared" si="5"/>
        <v>1</v>
      </c>
    </row>
    <row r="35" spans="1:29" ht="15">
      <c r="A35" s="471"/>
      <c r="B35" s="421" t="s">
        <v>2662</v>
      </c>
      <c r="C35" s="2612"/>
      <c r="D35" s="434">
        <v>100</v>
      </c>
      <c r="E35" s="2612"/>
      <c r="F35" s="460">
        <f>SUMIF(107:107,E35,108:108)-SUMIF(107:107,C35,108:108)+100</f>
        <v>100</v>
      </c>
      <c r="G35" s="2612"/>
      <c r="H35" s="434">
        <f>SUMIF(107:107,G35,108:108)-SUMIF(107:107,C35,108:108)+100</f>
        <v>100</v>
      </c>
      <c r="I35" s="2612"/>
      <c r="J35" s="434">
        <f>SUMIF(107:107,I35,108:108)-SUMIF(107:107,C35,108:108)+100</f>
        <v>100</v>
      </c>
      <c r="K35" s="611"/>
      <c r="L35" s="1140"/>
      <c r="M35" s="1131"/>
      <c r="N35" s="1131"/>
      <c r="O35" s="1131"/>
      <c r="P35" s="3208"/>
      <c r="Q35" s="1811" t="str">
        <f t="shared" si="11"/>
        <v>公共部分装修</v>
      </c>
      <c r="R35" s="773" t="s">
        <v>17</v>
      </c>
      <c r="S35" s="774">
        <f t="shared" si="12"/>
        <v>100</v>
      </c>
      <c r="T35" s="773" t="s">
        <v>17</v>
      </c>
      <c r="U35" s="774">
        <f t="shared" si="13"/>
        <v>100</v>
      </c>
      <c r="V35" s="773" t="s">
        <v>17</v>
      </c>
      <c r="W35" s="774">
        <f t="shared" si="14"/>
        <v>100</v>
      </c>
      <c r="X35" s="1814"/>
      <c r="Y35" s="3147"/>
      <c r="Z35" s="1815" t="str">
        <f t="shared" si="15"/>
        <v>公共部分装修</v>
      </c>
      <c r="AA35" s="1812">
        <f t="shared" si="3"/>
        <v>1</v>
      </c>
      <c r="AB35" s="1812">
        <f t="shared" si="4"/>
        <v>1</v>
      </c>
      <c r="AC35" s="1812">
        <f t="shared" si="5"/>
        <v>1</v>
      </c>
    </row>
    <row r="36" spans="1:29" ht="15">
      <c r="A36" s="471"/>
      <c r="B36" s="421" t="s">
        <v>2663</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0"/>
      <c r="M36" s="1131"/>
      <c r="N36" s="1131"/>
      <c r="O36" s="1131"/>
      <c r="P36" s="3208"/>
      <c r="Q36" s="1811" t="str">
        <f t="shared" si="11"/>
        <v>成新度</v>
      </c>
      <c r="R36" s="773" t="s">
        <v>17</v>
      </c>
      <c r="S36" s="774" t="e">
        <f t="shared" si="12"/>
        <v>#N/A</v>
      </c>
      <c r="T36" s="773" t="s">
        <v>17</v>
      </c>
      <c r="U36" s="774" t="e">
        <f t="shared" si="13"/>
        <v>#N/A</v>
      </c>
      <c r="V36" s="773" t="s">
        <v>17</v>
      </c>
      <c r="W36" s="774" t="e">
        <f t="shared" si="14"/>
        <v>#N/A</v>
      </c>
      <c r="X36" s="1814"/>
      <c r="Y36" s="3147"/>
      <c r="Z36" s="1815" t="str">
        <f t="shared" si="15"/>
        <v>成新度</v>
      </c>
      <c r="AA36" s="1812" t="e">
        <f t="shared" si="3"/>
        <v>#N/A</v>
      </c>
      <c r="AB36" s="1812" t="e">
        <f t="shared" si="4"/>
        <v>#N/A</v>
      </c>
      <c r="AC36" s="1812" t="e">
        <f t="shared" si="5"/>
        <v>#N/A</v>
      </c>
    </row>
    <row r="37" spans="1:29" s="116" customFormat="1" ht="15">
      <c r="A37" s="472"/>
      <c r="B37" s="421" t="s">
        <v>2664</v>
      </c>
      <c r="C37" s="2612"/>
      <c r="D37" s="134">
        <v>100</v>
      </c>
      <c r="E37" s="2612"/>
      <c r="F37" s="460">
        <f>SUMIF(112:112,E37,113:113)-SUMIF(112:112,C37,113:113)+100</f>
        <v>100</v>
      </c>
      <c r="G37" s="2612"/>
      <c r="H37" s="434">
        <f>SUMIF(112:112,G37,113:113)-SUMIF(112:112,C37,113:113)+100</f>
        <v>100</v>
      </c>
      <c r="I37" s="2612"/>
      <c r="J37" s="434">
        <f>SUMIF(112:112,I37,113:113)-SUMIF(112:112,C37,113:113)+100</f>
        <v>100</v>
      </c>
      <c r="K37" s="611"/>
      <c r="L37" s="1132"/>
      <c r="M37" s="1133"/>
      <c r="N37" s="1133"/>
      <c r="O37" s="1133"/>
      <c r="P37" s="3208"/>
      <c r="Q37" s="1796" t="str">
        <f t="shared" si="11"/>
        <v>市政基础设施</v>
      </c>
      <c r="R37" s="769" t="s">
        <v>17</v>
      </c>
      <c r="S37" s="770">
        <f t="shared" si="12"/>
        <v>100</v>
      </c>
      <c r="T37" s="769" t="s">
        <v>17</v>
      </c>
      <c r="U37" s="770">
        <f t="shared" si="13"/>
        <v>100</v>
      </c>
      <c r="V37" s="769" t="s">
        <v>17</v>
      </c>
      <c r="W37" s="770">
        <f t="shared" si="14"/>
        <v>100</v>
      </c>
      <c r="X37" s="771"/>
      <c r="Y37" s="3147"/>
      <c r="Z37" s="55" t="str">
        <f t="shared" si="15"/>
        <v>市政基础设施</v>
      </c>
      <c r="AA37" s="772">
        <f t="shared" si="3"/>
        <v>1</v>
      </c>
      <c r="AB37" s="772">
        <f t="shared" si="4"/>
        <v>1</v>
      </c>
      <c r="AC37" s="772">
        <f t="shared" si="5"/>
        <v>1</v>
      </c>
    </row>
    <row r="38" spans="1:29" ht="15">
      <c r="A38" s="471"/>
      <c r="B38" s="421" t="s">
        <v>2665</v>
      </c>
      <c r="C38" s="2612"/>
      <c r="D38" s="434">
        <v>100</v>
      </c>
      <c r="E38" s="2612"/>
      <c r="F38" s="460">
        <f>SUMIF(114:114,E38,115:115)-SUMIF(114:114,C38,115:115)+100</f>
        <v>100</v>
      </c>
      <c r="G38" s="2612"/>
      <c r="H38" s="434">
        <f>SUMIF(114:114,G38,115:115)-SUMIF(114:114,C38,115:115)+100</f>
        <v>100</v>
      </c>
      <c r="I38" s="2612"/>
      <c r="J38" s="434">
        <f>SUMIF(114:114,I38,115:115)-SUMIF(114:114,C38,115:115)+100</f>
        <v>100</v>
      </c>
      <c r="K38" s="611"/>
      <c r="L38" s="1140"/>
      <c r="M38" s="1131"/>
      <c r="N38" s="1131"/>
      <c r="O38" s="1131"/>
      <c r="P38" s="3208" t="s">
        <v>2566</v>
      </c>
      <c r="Q38" s="1811" t="str">
        <f t="shared" si="11"/>
        <v>业态</v>
      </c>
      <c r="R38" s="773" t="s">
        <v>17</v>
      </c>
      <c r="S38" s="774">
        <f t="shared" si="12"/>
        <v>100</v>
      </c>
      <c r="T38" s="773" t="s">
        <v>17</v>
      </c>
      <c r="U38" s="774">
        <f t="shared" si="13"/>
        <v>100</v>
      </c>
      <c r="V38" s="773" t="s">
        <v>17</v>
      </c>
      <c r="W38" s="774">
        <f t="shared" si="14"/>
        <v>100</v>
      </c>
      <c r="X38" s="1814"/>
      <c r="Y38" s="3147" t="s">
        <v>2566</v>
      </c>
      <c r="Z38" s="1815" t="str">
        <f t="shared" si="15"/>
        <v>业态</v>
      </c>
      <c r="AA38" s="1812">
        <f t="shared" si="3"/>
        <v>1</v>
      </c>
      <c r="AB38" s="1812">
        <f t="shared" si="4"/>
        <v>1</v>
      </c>
      <c r="AC38" s="1812">
        <f t="shared" si="5"/>
        <v>1</v>
      </c>
    </row>
    <row r="39" spans="1:29" ht="15">
      <c r="A39" s="471"/>
      <c r="B39" s="421" t="s">
        <v>2666</v>
      </c>
      <c r="C39" s="2612"/>
      <c r="D39" s="434">
        <v>100</v>
      </c>
      <c r="E39" s="2612"/>
      <c r="F39" s="460">
        <f>SUMIF(116:116,E39,117:117)-SUMIF(116:116,C39,117:117)+100</f>
        <v>100</v>
      </c>
      <c r="G39" s="2612"/>
      <c r="H39" s="434">
        <f>SUMIF(116:116,G39,117:117)-SUMIF(116:116,C39,117:117)+100</f>
        <v>100</v>
      </c>
      <c r="I39" s="2612"/>
      <c r="J39" s="434">
        <f>SUMIF(116:116,I39,117:117)-SUMIF(116:116,C39,117:117)+100</f>
        <v>100</v>
      </c>
      <c r="K39" s="611"/>
      <c r="L39" s="1140"/>
      <c r="M39" s="1131"/>
      <c r="N39" s="1131"/>
      <c r="O39" s="1131"/>
      <c r="P39" s="3208"/>
      <c r="Q39" s="1811" t="str">
        <f t="shared" si="11"/>
        <v>层高</v>
      </c>
      <c r="R39" s="773" t="s">
        <v>17</v>
      </c>
      <c r="S39" s="774">
        <f t="shared" si="12"/>
        <v>100</v>
      </c>
      <c r="T39" s="773" t="s">
        <v>17</v>
      </c>
      <c r="U39" s="774">
        <f t="shared" si="13"/>
        <v>100</v>
      </c>
      <c r="V39" s="773" t="s">
        <v>17</v>
      </c>
      <c r="W39" s="774">
        <f t="shared" si="14"/>
        <v>100</v>
      </c>
      <c r="X39" s="1814"/>
      <c r="Y39" s="3147"/>
      <c r="Z39" s="1815" t="str">
        <f t="shared" si="15"/>
        <v>层高</v>
      </c>
      <c r="AA39" s="1812">
        <f t="shared" si="3"/>
        <v>1</v>
      </c>
      <c r="AB39" s="1812">
        <f t="shared" si="4"/>
        <v>1</v>
      </c>
      <c r="AC39" s="1812">
        <f t="shared" si="5"/>
        <v>1</v>
      </c>
    </row>
    <row r="40" spans="1:29" ht="15">
      <c r="A40" s="471"/>
      <c r="B40" s="421" t="s">
        <v>2667</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0"/>
      <c r="M40" s="1131"/>
      <c r="N40" s="1131"/>
      <c r="O40" s="1131"/>
      <c r="P40" s="3208"/>
      <c r="Q40" s="1811" t="str">
        <f t="shared" si="11"/>
        <v>单套建筑面积</v>
      </c>
      <c r="R40" s="773" t="s">
        <v>17</v>
      </c>
      <c r="S40" s="774">
        <f t="shared" si="12"/>
        <v>100</v>
      </c>
      <c r="T40" s="773" t="s">
        <v>17</v>
      </c>
      <c r="U40" s="774">
        <f t="shared" si="13"/>
        <v>100</v>
      </c>
      <c r="V40" s="773" t="s">
        <v>17</v>
      </c>
      <c r="W40" s="774">
        <f t="shared" si="14"/>
        <v>100</v>
      </c>
      <c r="X40" s="1814"/>
      <c r="Y40" s="3147"/>
      <c r="Z40" s="1815" t="str">
        <f t="shared" si="15"/>
        <v>单套建筑面积</v>
      </c>
      <c r="AA40" s="1812">
        <f t="shared" si="3"/>
        <v>1</v>
      </c>
      <c r="AB40" s="1812">
        <f t="shared" si="4"/>
        <v>1</v>
      </c>
      <c r="AC40" s="1812">
        <f t="shared" si="5"/>
        <v>1</v>
      </c>
    </row>
    <row r="41" spans="1:29" s="470" customFormat="1" ht="15">
      <c r="A41" s="467"/>
      <c r="B41" s="1813" t="s">
        <v>2668</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8"/>
      <c r="M41" s="1141"/>
      <c r="N41" s="1141"/>
      <c r="O41" s="1141"/>
      <c r="P41" s="3208"/>
      <c r="Q41" s="775" t="str">
        <f t="shared" si="11"/>
        <v>进深比</v>
      </c>
      <c r="R41" s="776" t="s">
        <v>17</v>
      </c>
      <c r="S41" s="777">
        <f t="shared" si="12"/>
        <v>100</v>
      </c>
      <c r="T41" s="776" t="s">
        <v>17</v>
      </c>
      <c r="U41" s="777">
        <f t="shared" si="13"/>
        <v>100</v>
      </c>
      <c r="V41" s="776" t="s">
        <v>17</v>
      </c>
      <c r="W41" s="777">
        <f t="shared" si="14"/>
        <v>100</v>
      </c>
      <c r="X41" s="778"/>
      <c r="Y41" s="3147"/>
      <c r="Z41" s="779" t="str">
        <f t="shared" si="15"/>
        <v>进深比</v>
      </c>
      <c r="AA41" s="1812">
        <f t="shared" si="3"/>
        <v>1</v>
      </c>
      <c r="AB41" s="1812">
        <f t="shared" si="4"/>
        <v>1</v>
      </c>
      <c r="AC41" s="1812">
        <f t="shared" si="5"/>
        <v>1</v>
      </c>
    </row>
    <row r="42" spans="1:29" ht="15">
      <c r="A42" s="471"/>
      <c r="B42" s="421" t="s">
        <v>2669</v>
      </c>
      <c r="C42" s="2612"/>
      <c r="D42" s="434">
        <v>100</v>
      </c>
      <c r="E42" s="2612"/>
      <c r="F42" s="460">
        <f>SUMIF(122:122,E42,123:123)-SUMIF(122:122,C42,123:123)+100</f>
        <v>100</v>
      </c>
      <c r="G42" s="2612"/>
      <c r="H42" s="434">
        <f>SUMIF(122:122,G42,123:123)-SUMIF(122:122,C42,123:123)+100</f>
        <v>100</v>
      </c>
      <c r="I42" s="2612"/>
      <c r="J42" s="434">
        <f>SUMIF(122:122,I42,123:123)-SUMIF(122:122,C42,123:123)+100</f>
        <v>100</v>
      </c>
      <c r="K42" s="611"/>
      <c r="L42" s="1140"/>
      <c r="M42" s="1131"/>
      <c r="N42" s="1131"/>
      <c r="O42" s="1131"/>
      <c r="P42" s="3208"/>
      <c r="Q42" s="1811" t="str">
        <f t="shared" si="11"/>
        <v>内部装修</v>
      </c>
      <c r="R42" s="773" t="s">
        <v>17</v>
      </c>
      <c r="S42" s="774">
        <f t="shared" si="12"/>
        <v>100</v>
      </c>
      <c r="T42" s="773" t="s">
        <v>17</v>
      </c>
      <c r="U42" s="774">
        <f t="shared" si="13"/>
        <v>100</v>
      </c>
      <c r="V42" s="773" t="s">
        <v>17</v>
      </c>
      <c r="W42" s="774">
        <f t="shared" si="14"/>
        <v>100</v>
      </c>
      <c r="X42" s="1814"/>
      <c r="Y42" s="3147"/>
      <c r="Z42" s="1815" t="str">
        <f t="shared" si="15"/>
        <v>内部装修</v>
      </c>
      <c r="AA42" s="1812">
        <f t="shared" si="3"/>
        <v>1</v>
      </c>
      <c r="AB42" s="1812">
        <f t="shared" si="4"/>
        <v>1</v>
      </c>
      <c r="AC42" s="1812">
        <f t="shared" si="5"/>
        <v>1</v>
      </c>
    </row>
    <row r="43" spans="1:29" ht="15">
      <c r="A43" s="471"/>
      <c r="B43" s="421" t="s">
        <v>2577</v>
      </c>
      <c r="C43" s="2612"/>
      <c r="D43" s="434">
        <v>100</v>
      </c>
      <c r="E43" s="2612"/>
      <c r="F43" s="460">
        <f>SUMIF(124:124,E43,125:125)-SUMIF(124:124,C43,125:125)+100</f>
        <v>100</v>
      </c>
      <c r="G43" s="2612"/>
      <c r="H43" s="434">
        <f>SUMIF(124:124,G43,125:125)-SUMIF(124:124,C43,125:125)+100</f>
        <v>100</v>
      </c>
      <c r="I43" s="2612"/>
      <c r="J43" s="434">
        <f>SUMIF(124:124,I43,125:125)-SUMIF(124:124,C43,125:125)+100</f>
        <v>100</v>
      </c>
      <c r="K43" s="611"/>
      <c r="L43" s="1140"/>
      <c r="M43" s="1131"/>
      <c r="N43" s="1131"/>
      <c r="O43" s="1131"/>
      <c r="P43" s="3208"/>
      <c r="Q43" s="1811" t="str">
        <f t="shared" si="11"/>
        <v>内部装修维护情况</v>
      </c>
      <c r="R43" s="773" t="s">
        <v>17</v>
      </c>
      <c r="S43" s="774">
        <f t="shared" si="12"/>
        <v>100</v>
      </c>
      <c r="T43" s="773" t="s">
        <v>17</v>
      </c>
      <c r="U43" s="774">
        <f t="shared" si="13"/>
        <v>100</v>
      </c>
      <c r="V43" s="773" t="s">
        <v>17</v>
      </c>
      <c r="W43" s="774">
        <f t="shared" si="14"/>
        <v>100</v>
      </c>
      <c r="X43" s="1814"/>
      <c r="Y43" s="3147"/>
      <c r="Z43" s="1815" t="str">
        <f t="shared" si="15"/>
        <v>内部装修维护情况</v>
      </c>
      <c r="AA43" s="1812">
        <f t="shared" si="3"/>
        <v>1</v>
      </c>
      <c r="AB43" s="1812">
        <f t="shared" si="4"/>
        <v>1</v>
      </c>
      <c r="AC43" s="1812">
        <f t="shared" si="5"/>
        <v>1</v>
      </c>
    </row>
    <row r="44" spans="1:29" s="116" customFormat="1" ht="15">
      <c r="A44" s="472"/>
      <c r="B44" s="1386">
        <v>111</v>
      </c>
      <c r="C44" s="468"/>
      <c r="D44" s="134">
        <v>100</v>
      </c>
      <c r="E44" s="433"/>
      <c r="F44" s="424">
        <f>SUMIF(126:126,E44,127:127)-SUMIF(126:126,C44,127:127)+100</f>
        <v>100</v>
      </c>
      <c r="G44" s="433"/>
      <c r="H44" s="134">
        <f>SUMIF(126:126,G44,127:127)-SUMIF(126:126,C44,127:127)+100</f>
        <v>100</v>
      </c>
      <c r="I44" s="433"/>
      <c r="J44" s="134">
        <f>SUMIF(126:126,I44,127:127)-SUMIF(126:126,C44,127:127)+100</f>
        <v>100</v>
      </c>
      <c r="K44" s="612"/>
      <c r="L44" s="1132"/>
      <c r="M44" s="1133"/>
      <c r="N44" s="1133"/>
      <c r="O44" s="1133"/>
      <c r="P44" s="3208"/>
      <c r="Q44" s="1796">
        <f t="shared" si="11"/>
        <v>111</v>
      </c>
      <c r="R44" s="769" t="s">
        <v>17</v>
      </c>
      <c r="S44" s="770">
        <f t="shared" si="12"/>
        <v>100</v>
      </c>
      <c r="T44" s="769" t="s">
        <v>17</v>
      </c>
      <c r="U44" s="770">
        <f t="shared" si="13"/>
        <v>100</v>
      </c>
      <c r="V44" s="769" t="s">
        <v>17</v>
      </c>
      <c r="W44" s="770">
        <f t="shared" si="14"/>
        <v>100</v>
      </c>
      <c r="X44" s="771"/>
      <c r="Y44" s="3147"/>
      <c r="Z44" s="55">
        <f t="shared" si="15"/>
        <v>111</v>
      </c>
      <c r="AA44" s="772">
        <f t="shared" si="3"/>
        <v>1</v>
      </c>
      <c r="AB44" s="772">
        <f t="shared" si="4"/>
        <v>1</v>
      </c>
      <c r="AC44" s="772">
        <f t="shared" si="5"/>
        <v>1</v>
      </c>
    </row>
    <row r="45" spans="1:29" ht="15">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0"/>
      <c r="M45" s="1131"/>
      <c r="N45" s="1131"/>
      <c r="O45" s="1131"/>
      <c r="P45" s="3208"/>
      <c r="Q45" s="1811">
        <f t="shared" si="11"/>
        <v>111</v>
      </c>
      <c r="R45" s="773" t="s">
        <v>17</v>
      </c>
      <c r="S45" s="774">
        <f t="shared" si="12"/>
        <v>100</v>
      </c>
      <c r="T45" s="773" t="s">
        <v>17</v>
      </c>
      <c r="U45" s="774">
        <f t="shared" si="13"/>
        <v>100</v>
      </c>
      <c r="V45" s="773" t="s">
        <v>17</v>
      </c>
      <c r="W45" s="774">
        <f t="shared" si="14"/>
        <v>100</v>
      </c>
      <c r="X45" s="1814"/>
      <c r="Y45" s="3147"/>
      <c r="Z45" s="1815">
        <f t="shared" si="15"/>
        <v>111</v>
      </c>
      <c r="AA45" s="1812">
        <f t="shared" si="3"/>
        <v>1</v>
      </c>
      <c r="AB45" s="1812">
        <f t="shared" si="4"/>
        <v>1</v>
      </c>
      <c r="AC45" s="1812">
        <f t="shared" si="5"/>
        <v>1</v>
      </c>
    </row>
    <row r="46" spans="1:29" ht="15.75" thickBot="1">
      <c r="A46" s="477"/>
      <c r="B46" s="2601">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0"/>
      <c r="M46" s="1131"/>
      <c r="N46" s="1131"/>
      <c r="O46" s="1131"/>
      <c r="P46" s="3209"/>
      <c r="Q46" s="1811">
        <f t="shared" si="11"/>
        <v>111</v>
      </c>
      <c r="R46" s="773" t="s">
        <v>17</v>
      </c>
      <c r="S46" s="774">
        <f t="shared" si="12"/>
        <v>100</v>
      </c>
      <c r="T46" s="773" t="s">
        <v>17</v>
      </c>
      <c r="U46" s="774">
        <f t="shared" si="13"/>
        <v>100</v>
      </c>
      <c r="V46" s="773" t="s">
        <v>17</v>
      </c>
      <c r="W46" s="774">
        <f t="shared" si="14"/>
        <v>100</v>
      </c>
      <c r="X46" s="1814"/>
      <c r="Y46" s="3210"/>
      <c r="Z46" s="1815">
        <f t="shared" si="15"/>
        <v>111</v>
      </c>
      <c r="AA46" s="1812">
        <f t="shared" si="3"/>
        <v>1</v>
      </c>
      <c r="AB46" s="1812">
        <f t="shared" si="4"/>
        <v>1</v>
      </c>
      <c r="AC46" s="1812">
        <f t="shared" si="5"/>
        <v>1</v>
      </c>
    </row>
    <row r="47" spans="1:29" ht="15">
      <c r="A47" s="478" t="s">
        <v>2578</v>
      </c>
      <c r="B47" s="479"/>
      <c r="C47" s="1407" t="s">
        <v>1</v>
      </c>
      <c r="D47" s="1408"/>
      <c r="E47" s="1409"/>
      <c r="F47" s="1410"/>
      <c r="G47" s="1411"/>
      <c r="H47" s="1412"/>
      <c r="I47" s="1409"/>
      <c r="J47" s="1412"/>
      <c r="K47" s="782"/>
      <c r="L47" s="1143"/>
      <c r="M47" s="1144"/>
      <c r="N47" s="1131"/>
      <c r="O47" s="1144"/>
      <c r="P47" s="3142" t="str">
        <f>A47</f>
        <v>成交单价（元/平方米）</v>
      </c>
      <c r="Q47" s="3142"/>
      <c r="R47" s="3148">
        <f>E47</f>
        <v>0</v>
      </c>
      <c r="S47" s="3148"/>
      <c r="T47" s="3148">
        <f>G47</f>
        <v>0</v>
      </c>
      <c r="U47" s="3148"/>
      <c r="V47" s="3148">
        <f>I47</f>
        <v>0</v>
      </c>
      <c r="W47" s="3148"/>
      <c r="X47" s="758"/>
      <c r="Y47" s="780"/>
      <c r="Z47" s="758"/>
      <c r="AA47" s="758"/>
      <c r="AB47" s="758"/>
      <c r="AC47" s="758"/>
    </row>
    <row r="48" spans="1:29" ht="15.75" thickBot="1">
      <c r="A48" s="485" t="s">
        <v>2670</v>
      </c>
      <c r="B48" s="486"/>
      <c r="C48" s="1413" t="e">
        <f>R49</f>
        <v>#DIV/0!</v>
      </c>
      <c r="D48" s="1414"/>
      <c r="E48" s="1415" t="e">
        <f>R48</f>
        <v>#DIV/0!</v>
      </c>
      <c r="F48" s="1415"/>
      <c r="G48" s="1413" t="e">
        <f>T48</f>
        <v>#DIV/0!</v>
      </c>
      <c r="H48" s="1414"/>
      <c r="I48" s="1415" t="e">
        <f>V48</f>
        <v>#DIV/0!</v>
      </c>
      <c r="J48" s="1414"/>
      <c r="K48" s="783"/>
      <c r="L48" s="1143"/>
      <c r="M48" s="1144"/>
      <c r="N48" s="1131"/>
      <c r="O48" s="1144"/>
      <c r="P48" s="3142" t="str">
        <f>A48</f>
        <v>比较价值（元/平方米）</v>
      </c>
      <c r="Q48" s="3142"/>
      <c r="R48" s="3206" t="e">
        <f>IF(F1="售价",ROUND(PRODUCT(R47,AA7:AA46),0),ROUND(PRODUCT(R47,AA7:AA46),1))</f>
        <v>#DIV/0!</v>
      </c>
      <c r="S48" s="3206"/>
      <c r="T48" s="3206" t="e">
        <f>IF(F1="售价",ROUND(PRODUCT(T47,AB7:AB46),0),ROUND(PRODUCT(T47,AB7:AB46),1))</f>
        <v>#DIV/0!</v>
      </c>
      <c r="U48" s="3206"/>
      <c r="V48" s="3206" t="e">
        <f>IF(F1="售价",ROUND(PRODUCT(V47,AC7:AC46),0),ROUND(PRODUCT(V47,AC7:AC46),1))</f>
        <v>#DIV/0!</v>
      </c>
      <c r="W48" s="3206"/>
      <c r="X48" s="758"/>
      <c r="Y48" s="758"/>
      <c r="Z48" s="758"/>
      <c r="AA48" s="758"/>
      <c r="AB48" s="758"/>
      <c r="AC48" s="758"/>
    </row>
    <row r="49" spans="1:29" ht="15.75" thickBot="1">
      <c r="A49" s="491" t="s">
        <v>2671</v>
      </c>
      <c r="B49" s="492"/>
      <c r="C49" s="1417" t="e">
        <f>R49</f>
        <v>#DIV/0!</v>
      </c>
      <c r="D49" s="1417"/>
      <c r="E49" s="1417"/>
      <c r="F49" s="1417"/>
      <c r="G49" s="1417"/>
      <c r="H49" s="1417"/>
      <c r="I49" s="1417"/>
      <c r="J49" s="1417"/>
      <c r="K49" s="784"/>
      <c r="L49" s="1143"/>
      <c r="M49" s="1144"/>
      <c r="N49" s="1131"/>
      <c r="O49" s="1144"/>
      <c r="P49" s="3136" t="str">
        <f>A49</f>
        <v>估价对象XX用房的比较价值（楼面单价，元/平方米）</v>
      </c>
      <c r="Q49" s="3137"/>
      <c r="R49" s="3205" t="e">
        <f>IF(F1="售价",ROUND(AVERAGE(R48:V48),0),ROUND(AVERAGE(R48:V48),1))</f>
        <v>#DIV/0!</v>
      </c>
      <c r="S49" s="3205"/>
      <c r="T49" s="3205"/>
      <c r="U49" s="3205"/>
      <c r="V49" s="3205"/>
      <c r="W49" s="3205"/>
      <c r="X49" s="758"/>
      <c r="Y49" s="758"/>
      <c r="Z49" s="758"/>
      <c r="AA49" s="758"/>
      <c r="AB49" s="758"/>
      <c r="AC49" s="758"/>
    </row>
    <row r="50" spans="1:29">
      <c r="A50" s="1144"/>
      <c r="B50" s="1144"/>
      <c r="C50" s="1144"/>
      <c r="D50" s="1144"/>
      <c r="E50" s="1144"/>
      <c r="F50" s="1144"/>
      <c r="G50" s="1147"/>
      <c r="H50" s="1144"/>
      <c r="I50" s="1144"/>
      <c r="J50" s="1144"/>
      <c r="K50" s="1106"/>
      <c r="L50" s="1107"/>
      <c r="M50" s="1144"/>
      <c r="N50" s="1144"/>
      <c r="O50" s="1144"/>
      <c r="P50" s="674"/>
      <c r="Q50" s="758"/>
      <c r="R50" s="758"/>
      <c r="S50" s="758"/>
      <c r="T50" s="758"/>
      <c r="U50" s="758"/>
      <c r="V50" s="758"/>
      <c r="W50" s="758"/>
      <c r="X50" s="758"/>
      <c r="Y50" s="758"/>
      <c r="Z50" s="758"/>
      <c r="AA50" s="758"/>
      <c r="AB50" s="758"/>
      <c r="AC50" s="758"/>
    </row>
    <row r="51" spans="1:29">
      <c r="A51" s="1144"/>
      <c r="B51" s="1144"/>
      <c r="C51" s="1144"/>
      <c r="D51" s="1144"/>
      <c r="E51" s="1144"/>
      <c r="F51" s="1144"/>
      <c r="G51" s="1144"/>
      <c r="H51" s="1144"/>
      <c r="I51" s="1144"/>
      <c r="J51" s="1144"/>
      <c r="K51" s="1106"/>
      <c r="L51" s="1107"/>
      <c r="M51" s="1144"/>
      <c r="N51" s="1144"/>
      <c r="O51" s="1144"/>
      <c r="P51" s="674"/>
      <c r="Q51" s="758"/>
      <c r="R51" s="758"/>
      <c r="S51" s="758"/>
      <c r="T51" s="758"/>
      <c r="U51" s="758"/>
      <c r="V51" s="758"/>
      <c r="W51" s="758"/>
      <c r="X51" s="758"/>
      <c r="Y51" s="758"/>
      <c r="Z51" s="758"/>
      <c r="AA51" s="758"/>
      <c r="AB51" s="758"/>
      <c r="AC51" s="758"/>
    </row>
    <row r="52" spans="1:29" ht="13.5" customHeight="1">
      <c r="A52" s="1144"/>
      <c r="B52" s="1144"/>
      <c r="C52" s="496" t="s">
        <v>2672</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6"/>
      <c r="L52" s="1107"/>
      <c r="M52" s="1144"/>
      <c r="N52" s="1144"/>
      <c r="O52" s="1144"/>
      <c r="P52" s="674"/>
      <c r="Q52" s="758"/>
      <c r="R52" s="758"/>
      <c r="S52" s="758"/>
      <c r="T52" s="758"/>
      <c r="U52" s="758"/>
      <c r="V52" s="758"/>
      <c r="W52" s="758"/>
      <c r="X52" s="758"/>
      <c r="Y52" s="758"/>
      <c r="Z52" s="758"/>
      <c r="AA52" s="758"/>
      <c r="AB52" s="758"/>
      <c r="AC52" s="758"/>
    </row>
    <row r="53" spans="1:29" ht="13.5" customHeight="1">
      <c r="A53" s="1144"/>
      <c r="B53" s="1144"/>
      <c r="C53" s="496" t="s">
        <v>2673</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6"/>
      <c r="L53" s="1107"/>
      <c r="M53" s="1144"/>
      <c r="N53" s="1144"/>
      <c r="O53" s="1144"/>
      <c r="P53" s="674"/>
      <c r="Q53" s="758"/>
      <c r="R53" s="758"/>
      <c r="S53" s="758"/>
      <c r="T53" s="758"/>
      <c r="U53" s="758"/>
      <c r="V53" s="758"/>
      <c r="W53" s="758"/>
      <c r="X53" s="758"/>
      <c r="Y53" s="758"/>
      <c r="Z53" s="758"/>
      <c r="AA53" s="758"/>
      <c r="AB53" s="758"/>
      <c r="AC53" s="758"/>
    </row>
    <row r="54" spans="1:29" s="501" customFormat="1" ht="13.5" customHeight="1">
      <c r="A54" s="1145"/>
      <c r="B54" s="1145"/>
      <c r="C54" s="496" t="s">
        <v>2674</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8"/>
      <c r="L54" s="1149"/>
      <c r="M54" s="1145"/>
      <c r="N54" s="1145"/>
      <c r="O54" s="1145"/>
      <c r="P54" s="2665"/>
      <c r="Q54" s="759"/>
      <c r="R54" s="759"/>
      <c r="S54" s="759"/>
      <c r="T54" s="759"/>
      <c r="U54" s="759"/>
      <c r="V54" s="759"/>
      <c r="W54" s="759"/>
      <c r="X54" s="759"/>
      <c r="Y54" s="759"/>
      <c r="Z54" s="759"/>
      <c r="AA54" s="759"/>
      <c r="AB54" s="759"/>
      <c r="AC54" s="759"/>
    </row>
    <row r="55" spans="1:29" s="501" customFormat="1">
      <c r="A55" s="1145"/>
      <c r="B55" s="1146"/>
      <c r="C55" s="1150"/>
      <c r="D55" s="1145"/>
      <c r="E55" s="1145"/>
      <c r="F55" s="1145"/>
      <c r="G55" s="1145"/>
      <c r="H55" s="1145"/>
      <c r="I55" s="1145"/>
      <c r="J55" s="1145"/>
      <c r="K55" s="1148"/>
      <c r="L55" s="1149"/>
      <c r="M55" s="1145"/>
      <c r="N55" s="1145"/>
      <c r="O55" s="1145"/>
      <c r="P55" s="2665"/>
      <c r="Q55" s="759"/>
      <c r="R55" s="759"/>
      <c r="S55" s="759"/>
      <c r="T55" s="759"/>
      <c r="U55" s="759"/>
      <c r="V55" s="759"/>
      <c r="W55" s="759"/>
      <c r="X55" s="759"/>
      <c r="Y55" s="759"/>
      <c r="Z55" s="759"/>
      <c r="AA55" s="759"/>
      <c r="AB55" s="759"/>
      <c r="AC55" s="759"/>
    </row>
    <row r="56" spans="1:29">
      <c r="A56" s="1144"/>
      <c r="B56" s="1146"/>
      <c r="C56" s="1150"/>
      <c r="D56" s="1144"/>
      <c r="E56" s="1144"/>
      <c r="F56" s="1144"/>
      <c r="G56" s="1144"/>
      <c r="H56" s="1144"/>
      <c r="I56" s="1144"/>
      <c r="J56" s="1144"/>
      <c r="K56" s="1106"/>
      <c r="L56" s="1107"/>
      <c r="M56" s="1144"/>
      <c r="N56" s="1144"/>
      <c r="O56" s="1144"/>
      <c r="P56" s="674"/>
      <c r="Q56" s="758"/>
      <c r="R56" s="758"/>
      <c r="S56" s="758"/>
      <c r="T56" s="758"/>
      <c r="U56" s="758"/>
      <c r="V56" s="758"/>
      <c r="W56" s="758"/>
      <c r="X56" s="758"/>
      <c r="Y56" s="758"/>
      <c r="Z56" s="758"/>
      <c r="AA56" s="758"/>
      <c r="AB56" s="758"/>
      <c r="AC56" s="758"/>
    </row>
    <row r="57" spans="1:29" ht="21.75" thickBot="1">
      <c r="A57" s="762" t="s">
        <v>2675</v>
      </c>
      <c r="B57" s="758"/>
      <c r="C57" s="763"/>
      <c r="D57" s="763"/>
      <c r="E57" s="763"/>
      <c r="F57" s="764"/>
      <c r="G57" s="764"/>
      <c r="H57" s="763"/>
      <c r="I57" s="763"/>
      <c r="J57" s="763"/>
      <c r="K57" s="765"/>
      <c r="L57" s="1161"/>
      <c r="M57" s="1159"/>
      <c r="N57" s="1159"/>
      <c r="O57" s="1159"/>
      <c r="P57" s="2666"/>
      <c r="Q57" s="2667"/>
      <c r="R57" s="758"/>
      <c r="S57" s="758"/>
      <c r="T57" s="758"/>
      <c r="U57" s="758"/>
      <c r="V57" s="758"/>
      <c r="W57" s="758"/>
      <c r="X57" s="758"/>
      <c r="Y57" s="758"/>
      <c r="Z57" s="758"/>
      <c r="AA57" s="758"/>
      <c r="AB57" s="758"/>
      <c r="AC57" s="758"/>
    </row>
    <row r="58" spans="1:29" s="507" customFormat="1" ht="15">
      <c r="A58" s="504" t="s">
        <v>2549</v>
      </c>
      <c r="B58" s="505"/>
      <c r="C58" s="1575" t="str">
        <f>YEAR(C7)&amp;"-"&amp;MONTH(C7)</f>
        <v>2017-10</v>
      </c>
      <c r="D58" s="1576">
        <f>EDATE(C58,-1)</f>
        <v>42979</v>
      </c>
      <c r="E58" s="1576">
        <f t="shared" ref="E58:N58" si="16">EDATE(D58,-1)</f>
        <v>42948</v>
      </c>
      <c r="F58" s="1576">
        <f t="shared" si="16"/>
        <v>42917</v>
      </c>
      <c r="G58" s="1576">
        <f t="shared" si="16"/>
        <v>42887</v>
      </c>
      <c r="H58" s="1576">
        <f t="shared" si="16"/>
        <v>42856</v>
      </c>
      <c r="I58" s="1576">
        <f t="shared" si="16"/>
        <v>42826</v>
      </c>
      <c r="J58" s="1576">
        <f t="shared" si="16"/>
        <v>42795</v>
      </c>
      <c r="K58" s="1576">
        <f t="shared" si="16"/>
        <v>42767</v>
      </c>
      <c r="L58" s="1576">
        <f t="shared" si="16"/>
        <v>42736</v>
      </c>
      <c r="M58" s="1576">
        <f t="shared" si="16"/>
        <v>42705</v>
      </c>
      <c r="N58" s="1576">
        <f t="shared" si="16"/>
        <v>42675</v>
      </c>
      <c r="O58" s="1576">
        <f>EDATE(N58,-1)</f>
        <v>42644</v>
      </c>
      <c r="P58" s="1571"/>
    </row>
    <row r="59" spans="1:29" s="116" customFormat="1" ht="15">
      <c r="A59" s="508"/>
      <c r="B59" s="509"/>
      <c r="C59" s="1574">
        <v>100</v>
      </c>
      <c r="D59" s="511"/>
      <c r="E59" s="511"/>
      <c r="F59" s="511"/>
      <c r="G59" s="511"/>
      <c r="H59" s="511"/>
      <c r="I59" s="511"/>
      <c r="J59" s="511"/>
      <c r="K59" s="511"/>
      <c r="L59" s="511"/>
      <c r="M59" s="512"/>
      <c r="N59" s="511"/>
      <c r="O59" s="512"/>
      <c r="P59" s="2627"/>
    </row>
    <row r="60" spans="1:29" s="116" customFormat="1" ht="15.75" thickBot="1">
      <c r="A60" s="514" t="s">
        <v>2586</v>
      </c>
      <c r="B60" s="515"/>
      <c r="C60" s="516"/>
      <c r="D60" s="517"/>
      <c r="E60" s="517"/>
      <c r="F60" s="517"/>
      <c r="G60" s="517"/>
      <c r="H60" s="517"/>
      <c r="I60" s="517"/>
      <c r="J60" s="517"/>
      <c r="K60" s="517"/>
      <c r="L60" s="517"/>
      <c r="M60" s="518"/>
      <c r="N60" s="517"/>
      <c r="O60" s="518"/>
      <c r="P60" s="2627"/>
      <c r="Q60" s="503"/>
    </row>
    <row r="61" spans="1:29" s="116" customFormat="1" ht="15">
      <c r="A61" s="520" t="s">
        <v>2551</v>
      </c>
      <c r="B61" s="509"/>
      <c r="C61" s="521" t="s">
        <v>2653</v>
      </c>
      <c r="D61" s="522"/>
      <c r="E61" s="522"/>
      <c r="F61" s="522"/>
      <c r="G61" s="522"/>
      <c r="H61" s="522"/>
      <c r="I61" s="522"/>
      <c r="J61" s="522"/>
      <c r="K61" s="522"/>
      <c r="L61" s="523"/>
      <c r="M61" s="524"/>
      <c r="N61" s="1151"/>
      <c r="O61" s="1151"/>
      <c r="P61" s="2628"/>
      <c r="Q61" s="503"/>
    </row>
    <row r="62" spans="1:29" s="116" customFormat="1" ht="15.75" thickBot="1">
      <c r="A62" s="520"/>
      <c r="B62" s="509"/>
      <c r="C62" s="510">
        <v>100</v>
      </c>
      <c r="D62" s="511"/>
      <c r="E62" s="511"/>
      <c r="F62" s="511"/>
      <c r="G62" s="511"/>
      <c r="H62" s="511"/>
      <c r="I62" s="511"/>
      <c r="J62" s="511"/>
      <c r="K62" s="511"/>
      <c r="L62" s="511"/>
      <c r="M62" s="513"/>
      <c r="N62" s="1151"/>
      <c r="O62" s="1151"/>
      <c r="P62" s="2627"/>
      <c r="Q62" s="503"/>
    </row>
    <row r="63" spans="1:29">
      <c r="A63" s="526" t="s">
        <v>2589</v>
      </c>
      <c r="B63" s="527" t="s">
        <v>2555</v>
      </c>
      <c r="C63" s="528">
        <f>C9</f>
        <v>0</v>
      </c>
      <c r="D63" s="529"/>
      <c r="E63" s="529"/>
      <c r="F63" s="529"/>
      <c r="G63" s="529"/>
      <c r="H63" s="529"/>
      <c r="I63" s="529"/>
      <c r="J63" s="529"/>
      <c r="K63" s="530"/>
      <c r="L63" s="531"/>
      <c r="M63" s="532"/>
      <c r="N63" s="1152"/>
      <c r="O63" s="1152"/>
      <c r="P63" s="2629"/>
      <c r="Q63" s="503"/>
    </row>
    <row r="64" spans="1:29" ht="15.75" thickBot="1">
      <c r="A64" s="533"/>
      <c r="B64" s="534"/>
      <c r="C64" s="535">
        <v>100</v>
      </c>
      <c r="D64" s="535"/>
      <c r="E64" s="535"/>
      <c r="F64" s="535"/>
      <c r="G64" s="535"/>
      <c r="H64" s="535"/>
      <c r="I64" s="535"/>
      <c r="J64" s="535"/>
      <c r="K64" s="535"/>
      <c r="L64" s="535"/>
      <c r="M64" s="536"/>
      <c r="N64" s="1153"/>
      <c r="O64" s="1153"/>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2"/>
      <c r="O65" s="1152"/>
      <c r="P65" s="2629"/>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3"/>
      <c r="O66" s="1153"/>
      <c r="P66" s="2629"/>
      <c r="Q66" s="503"/>
    </row>
    <row r="67" spans="1:17" ht="15.75" thickTop="1">
      <c r="A67" s="533"/>
      <c r="B67" s="545" t="s">
        <v>2559</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3"/>
      <c r="O67" s="1153"/>
      <c r="P67" s="2629"/>
      <c r="Q67" s="503"/>
    </row>
    <row r="68" spans="1:17" ht="15">
      <c r="A68" s="533"/>
      <c r="B68" s="547"/>
      <c r="C68" s="548"/>
      <c r="D68" s="548"/>
      <c r="E68" s="548"/>
      <c r="F68" s="548"/>
      <c r="G68" s="548"/>
      <c r="H68" s="548"/>
      <c r="I68" s="548"/>
      <c r="J68" s="548"/>
      <c r="K68" s="549"/>
      <c r="L68" s="550"/>
      <c r="M68" s="551"/>
      <c r="N68" s="1152"/>
      <c r="O68" s="1152"/>
      <c r="P68" s="2629"/>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3"/>
      <c r="O69" s="1153"/>
      <c r="P69" s="2629"/>
      <c r="Q69" s="503"/>
    </row>
    <row r="70" spans="1:17" s="470" customFormat="1" ht="15.75" thickTop="1">
      <c r="A70" s="552"/>
      <c r="B70" s="537">
        <f>B12</f>
        <v>111</v>
      </c>
      <c r="C70" s="553"/>
      <c r="D70" s="553"/>
      <c r="E70" s="553"/>
      <c r="F70" s="553"/>
      <c r="G70" s="553"/>
      <c r="H70" s="554"/>
      <c r="I70" s="554"/>
      <c r="J70" s="554"/>
      <c r="K70" s="554"/>
      <c r="L70" s="555"/>
      <c r="M70" s="556"/>
      <c r="N70" s="1154"/>
      <c r="O70" s="1154"/>
      <c r="P70" s="2630"/>
      <c r="Q70" s="558"/>
    </row>
    <row r="71" spans="1:17" s="470" customFormat="1" ht="15.75" thickBot="1">
      <c r="A71" s="552"/>
      <c r="B71" s="542"/>
      <c r="C71" s="559"/>
      <c r="D71" s="535"/>
      <c r="E71" s="535"/>
      <c r="F71" s="535"/>
      <c r="G71" s="535"/>
      <c r="H71" s="535"/>
      <c r="I71" s="535"/>
      <c r="J71" s="535"/>
      <c r="K71" s="535"/>
      <c r="L71" s="535"/>
      <c r="M71" s="536"/>
      <c r="N71" s="1153"/>
      <c r="O71" s="1153"/>
      <c r="P71" s="2630"/>
      <c r="Q71" s="558"/>
    </row>
    <row r="72" spans="1:17" s="470" customFormat="1" ht="15.75" thickTop="1">
      <c r="A72" s="552"/>
      <c r="B72" s="537">
        <f>B13</f>
        <v>111</v>
      </c>
      <c r="C72" s="553"/>
      <c r="D72" s="553"/>
      <c r="E72" s="553"/>
      <c r="F72" s="553"/>
      <c r="G72" s="553"/>
      <c r="H72" s="554"/>
      <c r="I72" s="554"/>
      <c r="J72" s="554"/>
      <c r="K72" s="554"/>
      <c r="L72" s="555"/>
      <c r="M72" s="556"/>
      <c r="N72" s="1154"/>
      <c r="O72" s="1154"/>
      <c r="P72" s="2631"/>
      <c r="Q72" s="560"/>
    </row>
    <row r="73" spans="1:17" s="470" customFormat="1" ht="15.75" thickBot="1">
      <c r="A73" s="552"/>
      <c r="B73" s="542"/>
      <c r="C73" s="559"/>
      <c r="D73" s="535"/>
      <c r="E73" s="535"/>
      <c r="F73" s="535"/>
      <c r="G73" s="559"/>
      <c r="H73" s="561"/>
      <c r="I73" s="561"/>
      <c r="J73" s="561"/>
      <c r="K73" s="561"/>
      <c r="L73" s="561"/>
      <c r="M73" s="562"/>
      <c r="N73" s="1154"/>
      <c r="O73" s="1154"/>
      <c r="P73" s="2630"/>
      <c r="Q73" s="558"/>
    </row>
    <row r="74" spans="1:17" s="470" customFormat="1" ht="15.75" thickTop="1">
      <c r="A74" s="552"/>
      <c r="B74" s="545">
        <f>B14</f>
        <v>111</v>
      </c>
      <c r="C74" s="553"/>
      <c r="D74" s="553"/>
      <c r="E74" s="553"/>
      <c r="F74" s="553"/>
      <c r="G74" s="522"/>
      <c r="H74" s="563"/>
      <c r="I74" s="563"/>
      <c r="J74" s="563"/>
      <c r="K74" s="563"/>
      <c r="L74" s="564"/>
      <c r="M74" s="565"/>
      <c r="N74" s="1154"/>
      <c r="O74" s="1154"/>
      <c r="P74" s="2632"/>
      <c r="Q74" s="558"/>
    </row>
    <row r="75" spans="1:17" s="470" customFormat="1" ht="15.75" thickBot="1">
      <c r="A75" s="567"/>
      <c r="B75" s="568"/>
      <c r="C75" s="569"/>
      <c r="D75" s="569"/>
      <c r="E75" s="569"/>
      <c r="F75" s="569"/>
      <c r="G75" s="569"/>
      <c r="H75" s="570"/>
      <c r="I75" s="570"/>
      <c r="J75" s="570"/>
      <c r="K75" s="570"/>
      <c r="L75" s="570"/>
      <c r="M75" s="571"/>
      <c r="N75" s="1154"/>
      <c r="O75" s="1154"/>
      <c r="P75" s="2630"/>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2"/>
      <c r="O76" s="1152"/>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3"/>
      <c r="O77" s="1153"/>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2"/>
      <c r="O78" s="1152"/>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3"/>
      <c r="O79" s="1153"/>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2"/>
      <c r="O80" s="1152"/>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3"/>
      <c r="O81" s="1153"/>
      <c r="P81" s="2629"/>
      <c r="Q81" s="503"/>
    </row>
    <row r="82" spans="1:17" ht="15.75" thickTop="1">
      <c r="A82" s="533"/>
      <c r="B82" s="545" t="s">
        <v>2656</v>
      </c>
      <c r="C82" s="659" t="s">
        <v>2676</v>
      </c>
      <c r="D82" s="659" t="s">
        <v>2677</v>
      </c>
      <c r="E82" s="659" t="s">
        <v>2678</v>
      </c>
      <c r="F82" s="659" t="s">
        <v>2679</v>
      </c>
      <c r="G82" s="659" t="s">
        <v>2680</v>
      </c>
      <c r="H82" s="538"/>
      <c r="I82" s="538"/>
      <c r="J82" s="538"/>
      <c r="K82" s="538"/>
      <c r="L82" s="538"/>
      <c r="M82" s="1382"/>
      <c r="N82" s="1153"/>
      <c r="O82" s="1153"/>
      <c r="P82" s="2629"/>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3"/>
      <c r="O83" s="1153"/>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2"/>
      <c r="O84" s="1152"/>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3"/>
      <c r="O85" s="1153"/>
      <c r="P85" s="2629"/>
      <c r="Q85" s="503"/>
    </row>
    <row r="86" spans="1:17" s="116" customFormat="1" ht="15.75" thickTop="1">
      <c r="A86" s="578"/>
      <c r="B86" s="537" t="s">
        <v>2681</v>
      </c>
      <c r="C86" s="553"/>
      <c r="D86" s="553"/>
      <c r="E86" s="553"/>
      <c r="F86" s="553"/>
      <c r="G86" s="553"/>
      <c r="H86" s="553"/>
      <c r="I86" s="553"/>
      <c r="J86" s="553"/>
      <c r="K86" s="553"/>
      <c r="L86" s="579"/>
      <c r="M86" s="580"/>
      <c r="N86" s="1151"/>
      <c r="O86" s="1151"/>
      <c r="P86" s="2629"/>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3"/>
      <c r="O87" s="1153"/>
      <c r="P87" s="2629"/>
      <c r="Q87" s="503"/>
    </row>
    <row r="88" spans="1:17" s="116" customFormat="1" ht="15.75" thickTop="1">
      <c r="A88" s="578"/>
      <c r="B88" s="537" t="str">
        <f>B26</f>
        <v>平面位置/可视性</v>
      </c>
      <c r="C88" s="553"/>
      <c r="D88" s="553"/>
      <c r="E88" s="553"/>
      <c r="F88" s="2634"/>
      <c r="G88" s="553"/>
      <c r="H88" s="553"/>
      <c r="I88" s="553"/>
      <c r="J88" s="553"/>
      <c r="K88" s="553"/>
      <c r="L88" s="553"/>
      <c r="M88" s="580"/>
      <c r="N88" s="1151"/>
      <c r="O88" s="1151"/>
      <c r="P88" s="2629"/>
      <c r="Q88" s="503"/>
    </row>
    <row r="89" spans="1:17" s="116" customFormat="1" ht="15.75" thickBot="1">
      <c r="A89" s="578"/>
      <c r="B89" s="542"/>
      <c r="C89" s="559"/>
      <c r="D89" s="535"/>
      <c r="E89" s="535"/>
      <c r="F89" s="535"/>
      <c r="G89" s="535"/>
      <c r="H89" s="535"/>
      <c r="I89" s="535"/>
      <c r="J89" s="535"/>
      <c r="K89" s="535"/>
      <c r="L89" s="535"/>
      <c r="M89" s="535"/>
      <c r="N89" s="1153"/>
      <c r="O89" s="1153"/>
      <c r="P89" s="2629"/>
      <c r="Q89" s="503"/>
    </row>
    <row r="90" spans="1:17" s="470" customFormat="1" ht="15.75" thickTop="1">
      <c r="A90" s="552"/>
      <c r="B90" s="537" t="str">
        <f>B27</f>
        <v>人流量</v>
      </c>
      <c r="C90" s="553"/>
      <c r="D90" s="553"/>
      <c r="E90" s="553"/>
      <c r="F90" s="553"/>
      <c r="G90" s="553"/>
      <c r="H90" s="554"/>
      <c r="I90" s="554"/>
      <c r="J90" s="554"/>
      <c r="K90" s="554"/>
      <c r="L90" s="555"/>
      <c r="M90" s="556"/>
      <c r="N90" s="1154"/>
      <c r="O90" s="1154"/>
      <c r="P90" s="2630"/>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4"/>
      <c r="O91" s="1154"/>
      <c r="P91" s="2630"/>
      <c r="Q91" s="558"/>
    </row>
    <row r="92" spans="1:17" ht="15.75" thickTop="1">
      <c r="A92" s="533"/>
      <c r="B92" s="537" t="str">
        <f>B28</f>
        <v>楼层</v>
      </c>
      <c r="C92" s="553"/>
      <c r="D92" s="553"/>
      <c r="E92" s="553"/>
      <c r="F92" s="553"/>
      <c r="G92" s="553"/>
      <c r="H92" s="553"/>
      <c r="I92" s="553"/>
      <c r="J92" s="553"/>
      <c r="K92" s="553"/>
      <c r="L92" s="579"/>
      <c r="M92" s="580"/>
      <c r="N92" s="1152"/>
      <c r="O92" s="1152"/>
      <c r="P92" s="2629"/>
      <c r="Q92" s="503"/>
    </row>
    <row r="93" spans="1:17" ht="15.75" thickBot="1">
      <c r="A93" s="533"/>
      <c r="B93" s="542"/>
      <c r="C93" s="535"/>
      <c r="D93" s="535"/>
      <c r="E93" s="535"/>
      <c r="F93" s="535"/>
      <c r="G93" s="535"/>
      <c r="H93" s="535"/>
      <c r="I93" s="535"/>
      <c r="J93" s="535"/>
      <c r="K93" s="535"/>
      <c r="L93" s="535"/>
      <c r="M93" s="536"/>
      <c r="N93" s="1153"/>
      <c r="O93" s="1153"/>
      <c r="P93" s="2629"/>
      <c r="Q93" s="503"/>
    </row>
    <row r="94" spans="1:17" ht="15.75" thickTop="1">
      <c r="A94" s="533"/>
      <c r="B94" s="537">
        <f>B29</f>
        <v>111</v>
      </c>
      <c r="C94" s="553"/>
      <c r="D94" s="553"/>
      <c r="E94" s="553"/>
      <c r="F94" s="553"/>
      <c r="G94" s="582"/>
      <c r="H94" s="582"/>
      <c r="I94" s="582"/>
      <c r="J94" s="582"/>
      <c r="K94" s="583"/>
      <c r="L94" s="584"/>
      <c r="M94" s="585"/>
      <c r="N94" s="1152"/>
      <c r="O94" s="1152"/>
      <c r="P94" s="2629"/>
      <c r="Q94" s="503"/>
    </row>
    <row r="95" spans="1:17" ht="15.75" thickBot="1">
      <c r="A95" s="533"/>
      <c r="B95" s="542"/>
      <c r="C95" s="559"/>
      <c r="D95" s="535"/>
      <c r="E95" s="535"/>
      <c r="F95" s="535"/>
      <c r="G95" s="535"/>
      <c r="H95" s="535"/>
      <c r="I95" s="535"/>
      <c r="J95" s="535"/>
      <c r="K95" s="535"/>
      <c r="L95" s="535"/>
      <c r="M95" s="536"/>
      <c r="N95" s="1153"/>
      <c r="O95" s="1153"/>
      <c r="P95" s="2629"/>
      <c r="Q95" s="503"/>
    </row>
    <row r="96" spans="1:17" ht="15.75" thickTop="1">
      <c r="A96" s="533"/>
      <c r="B96" s="537">
        <f>B30</f>
        <v>111</v>
      </c>
      <c r="C96" s="553"/>
      <c r="D96" s="553"/>
      <c r="E96" s="553"/>
      <c r="F96" s="553"/>
      <c r="G96" s="582"/>
      <c r="H96" s="582"/>
      <c r="I96" s="582"/>
      <c r="J96" s="582"/>
      <c r="K96" s="583"/>
      <c r="L96" s="584"/>
      <c r="M96" s="585"/>
      <c r="N96" s="1152"/>
      <c r="O96" s="1152"/>
      <c r="P96" s="2629"/>
      <c r="Q96" s="503"/>
    </row>
    <row r="97" spans="1:17" ht="15.75" thickBot="1">
      <c r="A97" s="533"/>
      <c r="B97" s="542"/>
      <c r="C97" s="559"/>
      <c r="D97" s="535"/>
      <c r="E97" s="535"/>
      <c r="F97" s="535"/>
      <c r="G97" s="535"/>
      <c r="H97" s="535"/>
      <c r="I97" s="535"/>
      <c r="J97" s="535"/>
      <c r="K97" s="535"/>
      <c r="L97" s="535"/>
      <c r="M97" s="536"/>
      <c r="N97" s="1153"/>
      <c r="O97" s="1153"/>
      <c r="P97" s="2629"/>
      <c r="Q97" s="503"/>
    </row>
    <row r="98" spans="1:17" ht="15.75" thickTop="1">
      <c r="A98" s="533"/>
      <c r="B98" s="545">
        <f>B31</f>
        <v>111</v>
      </c>
      <c r="C98" s="553"/>
      <c r="D98" s="553"/>
      <c r="E98" s="553"/>
      <c r="F98" s="553"/>
      <c r="G98" s="586"/>
      <c r="H98" s="586"/>
      <c r="I98" s="586"/>
      <c r="J98" s="586"/>
      <c r="K98" s="587"/>
      <c r="L98" s="588"/>
      <c r="M98" s="589"/>
      <c r="N98" s="1152"/>
      <c r="O98" s="1152"/>
      <c r="P98" s="2629"/>
      <c r="Q98" s="503"/>
    </row>
    <row r="99" spans="1:17" ht="15.75" thickBot="1">
      <c r="A99" s="2635"/>
      <c r="B99" s="568"/>
      <c r="C99" s="569"/>
      <c r="D99" s="569"/>
      <c r="E99" s="569"/>
      <c r="F99" s="569"/>
      <c r="G99" s="590"/>
      <c r="H99" s="590"/>
      <c r="I99" s="590"/>
      <c r="J99" s="590"/>
      <c r="K99" s="590"/>
      <c r="L99" s="590"/>
      <c r="M99" s="591"/>
      <c r="N99" s="1153"/>
      <c r="O99" s="1153"/>
      <c r="P99" s="2629"/>
      <c r="Q99" s="503"/>
    </row>
    <row r="100" spans="1:17">
      <c r="A100" s="526" t="s">
        <v>2564</v>
      </c>
      <c r="B100" s="527" t="s">
        <v>2682</v>
      </c>
      <c r="C100" s="529"/>
      <c r="D100" s="529"/>
      <c r="E100" s="529"/>
      <c r="F100" s="529"/>
      <c r="G100" s="529"/>
      <c r="H100" s="529"/>
      <c r="I100" s="529"/>
      <c r="J100" s="529"/>
      <c r="K100" s="530"/>
      <c r="L100" s="531"/>
      <c r="M100" s="532"/>
      <c r="N100" s="1152"/>
      <c r="O100" s="1152"/>
      <c r="P100" s="2629"/>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3"/>
      <c r="O101" s="1153"/>
      <c r="P101" s="2629"/>
      <c r="Q101" s="503"/>
    </row>
    <row r="102" spans="1:17" ht="15.75" thickTop="1">
      <c r="A102" s="533"/>
      <c r="B102" s="537" t="s">
        <v>2614</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1"/>
      <c r="O102" s="1151"/>
      <c r="P102" s="2629"/>
      <c r="Q102" s="503"/>
    </row>
    <row r="103" spans="1:17" s="470" customFormat="1">
      <c r="A103" s="592"/>
      <c r="B103" s="593"/>
      <c r="C103" s="594"/>
      <c r="D103" s="594"/>
      <c r="E103" s="594"/>
      <c r="F103" s="594"/>
      <c r="G103" s="594"/>
      <c r="H103" s="594"/>
      <c r="I103" s="594"/>
      <c r="J103" s="595"/>
      <c r="K103" s="595"/>
      <c r="L103" s="596"/>
      <c r="M103" s="597"/>
      <c r="N103" s="1154"/>
      <c r="O103" s="1154"/>
      <c r="P103" s="2630"/>
      <c r="Q103" s="558"/>
    </row>
    <row r="104" spans="1:17" s="470" customFormat="1" ht="15.75" thickBot="1">
      <c r="A104" s="552"/>
      <c r="B104" s="542"/>
      <c r="C104" s="559"/>
      <c r="D104" s="535"/>
      <c r="E104" s="535"/>
      <c r="F104" s="535"/>
      <c r="G104" s="535"/>
      <c r="H104" s="535"/>
      <c r="I104" s="535"/>
      <c r="J104" s="535"/>
      <c r="K104" s="535"/>
      <c r="L104" s="535"/>
      <c r="M104" s="536"/>
      <c r="N104" s="1153"/>
      <c r="O104" s="1153"/>
      <c r="P104" s="2630"/>
      <c r="Q104" s="558"/>
    </row>
    <row r="105" spans="1:17" ht="15" thickTop="1">
      <c r="A105" s="598"/>
      <c r="B105" s="537" t="s">
        <v>2615</v>
      </c>
      <c r="C105" s="553"/>
      <c r="D105" s="553"/>
      <c r="E105" s="582"/>
      <c r="F105" s="582"/>
      <c r="G105" s="582"/>
      <c r="H105" s="582"/>
      <c r="I105" s="582"/>
      <c r="J105" s="582"/>
      <c r="K105" s="583"/>
      <c r="L105" s="584"/>
      <c r="M105" s="585"/>
      <c r="N105" s="1152"/>
      <c r="O105" s="1152"/>
      <c r="P105" s="2629"/>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3"/>
      <c r="O106" s="1153"/>
      <c r="P106" s="2629"/>
      <c r="Q106" s="503"/>
    </row>
    <row r="107" spans="1:17" ht="15" thickTop="1">
      <c r="A107" s="598"/>
      <c r="B107" s="537" t="s">
        <v>2617</v>
      </c>
      <c r="C107" s="553"/>
      <c r="D107" s="553"/>
      <c r="E107" s="553"/>
      <c r="F107" s="582"/>
      <c r="G107" s="582"/>
      <c r="H107" s="582"/>
      <c r="I107" s="582"/>
      <c r="J107" s="582"/>
      <c r="K107" s="583"/>
      <c r="L107" s="584"/>
      <c r="M107" s="585"/>
      <c r="N107" s="1152"/>
      <c r="O107" s="1152"/>
      <c r="P107" s="2629"/>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3"/>
      <c r="O108" s="1153"/>
      <c r="P108" s="2629"/>
      <c r="Q108" s="503"/>
    </row>
    <row r="109" spans="1:17" ht="15" thickTop="1">
      <c r="A109" s="598"/>
      <c r="B109" s="537" t="s">
        <v>1997</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2"/>
      <c r="O109" s="1152"/>
      <c r="P109" s="2629"/>
      <c r="Q109" s="503"/>
    </row>
    <row r="110" spans="1:17">
      <c r="A110" s="598"/>
      <c r="B110" s="545"/>
      <c r="C110" s="602">
        <v>0.5</v>
      </c>
      <c r="D110" s="602">
        <v>0.6</v>
      </c>
      <c r="E110" s="602">
        <v>0.7</v>
      </c>
      <c r="F110" s="602">
        <v>0.8</v>
      </c>
      <c r="G110" s="602">
        <v>0.9</v>
      </c>
      <c r="H110" s="602">
        <v>1.0001</v>
      </c>
      <c r="I110" s="622"/>
      <c r="J110" s="622"/>
      <c r="K110" s="623"/>
      <c r="L110" s="624"/>
      <c r="M110" s="625"/>
      <c r="N110" s="1152"/>
      <c r="O110" s="1152"/>
      <c r="P110" s="2629"/>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3"/>
      <c r="O111" s="1153"/>
      <c r="P111" s="2629"/>
      <c r="Q111" s="503"/>
    </row>
    <row r="112" spans="1:17" s="470" customFormat="1" ht="15" thickTop="1">
      <c r="A112" s="592"/>
      <c r="B112" s="537" t="s">
        <v>2619</v>
      </c>
      <c r="C112" s="553"/>
      <c r="D112" s="553"/>
      <c r="E112" s="553"/>
      <c r="F112" s="553"/>
      <c r="G112" s="553"/>
      <c r="H112" s="582"/>
      <c r="I112" s="582"/>
      <c r="J112" s="582"/>
      <c r="K112" s="583"/>
      <c r="L112" s="584"/>
      <c r="M112" s="585"/>
      <c r="N112" s="1154"/>
      <c r="O112" s="1154"/>
      <c r="P112" s="2630"/>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4"/>
      <c r="O113" s="1154"/>
      <c r="P113" s="2630"/>
      <c r="Q113" s="558"/>
    </row>
    <row r="114" spans="1:17" ht="15" thickTop="1">
      <c r="A114" s="598"/>
      <c r="B114" s="537" t="s">
        <v>2683</v>
      </c>
      <c r="C114" s="553"/>
      <c r="D114" s="553"/>
      <c r="E114" s="582"/>
      <c r="F114" s="582"/>
      <c r="G114" s="582"/>
      <c r="H114" s="582"/>
      <c r="I114" s="582"/>
      <c r="J114" s="582"/>
      <c r="K114" s="583"/>
      <c r="L114" s="584"/>
      <c r="M114" s="585"/>
      <c r="N114" s="1152"/>
      <c r="O114" s="1152"/>
      <c r="P114" s="2629"/>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2629"/>
      <c r="Q115" s="503"/>
    </row>
    <row r="116" spans="1:17" ht="15" thickTop="1">
      <c r="A116" s="598"/>
      <c r="B116" s="537" t="s">
        <v>2684</v>
      </c>
      <c r="C116" s="553"/>
      <c r="D116" s="553"/>
      <c r="E116" s="553"/>
      <c r="F116" s="553"/>
      <c r="G116" s="553"/>
      <c r="H116" s="582"/>
      <c r="I116" s="582"/>
      <c r="J116" s="582"/>
      <c r="K116" s="583"/>
      <c r="L116" s="584"/>
      <c r="M116" s="585"/>
      <c r="N116" s="1152"/>
      <c r="O116" s="1152"/>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9"/>
      <c r="Q117" s="503"/>
    </row>
    <row r="118" spans="1:17" ht="15" thickTop="1">
      <c r="A118" s="598"/>
      <c r="B118" s="537" t="s">
        <v>2685</v>
      </c>
      <c r="C118" s="626"/>
      <c r="D118" s="626"/>
      <c r="E118" s="626"/>
      <c r="F118" s="626"/>
      <c r="G118" s="626"/>
      <c r="H118" s="554"/>
      <c r="I118" s="554"/>
      <c r="J118" s="554"/>
      <c r="K118" s="554"/>
      <c r="L118" s="555"/>
      <c r="M118" s="556"/>
      <c r="N118" s="1152"/>
      <c r="O118" s="1152"/>
      <c r="P118" s="2629"/>
      <c r="Q118" s="503"/>
    </row>
    <row r="119" spans="1:17" ht="15.75" thickBot="1">
      <c r="A119" s="533"/>
      <c r="B119" s="542"/>
      <c r="C119" s="559"/>
      <c r="D119" s="535"/>
      <c r="E119" s="535"/>
      <c r="F119" s="535"/>
      <c r="G119" s="535"/>
      <c r="H119" s="535"/>
      <c r="I119" s="535"/>
      <c r="J119" s="535"/>
      <c r="K119" s="535"/>
      <c r="L119" s="535"/>
      <c r="M119" s="536"/>
      <c r="N119" s="1153"/>
      <c r="O119" s="1153"/>
      <c r="P119" s="2629"/>
      <c r="Q119" s="503"/>
    </row>
    <row r="120" spans="1:17" s="470" customFormat="1" ht="15" thickTop="1">
      <c r="A120" s="592"/>
      <c r="B120" s="537" t="s">
        <v>2686</v>
      </c>
      <c r="C120" s="582"/>
      <c r="D120" s="582"/>
      <c r="E120" s="582"/>
      <c r="F120" s="582"/>
      <c r="G120" s="554"/>
      <c r="H120" s="554"/>
      <c r="I120" s="554"/>
      <c r="J120" s="554"/>
      <c r="K120" s="554"/>
      <c r="L120" s="555"/>
      <c r="M120" s="556"/>
      <c r="N120" s="1154"/>
      <c r="O120" s="1154"/>
      <c r="P120" s="2630"/>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4"/>
      <c r="O121" s="1154"/>
      <c r="P121" s="2630"/>
      <c r="Q121" s="558"/>
    </row>
    <row r="122" spans="1:17" ht="15" thickTop="1">
      <c r="A122" s="598"/>
      <c r="B122" s="537" t="s">
        <v>2621</v>
      </c>
      <c r="C122" s="553"/>
      <c r="D122" s="553"/>
      <c r="E122" s="553"/>
      <c r="F122" s="582"/>
      <c r="G122" s="582"/>
      <c r="H122" s="582"/>
      <c r="I122" s="582"/>
      <c r="J122" s="582"/>
      <c r="K122" s="583"/>
      <c r="L122" s="584"/>
      <c r="M122" s="585"/>
      <c r="N122" s="1152"/>
      <c r="O122" s="1152"/>
      <c r="P122" s="2629"/>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3"/>
      <c r="O123" s="1153"/>
      <c r="P123" s="2629"/>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2"/>
      <c r="O124" s="1152"/>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9"/>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30"/>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30"/>
      <c r="Q127" s="558"/>
    </row>
    <row r="128" spans="1:17" ht="15" thickTop="1">
      <c r="A128" s="598"/>
      <c r="B128" s="537">
        <f>B45</f>
        <v>111</v>
      </c>
      <c r="C128" s="553"/>
      <c r="D128" s="553"/>
      <c r="E128" s="553"/>
      <c r="F128" s="553"/>
      <c r="G128" s="582"/>
      <c r="H128" s="582"/>
      <c r="I128" s="582"/>
      <c r="J128" s="582"/>
      <c r="K128" s="583"/>
      <c r="L128" s="584"/>
      <c r="M128" s="585"/>
      <c r="N128" s="1152"/>
      <c r="O128" s="1152"/>
      <c r="P128" s="2629"/>
      <c r="Q128" s="503"/>
    </row>
    <row r="129" spans="1:17" ht="15.75" thickBot="1">
      <c r="A129" s="533"/>
      <c r="B129" s="542"/>
      <c r="C129" s="559"/>
      <c r="D129" s="535"/>
      <c r="E129" s="535"/>
      <c r="F129" s="535"/>
      <c r="G129" s="535"/>
      <c r="H129" s="535"/>
      <c r="I129" s="535"/>
      <c r="J129" s="535"/>
      <c r="K129" s="535"/>
      <c r="L129" s="535"/>
      <c r="M129" s="536"/>
      <c r="N129" s="1153"/>
      <c r="O129" s="1153"/>
      <c r="P129" s="2629"/>
      <c r="Q129" s="503"/>
    </row>
    <row r="130" spans="1:17" ht="15" thickTop="1">
      <c r="A130" s="598"/>
      <c r="B130" s="545">
        <f>B46</f>
        <v>111</v>
      </c>
      <c r="C130" s="553"/>
      <c r="D130" s="553"/>
      <c r="E130" s="553"/>
      <c r="F130" s="553"/>
      <c r="G130" s="586"/>
      <c r="H130" s="586"/>
      <c r="I130" s="586"/>
      <c r="J130" s="586"/>
      <c r="K130" s="522"/>
      <c r="L130" s="523"/>
      <c r="M130" s="589"/>
      <c r="N130" s="1152"/>
      <c r="O130" s="1152"/>
      <c r="P130" s="2629"/>
      <c r="Q130" s="503"/>
    </row>
    <row r="131" spans="1:17" ht="15.75" thickBot="1">
      <c r="A131" s="2635"/>
      <c r="B131" s="568"/>
      <c r="C131" s="569"/>
      <c r="D131" s="569"/>
      <c r="E131" s="569"/>
      <c r="F131" s="569"/>
      <c r="G131" s="590"/>
      <c r="H131" s="590"/>
      <c r="I131" s="590"/>
      <c r="J131" s="590"/>
      <c r="K131" s="590"/>
      <c r="L131" s="590"/>
      <c r="M131" s="591"/>
      <c r="N131" s="1153"/>
      <c r="O131" s="1153"/>
      <c r="P131" s="2629"/>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2529</v>
      </c>
      <c r="B1" s="2668" t="s">
        <v>2687</v>
      </c>
      <c r="C1" s="1621" t="s">
        <v>2531</v>
      </c>
      <c r="D1" s="1622"/>
      <c r="E1" s="1631"/>
      <c r="F1" s="2583"/>
      <c r="G1" s="1632" t="s">
        <v>2644</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2331</v>
      </c>
      <c r="B2" s="1418" t="e">
        <f ca="1">IF(C2="——",ROUND(C50*D3/10000,0),ROUND(C50*D3/10000,0)-D2)</f>
        <v>#DIV/0!</v>
      </c>
      <c r="C2" s="2585"/>
      <c r="D2" s="1365" t="e">
        <f ca="1">SUMIF(INDIRECT("'"&amp;F2&amp;"'"&amp;"!A:A"),"承租人权益价值",INDIRECT("'"&amp;F2&amp;"'"&amp;"!c:c"))</f>
        <v>#REF!</v>
      </c>
      <c r="E2" s="2586" t="s">
        <v>2332</v>
      </c>
      <c r="F2" s="2587"/>
      <c r="G2" s="1125"/>
      <c r="H2" s="1125"/>
      <c r="I2" s="1125"/>
      <c r="J2" s="1125"/>
      <c r="K2" s="1125"/>
      <c r="L2" s="1128"/>
      <c r="M2" s="1129"/>
      <c r="N2" s="1129"/>
      <c r="O2" s="1129"/>
      <c r="P2" s="767"/>
      <c r="Q2" s="767"/>
      <c r="R2" s="767"/>
      <c r="S2" s="767"/>
      <c r="T2" s="767"/>
      <c r="U2" s="767"/>
      <c r="V2" s="767"/>
      <c r="W2" s="767"/>
      <c r="X2" s="767"/>
      <c r="Y2" s="767"/>
      <c r="Z2" s="767"/>
      <c r="AA2" s="767"/>
      <c r="AB2" s="767"/>
      <c r="AC2" s="768"/>
    </row>
    <row r="3" spans="1:29" s="397" customFormat="1" ht="28.5" customHeight="1" thickBot="1">
      <c r="A3" s="246" t="s">
        <v>2333</v>
      </c>
      <c r="B3" s="608" t="e">
        <f ca="1">IF(C2="——",C50,ROUND(B2*10000/D3,0))</f>
        <v>#DIV/0!</v>
      </c>
      <c r="C3" s="399" t="s">
        <v>2645</v>
      </c>
      <c r="D3" s="398">
        <f>IF(D1="",'数据-汇总表'!E3,SUMIF('数据-汇总表'!$C19:$C33,D1,'数据-汇总表'!$E19:$E33))</f>
        <v>210018.96</v>
      </c>
      <c r="E3" s="2662"/>
      <c r="F3" s="1126"/>
      <c r="G3" s="1125"/>
      <c r="H3" s="1125"/>
      <c r="I3" s="1125"/>
      <c r="J3" s="1125"/>
      <c r="K3" s="1127"/>
      <c r="L3" s="1128"/>
      <c r="M3" s="1129"/>
      <c r="N3" s="1129"/>
      <c r="O3" s="1129"/>
      <c r="P3" s="767"/>
      <c r="Q3" s="767"/>
      <c r="R3" s="767"/>
      <c r="S3" s="767"/>
      <c r="T3" s="767"/>
      <c r="U3" s="767"/>
      <c r="V3" s="767"/>
      <c r="W3" s="767"/>
      <c r="X3" s="767"/>
      <c r="Y3" s="767"/>
      <c r="Z3" s="767"/>
      <c r="AA3" s="767"/>
      <c r="AB3" s="767"/>
      <c r="AC3" s="768"/>
    </row>
    <row r="4" spans="1:29" ht="15">
      <c r="A4" s="400" t="s">
        <v>2646</v>
      </c>
      <c r="B4" s="401"/>
      <c r="C4" s="3139" t="s">
        <v>2647</v>
      </c>
      <c r="D4" s="3152"/>
      <c r="E4" s="3153" t="s">
        <v>2648</v>
      </c>
      <c r="F4" s="3154"/>
      <c r="G4" s="3139" t="s">
        <v>2649</v>
      </c>
      <c r="H4" s="3152"/>
      <c r="I4" s="3139" t="s">
        <v>2650</v>
      </c>
      <c r="J4" s="3152"/>
      <c r="K4" s="609" t="s">
        <v>2651</v>
      </c>
      <c r="L4" s="1130"/>
      <c r="M4" s="1131"/>
      <c r="N4" s="1131"/>
      <c r="O4" s="1131"/>
      <c r="P4" s="3223" t="s">
        <v>2652</v>
      </c>
      <c r="Q4" s="3224"/>
      <c r="R4" s="3227" t="s">
        <v>2648</v>
      </c>
      <c r="S4" s="3228"/>
      <c r="T4" s="3227" t="s">
        <v>2649</v>
      </c>
      <c r="U4" s="3228"/>
      <c r="V4" s="3229" t="s">
        <v>2650</v>
      </c>
      <c r="W4" s="3229"/>
      <c r="X4" s="2669"/>
      <c r="Y4" s="3227" t="s">
        <v>2652</v>
      </c>
      <c r="Z4" s="3228"/>
      <c r="AA4" s="3231" t="s">
        <v>2648</v>
      </c>
      <c r="AB4" s="3231" t="s">
        <v>2649</v>
      </c>
      <c r="AC4" s="3220" t="s">
        <v>2650</v>
      </c>
    </row>
    <row r="5" spans="1:29" ht="15">
      <c r="A5" s="403"/>
      <c r="B5" s="404"/>
      <c r="C5" s="3213" t="s">
        <v>2543</v>
      </c>
      <c r="D5" s="3170"/>
      <c r="E5" s="3216" t="s">
        <v>2544</v>
      </c>
      <c r="F5" s="3177"/>
      <c r="G5" s="3213" t="s">
        <v>2545</v>
      </c>
      <c r="H5" s="3170"/>
      <c r="I5" s="3213" t="s">
        <v>2546</v>
      </c>
      <c r="J5" s="3170"/>
      <c r="K5" s="609"/>
      <c r="L5" s="1130"/>
      <c r="M5" s="1131"/>
      <c r="N5" s="1131"/>
      <c r="O5" s="1131"/>
      <c r="P5" s="3225"/>
      <c r="Q5" s="3158"/>
      <c r="R5" s="3163"/>
      <c r="S5" s="3164"/>
      <c r="T5" s="3163"/>
      <c r="U5" s="3164"/>
      <c r="V5" s="3148"/>
      <c r="W5" s="3148"/>
      <c r="X5" s="1814"/>
      <c r="Y5" s="3163"/>
      <c r="Z5" s="3164"/>
      <c r="AA5" s="3150"/>
      <c r="AB5" s="3150"/>
      <c r="AC5" s="3221"/>
    </row>
    <row r="6" spans="1:29" ht="15.75" thickBot="1">
      <c r="A6" s="405"/>
      <c r="B6" s="406"/>
      <c r="C6" s="3214" t="s">
        <v>2547</v>
      </c>
      <c r="D6" s="3168"/>
      <c r="E6" s="3215" t="s">
        <v>2547</v>
      </c>
      <c r="F6" s="3175"/>
      <c r="G6" s="3214" t="s">
        <v>2547</v>
      </c>
      <c r="H6" s="3168"/>
      <c r="I6" s="3214" t="s">
        <v>2547</v>
      </c>
      <c r="J6" s="3168"/>
      <c r="K6" s="609" t="s">
        <v>2548</v>
      </c>
      <c r="L6" s="1130"/>
      <c r="M6" s="1131"/>
      <c r="N6" s="1131"/>
      <c r="O6" s="1131"/>
      <c r="P6" s="3226"/>
      <c r="Q6" s="3160"/>
      <c r="R6" s="3163"/>
      <c r="S6" s="3164"/>
      <c r="T6" s="3165"/>
      <c r="U6" s="3166"/>
      <c r="V6" s="3148"/>
      <c r="W6" s="3148"/>
      <c r="X6" s="1814"/>
      <c r="Y6" s="3165"/>
      <c r="Z6" s="3166"/>
      <c r="AA6" s="3151"/>
      <c r="AB6" s="3151"/>
      <c r="AC6" s="3222"/>
    </row>
    <row r="7" spans="1:29" s="116" customFormat="1" ht="15.75" thickBot="1">
      <c r="A7" s="407" t="s">
        <v>2549</v>
      </c>
      <c r="B7" s="408"/>
      <c r="C7" s="409">
        <f>'数据-取费表'!B2</f>
        <v>43025</v>
      </c>
      <c r="D7" s="410">
        <v>100</v>
      </c>
      <c r="E7" s="411"/>
      <c r="F7" s="412">
        <f>SUMIF(59:59,YEAR(E7)&amp;"-"&amp;MONTH(E7),60:60)</f>
        <v>0</v>
      </c>
      <c r="G7" s="411"/>
      <c r="H7" s="410">
        <f>SUMIF(59:59,YEAR(G7)&amp;"-"&amp;MONTH(G7),60:60)</f>
        <v>0</v>
      </c>
      <c r="I7" s="411"/>
      <c r="J7" s="410">
        <f>SUMIF(59:59,YEAR(I7)&amp;"-"&amp;MONTH(I7),60:60)</f>
        <v>0</v>
      </c>
      <c r="K7" s="610"/>
      <c r="L7" s="1132"/>
      <c r="M7" s="1133"/>
      <c r="N7" s="1133"/>
      <c r="O7" s="1133"/>
      <c r="P7" s="3230" t="s">
        <v>2550</v>
      </c>
      <c r="Q7" s="3173"/>
      <c r="R7" s="769" t="s">
        <v>17</v>
      </c>
      <c r="S7" s="770">
        <f t="shared" ref="S7:S15" si="0">F7</f>
        <v>0</v>
      </c>
      <c r="T7" s="769" t="s">
        <v>17</v>
      </c>
      <c r="U7" s="770">
        <f t="shared" ref="U7:U15" si="1">H7</f>
        <v>0</v>
      </c>
      <c r="V7" s="769" t="s">
        <v>17</v>
      </c>
      <c r="W7" s="770">
        <f t="shared" ref="W7:W15" si="2">J7</f>
        <v>0</v>
      </c>
      <c r="X7" s="771"/>
      <c r="Y7" s="3171" t="s">
        <v>2550</v>
      </c>
      <c r="Z7" s="3172"/>
      <c r="AA7" s="772" t="e">
        <f>D7/F7</f>
        <v>#DIV/0!</v>
      </c>
      <c r="AB7" s="772" t="e">
        <f>D7/H7</f>
        <v>#DIV/0!</v>
      </c>
      <c r="AC7" s="2670" t="e">
        <f>D7/J7</f>
        <v>#DIV/0!</v>
      </c>
    </row>
    <row r="8" spans="1:29" s="116" customFormat="1" ht="15.75" thickBot="1">
      <c r="A8" s="407" t="s">
        <v>2551</v>
      </c>
      <c r="B8" s="408"/>
      <c r="C8" s="413" t="s">
        <v>2653</v>
      </c>
      <c r="D8" s="410">
        <v>100</v>
      </c>
      <c r="E8" s="413"/>
      <c r="F8" s="412">
        <f>SUMIF(62:62,E8,63:63)-SUMIF(62:62,C8,63:63)+100</f>
        <v>0</v>
      </c>
      <c r="G8" s="413"/>
      <c r="H8" s="410">
        <f>SUMIF(62:62,G8,63:63)-SUMIF(62:62,C8,63:63)+100</f>
        <v>0</v>
      </c>
      <c r="I8" s="413"/>
      <c r="J8" s="410">
        <f>SUMIF(62:62,I8,63:63)-SUMIF(62:62,C8,63:63)+100</f>
        <v>0</v>
      </c>
      <c r="K8" s="610"/>
      <c r="L8" s="1132"/>
      <c r="M8" s="1133"/>
      <c r="N8" s="1133"/>
      <c r="O8" s="1133"/>
      <c r="P8" s="3230" t="s">
        <v>2553</v>
      </c>
      <c r="Q8" s="3172"/>
      <c r="R8" s="769" t="s">
        <v>17</v>
      </c>
      <c r="S8" s="770">
        <f t="shared" si="0"/>
        <v>0</v>
      </c>
      <c r="T8" s="769" t="s">
        <v>17</v>
      </c>
      <c r="U8" s="770">
        <f t="shared" si="1"/>
        <v>0</v>
      </c>
      <c r="V8" s="769" t="s">
        <v>17</v>
      </c>
      <c r="W8" s="770">
        <f t="shared" si="2"/>
        <v>0</v>
      </c>
      <c r="X8" s="771"/>
      <c r="Y8" s="3171" t="s">
        <v>2553</v>
      </c>
      <c r="Z8" s="3172"/>
      <c r="AA8" s="772" t="e">
        <f t="shared" ref="AA8:AA47" si="3">D8/F8</f>
        <v>#DIV/0!</v>
      </c>
      <c r="AB8" s="772" t="e">
        <f t="shared" ref="AB8:AB47" si="4">D8/H8</f>
        <v>#DIV/0!</v>
      </c>
      <c r="AC8" s="2670" t="e">
        <f t="shared" ref="AC8:AC47" si="5">D8/J8</f>
        <v>#DIV/0!</v>
      </c>
    </row>
    <row r="9" spans="1:29" s="116" customFormat="1">
      <c r="A9" s="414" t="s">
        <v>2554</v>
      </c>
      <c r="B9" s="70" t="s">
        <v>2555</v>
      </c>
      <c r="C9" s="415"/>
      <c r="D9" s="133">
        <v>100</v>
      </c>
      <c r="E9" s="418"/>
      <c r="F9" s="133">
        <f>SUMIF(64:64,E9,65:65)-SUMIF(64:64,C9,65:65)+100</f>
        <v>100</v>
      </c>
      <c r="G9" s="416"/>
      <c r="H9" s="133">
        <f>SUMIF(64:64,G9,65:65)-SUMIF(64:64,C9,65:65)+100</f>
        <v>100</v>
      </c>
      <c r="I9" s="416"/>
      <c r="J9" s="133">
        <f>SUMIF(64:64,I9,65:65)-SUMIF(64:64,C9,65:65)+100</f>
        <v>100</v>
      </c>
      <c r="K9" s="610"/>
      <c r="L9" s="1132"/>
      <c r="M9" s="1133"/>
      <c r="N9" s="1133"/>
      <c r="O9" s="1133"/>
      <c r="P9" s="3141" t="s">
        <v>2556</v>
      </c>
      <c r="Q9" s="1796" t="str">
        <f t="shared" ref="Q9:Q15" si="6">B9</f>
        <v>用途</v>
      </c>
      <c r="R9" s="769" t="s">
        <v>17</v>
      </c>
      <c r="S9" s="770">
        <f t="shared" si="0"/>
        <v>100</v>
      </c>
      <c r="T9" s="769" t="s">
        <v>17</v>
      </c>
      <c r="U9" s="770">
        <f t="shared" si="1"/>
        <v>100</v>
      </c>
      <c r="V9" s="769" t="s">
        <v>17</v>
      </c>
      <c r="W9" s="770">
        <f t="shared" si="2"/>
        <v>100</v>
      </c>
      <c r="X9" s="771"/>
      <c r="Y9" s="2990" t="s">
        <v>2557</v>
      </c>
      <c r="Z9" s="55" t="str">
        <f t="shared" ref="Z9:Z15" si="7">Q9</f>
        <v>用途</v>
      </c>
      <c r="AA9" s="772">
        <f t="shared" si="3"/>
        <v>1</v>
      </c>
      <c r="AB9" s="772">
        <f t="shared" si="4"/>
        <v>1</v>
      </c>
      <c r="AC9" s="2670">
        <f t="shared" si="5"/>
        <v>1</v>
      </c>
    </row>
    <row r="10" spans="1:29" s="426" customFormat="1" ht="27">
      <c r="A10" s="420"/>
      <c r="B10" s="421" t="s">
        <v>2558</v>
      </c>
      <c r="C10" s="422"/>
      <c r="D10" s="134">
        <v>100</v>
      </c>
      <c r="E10" s="422"/>
      <c r="F10" s="134">
        <f>SUMIF(66:66,E10,67:67)-SUMIF(66:66,C10,67:67)+100</f>
        <v>100</v>
      </c>
      <c r="G10" s="423"/>
      <c r="H10" s="134">
        <f>SUMIF(66:66,G10,67:67)-SUMIF(66:66,C10,67:67)+100</f>
        <v>100</v>
      </c>
      <c r="I10" s="422"/>
      <c r="J10" s="134">
        <f>SUMIF(66:66,I10,67:67)-SUMIF(66:66,C10,67:67)+100</f>
        <v>100</v>
      </c>
      <c r="K10" s="611"/>
      <c r="L10" s="1135"/>
      <c r="M10" s="1136"/>
      <c r="N10" s="1136"/>
      <c r="O10" s="1136"/>
      <c r="P10" s="3141"/>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2670">
        <f t="shared" si="5"/>
        <v>1</v>
      </c>
    </row>
    <row r="11" spans="1:29" ht="15">
      <c r="A11" s="427"/>
      <c r="B11" s="421" t="s">
        <v>2559</v>
      </c>
      <c r="C11" s="428"/>
      <c r="D11" s="134">
        <v>100</v>
      </c>
      <c r="E11" s="428"/>
      <c r="F11" s="134" t="e">
        <f>LOOKUP(E11,69:69,70:70)-LOOKUP(C11,69:69,70:70)+100</f>
        <v>#N/A</v>
      </c>
      <c r="G11" s="429"/>
      <c r="H11" s="134" t="e">
        <f>LOOKUP(G11,69:69,70:70)-LOOKUP(C11,69:69,70:70)+100</f>
        <v>#N/A</v>
      </c>
      <c r="I11" s="428"/>
      <c r="J11" s="134" t="e">
        <f>LOOKUP(I11,69:69,70:70)-LOOKUP(C11,69:69,70:70)+100</f>
        <v>#N/A</v>
      </c>
      <c r="K11" s="611"/>
      <c r="L11" s="1138"/>
      <c r="M11" s="1131"/>
      <c r="N11" s="1131"/>
      <c r="O11" s="1131"/>
      <c r="P11" s="3141"/>
      <c r="Q11" s="1796" t="str">
        <f t="shared" si="6"/>
        <v>容积率</v>
      </c>
      <c r="R11" s="769" t="s">
        <v>17</v>
      </c>
      <c r="S11" s="770" t="e">
        <f t="shared" si="0"/>
        <v>#N/A</v>
      </c>
      <c r="T11" s="769" t="s">
        <v>17</v>
      </c>
      <c r="U11" s="770" t="e">
        <f t="shared" si="1"/>
        <v>#N/A</v>
      </c>
      <c r="V11" s="769" t="s">
        <v>17</v>
      </c>
      <c r="W11" s="770" t="e">
        <f t="shared" si="2"/>
        <v>#N/A</v>
      </c>
      <c r="X11" s="771"/>
      <c r="Y11" s="2990"/>
      <c r="Z11" s="55" t="str">
        <f t="shared" si="7"/>
        <v>容积率</v>
      </c>
      <c r="AA11" s="772" t="e">
        <f t="shared" si="3"/>
        <v>#N/A</v>
      </c>
      <c r="AB11" s="772" t="e">
        <f t="shared" si="4"/>
        <v>#N/A</v>
      </c>
      <c r="AC11" s="2670" t="e">
        <f t="shared" si="5"/>
        <v>#N/A</v>
      </c>
    </row>
    <row r="12" spans="1:29" s="116" customFormat="1" ht="15">
      <c r="A12" s="430"/>
      <c r="B12" s="2599">
        <v>111</v>
      </c>
      <c r="C12" s="431"/>
      <c r="D12" s="432">
        <v>100</v>
      </c>
      <c r="E12" s="431"/>
      <c r="F12" s="134">
        <f>SUMIF(71:71,E12,72:72)-SUMIF(71:71,C12,72:72)+100</f>
        <v>100</v>
      </c>
      <c r="G12" s="2671"/>
      <c r="H12" s="134">
        <f>SUMIF(71:71,G12,72:72)-SUMIF(71:71,C12,72:72)+100</f>
        <v>100</v>
      </c>
      <c r="I12" s="431"/>
      <c r="J12" s="134">
        <f>SUMIF(71:71,I12,72:72)-SUMIF(71:71,C12,72:72)+100</f>
        <v>100</v>
      </c>
      <c r="K12" s="612"/>
      <c r="L12" s="1132"/>
      <c r="M12" s="1133"/>
      <c r="N12" s="1133"/>
      <c r="O12" s="1133"/>
      <c r="P12" s="3141"/>
      <c r="Q12" s="1796">
        <f t="shared" si="6"/>
        <v>111</v>
      </c>
      <c r="R12" s="769" t="s">
        <v>17</v>
      </c>
      <c r="S12" s="770">
        <f t="shared" si="0"/>
        <v>100</v>
      </c>
      <c r="T12" s="769" t="s">
        <v>17</v>
      </c>
      <c r="U12" s="770">
        <f t="shared" si="1"/>
        <v>100</v>
      </c>
      <c r="V12" s="769" t="s">
        <v>17</v>
      </c>
      <c r="W12" s="770">
        <f t="shared" si="2"/>
        <v>100</v>
      </c>
      <c r="X12" s="771"/>
      <c r="Y12" s="2990"/>
      <c r="Z12" s="55">
        <f t="shared" si="7"/>
        <v>111</v>
      </c>
      <c r="AA12" s="772">
        <f>D12/F12</f>
        <v>1</v>
      </c>
      <c r="AB12" s="772">
        <f>D12/H12</f>
        <v>1</v>
      </c>
      <c r="AC12" s="2670">
        <f>D12/J12</f>
        <v>1</v>
      </c>
    </row>
    <row r="13" spans="1:29" ht="15">
      <c r="A13" s="427"/>
      <c r="B13" s="2599">
        <v>111</v>
      </c>
      <c r="C13" s="433"/>
      <c r="D13" s="434">
        <v>100</v>
      </c>
      <c r="E13" s="431"/>
      <c r="F13" s="134">
        <f>SUMIF(73:73,E13,74:74)-SUMIF(73:73,C13,74:74)+100</f>
        <v>100</v>
      </c>
      <c r="G13" s="2671"/>
      <c r="H13" s="434">
        <f>SUMIF(73:73,G13,74:74)-SUMIF(73:73,C13,74:74)+100</f>
        <v>100</v>
      </c>
      <c r="I13" s="431"/>
      <c r="J13" s="434">
        <f>SUMIF(73:73,I13,74:74)-SUMIF(73:73,C13,74:74)+100</f>
        <v>100</v>
      </c>
      <c r="K13" s="612"/>
      <c r="L13" s="1140"/>
      <c r="M13" s="1131"/>
      <c r="N13" s="1131"/>
      <c r="O13" s="1131"/>
      <c r="P13" s="3141"/>
      <c r="Q13" s="1796">
        <f t="shared" si="6"/>
        <v>111</v>
      </c>
      <c r="R13" s="769" t="s">
        <v>17</v>
      </c>
      <c r="S13" s="770">
        <f t="shared" si="0"/>
        <v>100</v>
      </c>
      <c r="T13" s="769" t="s">
        <v>17</v>
      </c>
      <c r="U13" s="770">
        <f t="shared" si="1"/>
        <v>100</v>
      </c>
      <c r="V13" s="769" t="s">
        <v>17</v>
      </c>
      <c r="W13" s="770">
        <f t="shared" si="2"/>
        <v>100</v>
      </c>
      <c r="X13" s="771"/>
      <c r="Y13" s="2990"/>
      <c r="Z13" s="55">
        <f t="shared" si="7"/>
        <v>111</v>
      </c>
      <c r="AA13" s="772">
        <f t="shared" si="3"/>
        <v>1</v>
      </c>
      <c r="AB13" s="772">
        <f t="shared" si="4"/>
        <v>1</v>
      </c>
      <c r="AC13" s="2670">
        <f t="shared" si="5"/>
        <v>1</v>
      </c>
    </row>
    <row r="14" spans="1:29" ht="15.75" thickBot="1">
      <c r="A14" s="435"/>
      <c r="B14" s="2601">
        <v>111</v>
      </c>
      <c r="C14" s="436"/>
      <c r="D14" s="437">
        <v>100</v>
      </c>
      <c r="E14" s="627"/>
      <c r="F14" s="437">
        <f>SUMIF(75:75,E14,76:76)-SUMIF(75:75,C14,76:76)+100</f>
        <v>100</v>
      </c>
      <c r="G14" s="2671"/>
      <c r="H14" s="437">
        <f>SUMIF(75:75,G14,76:76)-SUMIF(75:75,C14,76:76)+100</f>
        <v>100</v>
      </c>
      <c r="I14" s="431"/>
      <c r="J14" s="437">
        <f>SUMIF(75:75,I14,76:76)-SUMIF(75:75,C14,76:76)+100</f>
        <v>100</v>
      </c>
      <c r="K14" s="612"/>
      <c r="L14" s="1140"/>
      <c r="M14" s="1131"/>
      <c r="N14" s="1131"/>
      <c r="O14" s="1131"/>
      <c r="P14" s="3141"/>
      <c r="Q14" s="1796">
        <f t="shared" si="6"/>
        <v>111</v>
      </c>
      <c r="R14" s="769" t="s">
        <v>17</v>
      </c>
      <c r="S14" s="770">
        <f t="shared" si="0"/>
        <v>100</v>
      </c>
      <c r="T14" s="769" t="s">
        <v>17</v>
      </c>
      <c r="U14" s="770">
        <f t="shared" si="1"/>
        <v>100</v>
      </c>
      <c r="V14" s="769" t="s">
        <v>17</v>
      </c>
      <c r="W14" s="770">
        <f t="shared" si="2"/>
        <v>100</v>
      </c>
      <c r="X14" s="771"/>
      <c r="Y14" s="2990"/>
      <c r="Z14" s="55">
        <f t="shared" si="7"/>
        <v>111</v>
      </c>
      <c r="AA14" s="772">
        <f t="shared" si="3"/>
        <v>1</v>
      </c>
      <c r="AB14" s="772">
        <f t="shared" si="4"/>
        <v>1</v>
      </c>
      <c r="AC14" s="2670">
        <f t="shared" si="5"/>
        <v>1</v>
      </c>
    </row>
    <row r="15" spans="1:29" ht="71.25">
      <c r="A15" s="439" t="s">
        <v>2560</v>
      </c>
      <c r="B15" s="628" t="s">
        <v>2688</v>
      </c>
      <c r="C15" s="2672"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0"/>
      <c r="M15" s="1131"/>
      <c r="N15" s="1131"/>
      <c r="O15" s="1131"/>
      <c r="P15" s="3211" t="s">
        <v>2561</v>
      </c>
      <c r="Q15" s="1811" t="str">
        <f t="shared" si="6"/>
        <v>办公集聚程度</v>
      </c>
      <c r="R15" s="773" t="s">
        <v>17</v>
      </c>
      <c r="S15" s="774">
        <f t="shared" si="0"/>
        <v>100</v>
      </c>
      <c r="T15" s="773" t="s">
        <v>17</v>
      </c>
      <c r="U15" s="774">
        <f t="shared" si="1"/>
        <v>100</v>
      </c>
      <c r="V15" s="773" t="s">
        <v>17</v>
      </c>
      <c r="W15" s="774">
        <f t="shared" si="2"/>
        <v>100</v>
      </c>
      <c r="X15" s="1814"/>
      <c r="Y15" s="3144" t="s">
        <v>2561</v>
      </c>
      <c r="Z15" s="1815" t="str">
        <f t="shared" si="7"/>
        <v>办公集聚程度</v>
      </c>
      <c r="AA15" s="1812">
        <f t="shared" si="3"/>
        <v>1</v>
      </c>
      <c r="AB15" s="1812">
        <f t="shared" si="4"/>
        <v>1</v>
      </c>
      <c r="AC15" s="2673">
        <f t="shared" si="5"/>
        <v>1</v>
      </c>
    </row>
    <row r="16" spans="1:29" ht="15">
      <c r="A16" s="427"/>
      <c r="B16" s="629"/>
      <c r="C16" s="2610"/>
      <c r="D16" s="447"/>
      <c r="E16" s="446"/>
      <c r="F16" s="447"/>
      <c r="G16" s="2610"/>
      <c r="H16" s="449"/>
      <c r="I16" s="446"/>
      <c r="J16" s="447"/>
      <c r="K16" s="614"/>
      <c r="L16" s="1140"/>
      <c r="M16" s="1131"/>
      <c r="N16" s="1131"/>
      <c r="O16" s="1131"/>
      <c r="P16" s="3212"/>
      <c r="Q16" s="1811"/>
      <c r="R16" s="773"/>
      <c r="S16" s="774"/>
      <c r="T16" s="773"/>
      <c r="U16" s="774"/>
      <c r="V16" s="773"/>
      <c r="W16" s="774"/>
      <c r="X16" s="1814"/>
      <c r="Y16" s="3145"/>
      <c r="Z16" s="1815"/>
      <c r="AA16" s="1812">
        <v>1</v>
      </c>
      <c r="AB16" s="1812">
        <v>1</v>
      </c>
      <c r="AC16" s="2673">
        <v>1</v>
      </c>
    </row>
    <row r="17" spans="1:29" ht="71.25">
      <c r="A17" s="427"/>
      <c r="B17" s="630" t="s">
        <v>2099</v>
      </c>
      <c r="C17" s="2674"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0"/>
      <c r="M17" s="1131"/>
      <c r="N17" s="1131"/>
      <c r="O17" s="1131"/>
      <c r="P17" s="3212"/>
      <c r="Q17" s="1811" t="str">
        <f>B17</f>
        <v>交通便捷度</v>
      </c>
      <c r="R17" s="773" t="s">
        <v>17</v>
      </c>
      <c r="S17" s="774">
        <f>F17</f>
        <v>100</v>
      </c>
      <c r="T17" s="773" t="s">
        <v>17</v>
      </c>
      <c r="U17" s="774">
        <f>H17</f>
        <v>100</v>
      </c>
      <c r="V17" s="773" t="s">
        <v>17</v>
      </c>
      <c r="W17" s="774">
        <f>J17</f>
        <v>100</v>
      </c>
      <c r="X17" s="1814"/>
      <c r="Y17" s="3145"/>
      <c r="Z17" s="1815" t="str">
        <f>Q17</f>
        <v>交通便捷度</v>
      </c>
      <c r="AA17" s="1812">
        <f t="shared" si="3"/>
        <v>1</v>
      </c>
      <c r="AB17" s="1812">
        <f t="shared" si="4"/>
        <v>1</v>
      </c>
      <c r="AC17" s="2673">
        <f t="shared" si="5"/>
        <v>1</v>
      </c>
    </row>
    <row r="18" spans="1:29" ht="15">
      <c r="A18" s="427"/>
      <c r="B18" s="631"/>
      <c r="C18" s="2675"/>
      <c r="D18" s="449"/>
      <c r="E18" s="2608"/>
      <c r="F18" s="449"/>
      <c r="G18" s="2609"/>
      <c r="H18" s="447"/>
      <c r="I18" s="2609"/>
      <c r="J18" s="447"/>
      <c r="K18" s="614"/>
      <c r="L18" s="1140"/>
      <c r="M18" s="1131"/>
      <c r="N18" s="1131"/>
      <c r="O18" s="1131"/>
      <c r="P18" s="3212"/>
      <c r="Q18" s="1811"/>
      <c r="R18" s="773"/>
      <c r="S18" s="774"/>
      <c r="T18" s="773"/>
      <c r="U18" s="774"/>
      <c r="V18" s="773"/>
      <c r="W18" s="774"/>
      <c r="X18" s="1814"/>
      <c r="Y18" s="3145"/>
      <c r="Z18" s="1815"/>
      <c r="AA18" s="1812">
        <v>1</v>
      </c>
      <c r="AB18" s="1812">
        <v>1</v>
      </c>
      <c r="AC18" s="2673">
        <v>1</v>
      </c>
    </row>
    <row r="19" spans="1:29" ht="42.75">
      <c r="A19" s="427"/>
      <c r="B19" s="630" t="s">
        <v>2689</v>
      </c>
      <c r="C19" s="2674"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0"/>
      <c r="M19" s="1131"/>
      <c r="N19" s="1131"/>
      <c r="O19" s="1131"/>
      <c r="P19" s="3212"/>
      <c r="Q19" s="1811" t="str">
        <f>B19</f>
        <v>公共配套设施</v>
      </c>
      <c r="R19" s="773" t="s">
        <v>17</v>
      </c>
      <c r="S19" s="774">
        <f>F19</f>
        <v>100</v>
      </c>
      <c r="T19" s="773" t="s">
        <v>17</v>
      </c>
      <c r="U19" s="774">
        <f>H19</f>
        <v>100</v>
      </c>
      <c r="V19" s="773" t="s">
        <v>17</v>
      </c>
      <c r="W19" s="774">
        <f>J19</f>
        <v>100</v>
      </c>
      <c r="X19" s="1814"/>
      <c r="Y19" s="3145"/>
      <c r="Z19" s="1815" t="str">
        <f>Q19</f>
        <v>公共配套设施</v>
      </c>
      <c r="AA19" s="1812">
        <f t="shared" si="3"/>
        <v>1</v>
      </c>
      <c r="AB19" s="1812">
        <f t="shared" si="4"/>
        <v>1</v>
      </c>
      <c r="AC19" s="2673">
        <f t="shared" si="5"/>
        <v>1</v>
      </c>
    </row>
    <row r="20" spans="1:29" ht="15">
      <c r="A20" s="427"/>
      <c r="B20" s="631"/>
      <c r="C20" s="2610"/>
      <c r="D20" s="447"/>
      <c r="E20" s="2603"/>
      <c r="F20" s="447"/>
      <c r="G20" s="2604"/>
      <c r="H20" s="447"/>
      <c r="I20" s="2604"/>
      <c r="J20" s="447"/>
      <c r="K20" s="614"/>
      <c r="L20" s="1140"/>
      <c r="M20" s="1131"/>
      <c r="N20" s="1131"/>
      <c r="O20" s="1131"/>
      <c r="P20" s="3212"/>
      <c r="Q20" s="1811"/>
      <c r="R20" s="773"/>
      <c r="S20" s="774"/>
      <c r="T20" s="773"/>
      <c r="U20" s="774"/>
      <c r="V20" s="773"/>
      <c r="W20" s="774"/>
      <c r="X20" s="1814"/>
      <c r="Y20" s="3145"/>
      <c r="Z20" s="1815"/>
      <c r="AA20" s="1812">
        <v>1</v>
      </c>
      <c r="AB20" s="1812">
        <v>1</v>
      </c>
      <c r="AC20" s="2673">
        <v>1</v>
      </c>
    </row>
    <row r="21" spans="1:29" ht="28.5">
      <c r="A21" s="427"/>
      <c r="B21" s="632" t="s">
        <v>2690</v>
      </c>
      <c r="C21" s="2674"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0"/>
      <c r="M21" s="1131"/>
      <c r="N21" s="1131"/>
      <c r="O21" s="1131"/>
      <c r="P21" s="3212"/>
      <c r="Q21" s="1811" t="str">
        <f>B21</f>
        <v>基础设施水平</v>
      </c>
      <c r="R21" s="773" t="s">
        <v>17</v>
      </c>
      <c r="S21" s="774">
        <f>F21</f>
        <v>100</v>
      </c>
      <c r="T21" s="773" t="s">
        <v>17</v>
      </c>
      <c r="U21" s="774">
        <f>H21</f>
        <v>100</v>
      </c>
      <c r="V21" s="773" t="s">
        <v>17</v>
      </c>
      <c r="W21" s="774">
        <f>J21</f>
        <v>100</v>
      </c>
      <c r="X21" s="1814"/>
      <c r="Y21" s="3145"/>
      <c r="Z21" s="1815" t="str">
        <f>Q21</f>
        <v>基础设施水平</v>
      </c>
      <c r="AA21" s="1812">
        <f t="shared" ref="AA21" si="8">D21/F21</f>
        <v>1</v>
      </c>
      <c r="AB21" s="1812">
        <f t="shared" ref="AB21" si="9">D21/H21</f>
        <v>1</v>
      </c>
      <c r="AC21" s="2673">
        <f t="shared" ref="AC21" si="10">D21/J21</f>
        <v>1</v>
      </c>
    </row>
    <row r="22" spans="1:29" ht="15">
      <c r="A22" s="427"/>
      <c r="B22" s="632"/>
      <c r="C22" s="2675"/>
      <c r="D22" s="447"/>
      <c r="E22" s="446"/>
      <c r="F22" s="447"/>
      <c r="G22" s="2610"/>
      <c r="H22" s="447"/>
      <c r="I22" s="2610"/>
      <c r="J22" s="447"/>
      <c r="K22" s="1383"/>
      <c r="L22" s="1140"/>
      <c r="M22" s="1131"/>
      <c r="N22" s="1131"/>
      <c r="O22" s="1131"/>
      <c r="P22" s="3212"/>
      <c r="Q22" s="1811"/>
      <c r="R22" s="773"/>
      <c r="S22" s="774"/>
      <c r="T22" s="773"/>
      <c r="U22" s="774"/>
      <c r="V22" s="773"/>
      <c r="W22" s="774"/>
      <c r="X22" s="1814"/>
      <c r="Y22" s="3145"/>
      <c r="Z22" s="1815"/>
      <c r="AA22" s="1812">
        <v>1</v>
      </c>
      <c r="AB22" s="1812">
        <v>1</v>
      </c>
      <c r="AC22" s="2673">
        <v>1</v>
      </c>
    </row>
    <row r="23" spans="1:29" ht="42.75">
      <c r="A23" s="427"/>
      <c r="B23" s="630" t="s">
        <v>2691</v>
      </c>
      <c r="C23" s="2674"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0"/>
      <c r="M23" s="1131"/>
      <c r="N23" s="1131"/>
      <c r="O23" s="1131"/>
      <c r="P23" s="3212"/>
      <c r="Q23" s="1811" t="str">
        <f>B23</f>
        <v>环境质量</v>
      </c>
      <c r="R23" s="773" t="s">
        <v>17</v>
      </c>
      <c r="S23" s="774">
        <f>F23</f>
        <v>100</v>
      </c>
      <c r="T23" s="773" t="s">
        <v>17</v>
      </c>
      <c r="U23" s="774">
        <f>H23</f>
        <v>100</v>
      </c>
      <c r="V23" s="773" t="s">
        <v>17</v>
      </c>
      <c r="W23" s="774">
        <f>J23</f>
        <v>100</v>
      </c>
      <c r="X23" s="1814"/>
      <c r="Y23" s="3145"/>
      <c r="Z23" s="1815" t="str">
        <f>Q23</f>
        <v>环境质量</v>
      </c>
      <c r="AA23" s="1812">
        <f t="shared" si="3"/>
        <v>1</v>
      </c>
      <c r="AB23" s="1812">
        <f t="shared" si="4"/>
        <v>1</v>
      </c>
      <c r="AC23" s="2673">
        <f t="shared" si="5"/>
        <v>1</v>
      </c>
    </row>
    <row r="24" spans="1:29" ht="15">
      <c r="A24" s="427"/>
      <c r="B24" s="632"/>
      <c r="C24" s="2610"/>
      <c r="D24" s="447"/>
      <c r="E24" s="2603"/>
      <c r="F24" s="447"/>
      <c r="G24" s="2604"/>
      <c r="H24" s="447"/>
      <c r="I24" s="2604"/>
      <c r="J24" s="447"/>
      <c r="K24" s="614"/>
      <c r="L24" s="1140"/>
      <c r="M24" s="1131"/>
      <c r="N24" s="1131"/>
      <c r="O24" s="1131"/>
      <c r="P24" s="3212"/>
      <c r="Q24" s="1811"/>
      <c r="R24" s="773"/>
      <c r="S24" s="774"/>
      <c r="T24" s="773"/>
      <c r="U24" s="774"/>
      <c r="V24" s="773"/>
      <c r="W24" s="774"/>
      <c r="X24" s="1814"/>
      <c r="Y24" s="3145"/>
      <c r="Z24" s="1815"/>
      <c r="AA24" s="1812">
        <v>1</v>
      </c>
      <c r="AB24" s="1812">
        <v>1</v>
      </c>
      <c r="AC24" s="2673">
        <v>1</v>
      </c>
    </row>
    <row r="25" spans="1:29" ht="27">
      <c r="A25" s="403"/>
      <c r="B25" s="630" t="s">
        <v>2692</v>
      </c>
      <c r="C25" s="2614"/>
      <c r="D25" s="434">
        <v>100</v>
      </c>
      <c r="E25" s="433"/>
      <c r="F25" s="434">
        <f>SUMIF(87:87,E26,88:88)-SUMIF(87:87,C26,88:88)+100</f>
        <v>100</v>
      </c>
      <c r="G25" s="2614"/>
      <c r="H25" s="434">
        <f>SUMIF(87:87,G26,88:88)-SUMIF(87:87,C26,88:88)+100</f>
        <v>100</v>
      </c>
      <c r="I25" s="433"/>
      <c r="J25" s="434">
        <f>SUMIF(87:87,I26,88:88)-SUMIF(87:87,C26,88:88)+100</f>
        <v>100</v>
      </c>
      <c r="K25" s="613"/>
      <c r="L25" s="1140"/>
      <c r="M25" s="1131"/>
      <c r="N25" s="1131"/>
      <c r="O25" s="1131"/>
      <c r="P25" s="3212"/>
      <c r="Q25" s="1811" t="str">
        <f>B25</f>
        <v>毗邻道路的类型与等级</v>
      </c>
      <c r="R25" s="773" t="s">
        <v>17</v>
      </c>
      <c r="S25" s="774">
        <f>F25</f>
        <v>100</v>
      </c>
      <c r="T25" s="773" t="s">
        <v>17</v>
      </c>
      <c r="U25" s="774">
        <f>H25</f>
        <v>100</v>
      </c>
      <c r="V25" s="773" t="s">
        <v>17</v>
      </c>
      <c r="W25" s="774">
        <f>J25</f>
        <v>100</v>
      </c>
      <c r="X25" s="1814"/>
      <c r="Y25" s="3145"/>
      <c r="Z25" s="1815" t="str">
        <f>Q25</f>
        <v>毗邻道路的类型与等级</v>
      </c>
      <c r="AA25" s="1812">
        <f t="shared" si="3"/>
        <v>1</v>
      </c>
      <c r="AB25" s="1812">
        <f t="shared" si="4"/>
        <v>1</v>
      </c>
      <c r="AC25" s="2673">
        <f t="shared" si="5"/>
        <v>1</v>
      </c>
    </row>
    <row r="26" spans="1:29" ht="15">
      <c r="A26" s="403"/>
      <c r="B26" s="631"/>
      <c r="C26" s="633"/>
      <c r="D26" s="434"/>
      <c r="E26" s="615"/>
      <c r="F26" s="434"/>
      <c r="G26" s="633"/>
      <c r="H26" s="434"/>
      <c r="I26" s="615"/>
      <c r="J26" s="434"/>
      <c r="K26" s="614"/>
      <c r="L26" s="1140"/>
      <c r="M26" s="1131"/>
      <c r="N26" s="1131"/>
      <c r="O26" s="1131"/>
      <c r="P26" s="3212"/>
      <c r="Q26" s="1811"/>
      <c r="R26" s="773"/>
      <c r="S26" s="774"/>
      <c r="T26" s="773"/>
      <c r="U26" s="774"/>
      <c r="V26" s="773"/>
      <c r="W26" s="774"/>
      <c r="X26" s="1814"/>
      <c r="Y26" s="3145"/>
      <c r="Z26" s="1815"/>
      <c r="AA26" s="1812">
        <v>1</v>
      </c>
      <c r="AB26" s="1812">
        <v>1</v>
      </c>
      <c r="AC26" s="2673">
        <v>1</v>
      </c>
    </row>
    <row r="27" spans="1:29" ht="15">
      <c r="A27" s="427"/>
      <c r="B27" s="631" t="s">
        <v>2660</v>
      </c>
      <c r="C27" s="633"/>
      <c r="D27" s="434">
        <v>100</v>
      </c>
      <c r="E27" s="615"/>
      <c r="F27" s="434">
        <f>SUMIF(89:89,E27,90:90)-SUMIF(89:89,C27,90:90)+100</f>
        <v>100</v>
      </c>
      <c r="G27" s="633"/>
      <c r="H27" s="434">
        <f>SUMIF(89:89,G27,90:90)-SUMIF(89:89,C27,90:90)+100</f>
        <v>100</v>
      </c>
      <c r="I27" s="615"/>
      <c r="J27" s="434">
        <f>SUMIF(89:89,I27,90:90)-SUMIF(89:89,C27,90:90)+100</f>
        <v>100</v>
      </c>
      <c r="K27" s="611"/>
      <c r="L27" s="1140"/>
      <c r="M27" s="1131"/>
      <c r="N27" s="1131"/>
      <c r="O27" s="1131"/>
      <c r="P27" s="3212"/>
      <c r="Q27" s="1811" t="str">
        <f t="shared" ref="Q27:Q47" si="11">B27</f>
        <v>楼层</v>
      </c>
      <c r="R27" s="773" t="s">
        <v>17</v>
      </c>
      <c r="S27" s="774">
        <f>F27</f>
        <v>100</v>
      </c>
      <c r="T27" s="773" t="s">
        <v>17</v>
      </c>
      <c r="U27" s="774">
        <f>H27</f>
        <v>100</v>
      </c>
      <c r="V27" s="773" t="s">
        <v>17</v>
      </c>
      <c r="W27" s="774">
        <f>J27</f>
        <v>100</v>
      </c>
      <c r="X27" s="1814"/>
      <c r="Y27" s="3145"/>
      <c r="Z27" s="1815" t="str">
        <f>Q27</f>
        <v>楼层</v>
      </c>
      <c r="AA27" s="1812">
        <f t="shared" si="3"/>
        <v>1</v>
      </c>
      <c r="AB27" s="1812">
        <f t="shared" si="4"/>
        <v>1</v>
      </c>
      <c r="AC27" s="2673">
        <f t="shared" si="5"/>
        <v>1</v>
      </c>
    </row>
    <row r="28" spans="1:29" s="116" customFormat="1" ht="15">
      <c r="A28" s="430"/>
      <c r="B28" s="630" t="s">
        <v>2693</v>
      </c>
      <c r="C28" s="2676"/>
      <c r="D28" s="461">
        <v>100</v>
      </c>
      <c r="E28" s="2664"/>
      <c r="F28" s="461">
        <f>SUMIF(91:91,E28,92:92)-SUMIF(91:91,C28,92:92)+100</f>
        <v>100</v>
      </c>
      <c r="G28" s="2676"/>
      <c r="H28" s="461">
        <f>SUMIF(91:91,G28,92:92)-SUMIF(91:91,C28,92:92)+100</f>
        <v>100</v>
      </c>
      <c r="I28" s="2664"/>
      <c r="J28" s="461">
        <f>SUMIF(91:91,I28,92:92)-SUMIF(91:91,C28,92:92)+100</f>
        <v>100</v>
      </c>
      <c r="K28" s="611"/>
      <c r="L28" s="1132"/>
      <c r="M28" s="1133"/>
      <c r="N28" s="1133"/>
      <c r="O28" s="1133"/>
      <c r="P28" s="3212"/>
      <c r="Q28" s="1796" t="str">
        <f t="shared" si="11"/>
        <v>朝向</v>
      </c>
      <c r="R28" s="769" t="s">
        <v>17</v>
      </c>
      <c r="S28" s="770">
        <f>F28</f>
        <v>100</v>
      </c>
      <c r="T28" s="769" t="s">
        <v>17</v>
      </c>
      <c r="U28" s="770">
        <f>H28</f>
        <v>100</v>
      </c>
      <c r="V28" s="769" t="s">
        <v>17</v>
      </c>
      <c r="W28" s="770">
        <f>J28</f>
        <v>100</v>
      </c>
      <c r="X28" s="771"/>
      <c r="Y28" s="3145"/>
      <c r="Z28" s="55" t="str">
        <f>Q28</f>
        <v>朝向</v>
      </c>
      <c r="AA28" s="1812">
        <f>D28/F28</f>
        <v>1</v>
      </c>
      <c r="AB28" s="1812">
        <f>D28/H28</f>
        <v>1</v>
      </c>
      <c r="AC28" s="2673">
        <f>D28/J28</f>
        <v>1</v>
      </c>
    </row>
    <row r="29" spans="1:29" ht="15">
      <c r="A29" s="427"/>
      <c r="B29" s="2677">
        <v>111</v>
      </c>
      <c r="C29" s="2614"/>
      <c r="D29" s="434">
        <v>100</v>
      </c>
      <c r="E29" s="431"/>
      <c r="F29" s="434">
        <f>SUMIF(93:93,E29,94:94)-SUMIF(93:93,C29,94:94)+100</f>
        <v>100</v>
      </c>
      <c r="G29" s="2671"/>
      <c r="H29" s="434">
        <f>SUMIF(93:93,G29,94:94)-SUMIF(93:93,C29,94:94)+100</f>
        <v>100</v>
      </c>
      <c r="I29" s="431"/>
      <c r="J29" s="434">
        <f>SUMIF(93:93,I29,94:94)-SUMIF(93:93,C29,94:94)+100</f>
        <v>100</v>
      </c>
      <c r="K29" s="612"/>
      <c r="L29" s="1140"/>
      <c r="M29" s="1131"/>
      <c r="N29" s="1131"/>
      <c r="O29" s="1131"/>
      <c r="P29" s="3212"/>
      <c r="Q29" s="1811">
        <f t="shared" si="11"/>
        <v>111</v>
      </c>
      <c r="R29" s="773" t="s">
        <v>17</v>
      </c>
      <c r="S29" s="774">
        <f t="shared" ref="S29:S47" si="12">F29</f>
        <v>100</v>
      </c>
      <c r="T29" s="773" t="s">
        <v>17</v>
      </c>
      <c r="U29" s="774">
        <f t="shared" ref="U29:U47" si="13">H29</f>
        <v>100</v>
      </c>
      <c r="V29" s="773" t="s">
        <v>17</v>
      </c>
      <c r="W29" s="774">
        <f t="shared" ref="W29:W47" si="14">J29</f>
        <v>100</v>
      </c>
      <c r="X29" s="1814"/>
      <c r="Y29" s="3145"/>
      <c r="Z29" s="1815">
        <f t="shared" ref="Z29:Z47" si="15">Q29</f>
        <v>111</v>
      </c>
      <c r="AA29" s="1812">
        <f t="shared" si="3"/>
        <v>1</v>
      </c>
      <c r="AB29" s="1812">
        <f t="shared" si="4"/>
        <v>1</v>
      </c>
      <c r="AC29" s="2673">
        <f t="shared" si="5"/>
        <v>1</v>
      </c>
    </row>
    <row r="30" spans="1:29" ht="15">
      <c r="A30" s="427"/>
      <c r="B30" s="2677">
        <v>111</v>
      </c>
      <c r="C30" s="2614"/>
      <c r="D30" s="434">
        <v>100</v>
      </c>
      <c r="E30" s="431"/>
      <c r="F30" s="434">
        <f>SUMIF(95:95,E30,96:96)-SUMIF(95:95,C30,96:96)+100</f>
        <v>100</v>
      </c>
      <c r="G30" s="2671"/>
      <c r="H30" s="434">
        <f>SUMIF(95:95,G30,96:96)-SUMIF(95:95,C30,96:96)+100</f>
        <v>100</v>
      </c>
      <c r="I30" s="431"/>
      <c r="J30" s="434">
        <f>SUMIF(95:95,I30,96:96)-SUMIF(95:95,C30,96:96)+100</f>
        <v>100</v>
      </c>
      <c r="K30" s="612"/>
      <c r="L30" s="1140"/>
      <c r="M30" s="1131"/>
      <c r="N30" s="1131"/>
      <c r="O30" s="1131"/>
      <c r="P30" s="3212"/>
      <c r="Q30" s="1811">
        <f t="shared" si="11"/>
        <v>111</v>
      </c>
      <c r="R30" s="773" t="s">
        <v>17</v>
      </c>
      <c r="S30" s="774">
        <f t="shared" si="12"/>
        <v>100</v>
      </c>
      <c r="T30" s="773" t="s">
        <v>17</v>
      </c>
      <c r="U30" s="774">
        <f t="shared" si="13"/>
        <v>100</v>
      </c>
      <c r="V30" s="773" t="s">
        <v>17</v>
      </c>
      <c r="W30" s="774">
        <f t="shared" si="14"/>
        <v>100</v>
      </c>
      <c r="X30" s="1814"/>
      <c r="Y30" s="3145"/>
      <c r="Z30" s="1815">
        <f t="shared" si="15"/>
        <v>111</v>
      </c>
      <c r="AA30" s="1812">
        <f t="shared" si="3"/>
        <v>1</v>
      </c>
      <c r="AB30" s="1812">
        <f t="shared" si="4"/>
        <v>1</v>
      </c>
      <c r="AC30" s="2673">
        <f t="shared" si="5"/>
        <v>1</v>
      </c>
    </row>
    <row r="31" spans="1:29" ht="15">
      <c r="A31" s="427"/>
      <c r="B31" s="2677">
        <v>111</v>
      </c>
      <c r="C31" s="2614"/>
      <c r="D31" s="434">
        <v>100</v>
      </c>
      <c r="E31" s="431"/>
      <c r="F31" s="434">
        <f>SUMIF(97:97,E31,98:98)-SUMIF(97:97,C31,98:98)+100</f>
        <v>100</v>
      </c>
      <c r="G31" s="2671"/>
      <c r="H31" s="434">
        <f>SUMIF(97:97,G31,98:98)-SUMIF(97:97,C31,98:98)+100</f>
        <v>100</v>
      </c>
      <c r="I31" s="431"/>
      <c r="J31" s="434">
        <f>SUMIF(97:97,I31,98:98)-SUMIF(97:97,C31,98:98)+100</f>
        <v>100</v>
      </c>
      <c r="K31" s="612"/>
      <c r="L31" s="1140"/>
      <c r="M31" s="1131"/>
      <c r="N31" s="1131"/>
      <c r="O31" s="1131"/>
      <c r="P31" s="3212"/>
      <c r="Q31" s="1811">
        <f t="shared" si="11"/>
        <v>111</v>
      </c>
      <c r="R31" s="773" t="s">
        <v>17</v>
      </c>
      <c r="S31" s="774">
        <f t="shared" si="12"/>
        <v>100</v>
      </c>
      <c r="T31" s="773" t="s">
        <v>17</v>
      </c>
      <c r="U31" s="774">
        <f t="shared" si="13"/>
        <v>100</v>
      </c>
      <c r="V31" s="773" t="s">
        <v>17</v>
      </c>
      <c r="W31" s="774">
        <f t="shared" si="14"/>
        <v>100</v>
      </c>
      <c r="X31" s="1814"/>
      <c r="Y31" s="3145"/>
      <c r="Z31" s="1815">
        <f t="shared" si="15"/>
        <v>111</v>
      </c>
      <c r="AA31" s="1812">
        <f t="shared" si="3"/>
        <v>1</v>
      </c>
      <c r="AB31" s="1812">
        <f t="shared" si="4"/>
        <v>1</v>
      </c>
      <c r="AC31" s="2673">
        <f t="shared" si="5"/>
        <v>1</v>
      </c>
    </row>
    <row r="32" spans="1:29" ht="15.75" thickBot="1">
      <c r="A32" s="435"/>
      <c r="B32" s="634">
        <v>111</v>
      </c>
      <c r="C32" s="2615"/>
      <c r="D32" s="437">
        <v>100</v>
      </c>
      <c r="E32" s="627"/>
      <c r="F32" s="437">
        <f>SUMIF(99:99,E32,100:100)-SUMIF(99:99,C32,100:100)+100</f>
        <v>100</v>
      </c>
      <c r="G32" s="2671"/>
      <c r="H32" s="437">
        <f>SUMIF(99:99,G32,100:100)-SUMIF(99:99,C32,100:100)+100</f>
        <v>100</v>
      </c>
      <c r="I32" s="431"/>
      <c r="J32" s="437">
        <f>SUMIF(99:99,I32,100:100)-SUMIF(99:99,C32,100:100)+100</f>
        <v>100</v>
      </c>
      <c r="K32" s="612"/>
      <c r="L32" s="1140"/>
      <c r="M32" s="1131"/>
      <c r="N32" s="1131"/>
      <c r="O32" s="1131"/>
      <c r="P32" s="3212"/>
      <c r="Q32" s="1811">
        <f t="shared" si="11"/>
        <v>111</v>
      </c>
      <c r="R32" s="773" t="s">
        <v>17</v>
      </c>
      <c r="S32" s="774">
        <f t="shared" si="12"/>
        <v>100</v>
      </c>
      <c r="T32" s="773" t="s">
        <v>17</v>
      </c>
      <c r="U32" s="774">
        <f t="shared" si="13"/>
        <v>100</v>
      </c>
      <c r="V32" s="773" t="s">
        <v>17</v>
      </c>
      <c r="W32" s="774">
        <f t="shared" si="14"/>
        <v>100</v>
      </c>
      <c r="X32" s="1814"/>
      <c r="Y32" s="3145"/>
      <c r="Z32" s="1815">
        <f t="shared" si="15"/>
        <v>111</v>
      </c>
      <c r="AA32" s="1812">
        <f t="shared" si="3"/>
        <v>1</v>
      </c>
      <c r="AB32" s="1812">
        <f t="shared" si="4"/>
        <v>1</v>
      </c>
      <c r="AC32" s="2673">
        <f t="shared" si="5"/>
        <v>1</v>
      </c>
    </row>
    <row r="33" spans="1:29" ht="15">
      <c r="A33" s="439" t="s">
        <v>2564</v>
      </c>
      <c r="B33" s="70" t="s">
        <v>2694</v>
      </c>
      <c r="C33" s="2678"/>
      <c r="D33" s="466">
        <v>100</v>
      </c>
      <c r="E33" s="2678"/>
      <c r="F33" s="460">
        <f>SUMIF(101:101,E33,102:102)-SUMIF(101:101,C33,102:102)+100</f>
        <v>100</v>
      </c>
      <c r="G33" s="2678"/>
      <c r="H33" s="434">
        <f>SUMIF(101:101,G33,102:102)-SUMIF(101:101,C33,102:102)+100</f>
        <v>100</v>
      </c>
      <c r="I33" s="2678"/>
      <c r="J33" s="466">
        <f>SUMIF(101:101,I33,102:102)-SUMIF(101:101,C33,102:102)+100</f>
        <v>100</v>
      </c>
      <c r="K33" s="611"/>
      <c r="L33" s="1140"/>
      <c r="M33" s="1131"/>
      <c r="N33" s="1131"/>
      <c r="O33" s="1131"/>
      <c r="P33" s="3207" t="s">
        <v>2566</v>
      </c>
      <c r="Q33" s="1811" t="str">
        <f t="shared" si="11"/>
        <v>建筑类型</v>
      </c>
      <c r="R33" s="773" t="s">
        <v>17</v>
      </c>
      <c r="S33" s="774">
        <f t="shared" si="12"/>
        <v>100</v>
      </c>
      <c r="T33" s="773" t="s">
        <v>17</v>
      </c>
      <c r="U33" s="774">
        <f t="shared" si="13"/>
        <v>100</v>
      </c>
      <c r="V33" s="773" t="s">
        <v>17</v>
      </c>
      <c r="W33" s="774">
        <f t="shared" si="14"/>
        <v>100</v>
      </c>
      <c r="X33" s="1814"/>
      <c r="Y33" s="3147" t="s">
        <v>2566</v>
      </c>
      <c r="Z33" s="1815" t="str">
        <f t="shared" si="15"/>
        <v>建筑类型</v>
      </c>
      <c r="AA33" s="1812">
        <f t="shared" si="3"/>
        <v>1</v>
      </c>
      <c r="AB33" s="1812">
        <f t="shared" si="4"/>
        <v>1</v>
      </c>
      <c r="AC33" s="2673">
        <f t="shared" si="5"/>
        <v>1</v>
      </c>
    </row>
    <row r="34" spans="1:29" s="470" customFormat="1" ht="15">
      <c r="A34" s="467"/>
      <c r="B34" s="421" t="s">
        <v>2567</v>
      </c>
      <c r="C34" s="468"/>
      <c r="D34" s="134">
        <v>100</v>
      </c>
      <c r="E34" s="429"/>
      <c r="F34" s="424" t="e">
        <f>LOOKUP(E34,104:104,105:105)-LOOKUP(C34,104:104,105:105)+100</f>
        <v>#N/A</v>
      </c>
      <c r="G34" s="428"/>
      <c r="H34" s="134" t="e">
        <f>LOOKUP(G34,104:104,105:105)-LOOKUP(C34,104:104,105:105)+100</f>
        <v>#N/A</v>
      </c>
      <c r="I34" s="428"/>
      <c r="J34" s="134" t="e">
        <f>LOOKUP(I34,104:104,105:105)-LOOKUP(C34,104:104,105:105)+100</f>
        <v>#N/A</v>
      </c>
      <c r="K34" s="612"/>
      <c r="L34" s="1138"/>
      <c r="M34" s="1141"/>
      <c r="N34" s="1141"/>
      <c r="O34" s="1141"/>
      <c r="P34" s="3208"/>
      <c r="Q34" s="775" t="str">
        <f t="shared" si="11"/>
        <v>项目建筑规模</v>
      </c>
      <c r="R34" s="776" t="s">
        <v>17</v>
      </c>
      <c r="S34" s="777" t="e">
        <f t="shared" si="12"/>
        <v>#N/A</v>
      </c>
      <c r="T34" s="776" t="s">
        <v>17</v>
      </c>
      <c r="U34" s="777" t="e">
        <f t="shared" si="13"/>
        <v>#N/A</v>
      </c>
      <c r="V34" s="776" t="s">
        <v>17</v>
      </c>
      <c r="W34" s="777" t="e">
        <f t="shared" si="14"/>
        <v>#N/A</v>
      </c>
      <c r="X34" s="778"/>
      <c r="Y34" s="3147"/>
      <c r="Z34" s="779" t="str">
        <f t="shared" si="15"/>
        <v>项目建筑规模</v>
      </c>
      <c r="AA34" s="1812" t="e">
        <f t="shared" si="3"/>
        <v>#N/A</v>
      </c>
      <c r="AB34" s="1812" t="e">
        <f t="shared" si="4"/>
        <v>#N/A</v>
      </c>
      <c r="AC34" s="2673" t="e">
        <f t="shared" si="5"/>
        <v>#N/A</v>
      </c>
    </row>
    <row r="35" spans="1:29" ht="15">
      <c r="A35" s="471"/>
      <c r="B35" s="421" t="s">
        <v>2568</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0"/>
      <c r="M35" s="1131"/>
      <c r="N35" s="1131"/>
      <c r="O35" s="1131"/>
      <c r="P35" s="3208"/>
      <c r="Q35" s="1811" t="str">
        <f t="shared" si="11"/>
        <v>建筑结构</v>
      </c>
      <c r="R35" s="773" t="s">
        <v>17</v>
      </c>
      <c r="S35" s="774">
        <f t="shared" si="12"/>
        <v>100</v>
      </c>
      <c r="T35" s="773" t="s">
        <v>17</v>
      </c>
      <c r="U35" s="774">
        <f t="shared" si="13"/>
        <v>100</v>
      </c>
      <c r="V35" s="773" t="s">
        <v>17</v>
      </c>
      <c r="W35" s="774">
        <f t="shared" si="14"/>
        <v>100</v>
      </c>
      <c r="X35" s="1814"/>
      <c r="Y35" s="3147"/>
      <c r="Z35" s="1815" t="str">
        <f t="shared" si="15"/>
        <v>建筑结构</v>
      </c>
      <c r="AA35" s="1812">
        <f t="shared" si="3"/>
        <v>1</v>
      </c>
      <c r="AB35" s="1812">
        <f t="shared" si="4"/>
        <v>1</v>
      </c>
      <c r="AC35" s="2673">
        <f t="shared" si="5"/>
        <v>1</v>
      </c>
    </row>
    <row r="36" spans="1:29" ht="15">
      <c r="A36" s="471"/>
      <c r="B36" s="421" t="s">
        <v>2662</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0"/>
      <c r="M36" s="1131"/>
      <c r="N36" s="1131"/>
      <c r="O36" s="1131"/>
      <c r="P36" s="3208"/>
      <c r="Q36" s="1811" t="str">
        <f t="shared" si="11"/>
        <v>公共部分装修</v>
      </c>
      <c r="R36" s="773" t="s">
        <v>17</v>
      </c>
      <c r="S36" s="774">
        <f t="shared" si="12"/>
        <v>100</v>
      </c>
      <c r="T36" s="773" t="s">
        <v>17</v>
      </c>
      <c r="U36" s="774">
        <f t="shared" si="13"/>
        <v>100</v>
      </c>
      <c r="V36" s="773" t="s">
        <v>17</v>
      </c>
      <c r="W36" s="774">
        <f t="shared" si="14"/>
        <v>100</v>
      </c>
      <c r="X36" s="1814"/>
      <c r="Y36" s="3147"/>
      <c r="Z36" s="1815" t="str">
        <f t="shared" si="15"/>
        <v>公共部分装修</v>
      </c>
      <c r="AA36" s="1812">
        <f t="shared" si="3"/>
        <v>1</v>
      </c>
      <c r="AB36" s="1812">
        <f t="shared" si="4"/>
        <v>1</v>
      </c>
      <c r="AC36" s="2673">
        <f t="shared" si="5"/>
        <v>1</v>
      </c>
    </row>
    <row r="37" spans="1:29" ht="15">
      <c r="A37" s="471"/>
      <c r="B37" s="421" t="s">
        <v>2663</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0"/>
      <c r="M37" s="1131"/>
      <c r="N37" s="1131"/>
      <c r="O37" s="1131"/>
      <c r="P37" s="3208"/>
      <c r="Q37" s="1811" t="str">
        <f t="shared" si="11"/>
        <v>成新度</v>
      </c>
      <c r="R37" s="773" t="s">
        <v>17</v>
      </c>
      <c r="S37" s="774" t="e">
        <f t="shared" si="12"/>
        <v>#N/A</v>
      </c>
      <c r="T37" s="773" t="s">
        <v>17</v>
      </c>
      <c r="U37" s="774" t="e">
        <f t="shared" si="13"/>
        <v>#N/A</v>
      </c>
      <c r="V37" s="773" t="s">
        <v>17</v>
      </c>
      <c r="W37" s="774" t="e">
        <f t="shared" si="14"/>
        <v>#N/A</v>
      </c>
      <c r="X37" s="1814"/>
      <c r="Y37" s="3147"/>
      <c r="Z37" s="1815" t="str">
        <f t="shared" si="15"/>
        <v>成新度</v>
      </c>
      <c r="AA37" s="1812" t="e">
        <f t="shared" si="3"/>
        <v>#N/A</v>
      </c>
      <c r="AB37" s="1812" t="e">
        <f t="shared" si="4"/>
        <v>#N/A</v>
      </c>
      <c r="AC37" s="2673" t="e">
        <f t="shared" si="5"/>
        <v>#N/A</v>
      </c>
    </row>
    <row r="38" spans="1:29" s="116" customFormat="1" ht="15">
      <c r="A38" s="472"/>
      <c r="B38" s="421" t="s">
        <v>2695</v>
      </c>
      <c r="C38" s="459"/>
      <c r="D38" s="134">
        <v>100</v>
      </c>
      <c r="E38" s="459"/>
      <c r="F38" s="460">
        <f>SUMIF(113:113,E38,114:114)-SUMIF(113:113,C38,114:114)+100</f>
        <v>100</v>
      </c>
      <c r="G38" s="459"/>
      <c r="H38" s="434">
        <f>SUMIF(113:113,G38,114:114)-SUMIF(113:113,C38,114:114)+100</f>
        <v>100</v>
      </c>
      <c r="I38" s="459"/>
      <c r="J38" s="434">
        <f>SUMIF(113:113,I38,114:114)-SUMIF(113:113,C38,114:114)+100</f>
        <v>100</v>
      </c>
      <c r="K38" s="611"/>
      <c r="L38" s="1132"/>
      <c r="M38" s="1133"/>
      <c r="N38" s="1133"/>
      <c r="O38" s="1133"/>
      <c r="P38" s="3208"/>
      <c r="Q38" s="1796" t="str">
        <f t="shared" si="11"/>
        <v>写字楼等级</v>
      </c>
      <c r="R38" s="769" t="s">
        <v>17</v>
      </c>
      <c r="S38" s="770">
        <f t="shared" si="12"/>
        <v>100</v>
      </c>
      <c r="T38" s="769" t="s">
        <v>17</v>
      </c>
      <c r="U38" s="770">
        <f t="shared" si="13"/>
        <v>100</v>
      </c>
      <c r="V38" s="769" t="s">
        <v>17</v>
      </c>
      <c r="W38" s="770">
        <f t="shared" si="14"/>
        <v>100</v>
      </c>
      <c r="X38" s="771"/>
      <c r="Y38" s="3147"/>
      <c r="Z38" s="55" t="str">
        <f t="shared" si="15"/>
        <v>写字楼等级</v>
      </c>
      <c r="AA38" s="772">
        <f t="shared" si="3"/>
        <v>1</v>
      </c>
      <c r="AB38" s="772">
        <f t="shared" si="4"/>
        <v>1</v>
      </c>
      <c r="AC38" s="2670">
        <f t="shared" si="5"/>
        <v>1</v>
      </c>
    </row>
    <row r="39" spans="1:29" ht="15">
      <c r="A39" s="471"/>
      <c r="B39" s="421" t="s">
        <v>2696</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0"/>
      <c r="M39" s="1131"/>
      <c r="N39" s="1131"/>
      <c r="O39" s="1131"/>
      <c r="P39" s="3208" t="s">
        <v>2566</v>
      </c>
      <c r="Q39" s="1811" t="str">
        <f t="shared" si="11"/>
        <v>物业管理</v>
      </c>
      <c r="R39" s="773" t="s">
        <v>17</v>
      </c>
      <c r="S39" s="774">
        <f t="shared" si="12"/>
        <v>100</v>
      </c>
      <c r="T39" s="773" t="s">
        <v>17</v>
      </c>
      <c r="U39" s="774">
        <f t="shared" si="13"/>
        <v>100</v>
      </c>
      <c r="V39" s="773" t="s">
        <v>17</v>
      </c>
      <c r="W39" s="774">
        <f t="shared" si="14"/>
        <v>100</v>
      </c>
      <c r="X39" s="1814"/>
      <c r="Y39" s="3147" t="s">
        <v>2566</v>
      </c>
      <c r="Z39" s="1815" t="str">
        <f t="shared" si="15"/>
        <v>物业管理</v>
      </c>
      <c r="AA39" s="1812">
        <f t="shared" si="3"/>
        <v>1</v>
      </c>
      <c r="AB39" s="1812">
        <f t="shared" si="4"/>
        <v>1</v>
      </c>
      <c r="AC39" s="2673">
        <f t="shared" si="5"/>
        <v>1</v>
      </c>
    </row>
    <row r="40" spans="1:29" ht="15">
      <c r="A40" s="471"/>
      <c r="B40" s="421" t="s">
        <v>2664</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0"/>
      <c r="M40" s="1131"/>
      <c r="N40" s="1131"/>
      <c r="O40" s="1131"/>
      <c r="P40" s="3208"/>
      <c r="Q40" s="1811" t="str">
        <f t="shared" si="11"/>
        <v>市政基础设施</v>
      </c>
      <c r="R40" s="773" t="s">
        <v>17</v>
      </c>
      <c r="S40" s="774">
        <f t="shared" si="12"/>
        <v>100</v>
      </c>
      <c r="T40" s="773" t="s">
        <v>17</v>
      </c>
      <c r="U40" s="774">
        <f t="shared" si="13"/>
        <v>100</v>
      </c>
      <c r="V40" s="773" t="s">
        <v>17</v>
      </c>
      <c r="W40" s="774">
        <f t="shared" si="14"/>
        <v>100</v>
      </c>
      <c r="X40" s="1814"/>
      <c r="Y40" s="3147"/>
      <c r="Z40" s="1815" t="str">
        <f t="shared" si="15"/>
        <v>市政基础设施</v>
      </c>
      <c r="AA40" s="1812">
        <f t="shared" si="3"/>
        <v>1</v>
      </c>
      <c r="AB40" s="1812">
        <f t="shared" si="4"/>
        <v>1</v>
      </c>
      <c r="AC40" s="2673">
        <f t="shared" si="5"/>
        <v>1</v>
      </c>
    </row>
    <row r="41" spans="1:29" ht="15">
      <c r="A41" s="471"/>
      <c r="B41" s="421" t="s">
        <v>2666</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0"/>
      <c r="M41" s="1131"/>
      <c r="N41" s="1131"/>
      <c r="O41" s="1131"/>
      <c r="P41" s="3208"/>
      <c r="Q41" s="1811" t="str">
        <f t="shared" si="11"/>
        <v>层高</v>
      </c>
      <c r="R41" s="773" t="s">
        <v>17</v>
      </c>
      <c r="S41" s="774">
        <f t="shared" si="12"/>
        <v>100</v>
      </c>
      <c r="T41" s="773" t="s">
        <v>17</v>
      </c>
      <c r="U41" s="774">
        <f t="shared" si="13"/>
        <v>100</v>
      </c>
      <c r="V41" s="773" t="s">
        <v>17</v>
      </c>
      <c r="W41" s="774">
        <f t="shared" si="14"/>
        <v>100</v>
      </c>
      <c r="X41" s="1814"/>
      <c r="Y41" s="3147"/>
      <c r="Z41" s="1815" t="str">
        <f t="shared" si="15"/>
        <v>层高</v>
      </c>
      <c r="AA41" s="1812">
        <f t="shared" si="3"/>
        <v>1</v>
      </c>
      <c r="AB41" s="1812">
        <f t="shared" si="4"/>
        <v>1</v>
      </c>
      <c r="AC41" s="2673">
        <f t="shared" si="5"/>
        <v>1</v>
      </c>
    </row>
    <row r="42" spans="1:29" s="470" customFormat="1" ht="15">
      <c r="A42" s="467"/>
      <c r="B42" s="1813" t="s">
        <v>2697</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8"/>
      <c r="M42" s="1141"/>
      <c r="N42" s="1141"/>
      <c r="O42" s="1141"/>
      <c r="P42" s="3208"/>
      <c r="Q42" s="775" t="str">
        <f t="shared" si="11"/>
        <v>单套建筑面积</v>
      </c>
      <c r="R42" s="776" t="s">
        <v>17</v>
      </c>
      <c r="S42" s="777">
        <f t="shared" si="12"/>
        <v>100</v>
      </c>
      <c r="T42" s="776" t="s">
        <v>17</v>
      </c>
      <c r="U42" s="777">
        <f t="shared" si="13"/>
        <v>100</v>
      </c>
      <c r="V42" s="776" t="s">
        <v>17</v>
      </c>
      <c r="W42" s="777">
        <f t="shared" si="14"/>
        <v>100</v>
      </c>
      <c r="X42" s="778"/>
      <c r="Y42" s="3147"/>
      <c r="Z42" s="779" t="str">
        <f t="shared" si="15"/>
        <v>单套建筑面积</v>
      </c>
      <c r="AA42" s="1812">
        <f t="shared" si="3"/>
        <v>1</v>
      </c>
      <c r="AB42" s="1812">
        <f t="shared" si="4"/>
        <v>1</v>
      </c>
      <c r="AC42" s="2673">
        <f t="shared" si="5"/>
        <v>1</v>
      </c>
    </row>
    <row r="43" spans="1:29" ht="15">
      <c r="A43" s="471"/>
      <c r="B43" s="421" t="s">
        <v>2669</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0"/>
      <c r="M43" s="1131"/>
      <c r="N43" s="1131"/>
      <c r="O43" s="1131"/>
      <c r="P43" s="3208"/>
      <c r="Q43" s="1811" t="str">
        <f t="shared" si="11"/>
        <v>内部装修</v>
      </c>
      <c r="R43" s="773" t="s">
        <v>17</v>
      </c>
      <c r="S43" s="774">
        <f t="shared" si="12"/>
        <v>100</v>
      </c>
      <c r="T43" s="773" t="s">
        <v>17</v>
      </c>
      <c r="U43" s="774">
        <f t="shared" si="13"/>
        <v>100</v>
      </c>
      <c r="V43" s="773" t="s">
        <v>17</v>
      </c>
      <c r="W43" s="774">
        <f t="shared" si="14"/>
        <v>100</v>
      </c>
      <c r="X43" s="1814"/>
      <c r="Y43" s="3147"/>
      <c r="Z43" s="1815" t="str">
        <f t="shared" si="15"/>
        <v>内部装修</v>
      </c>
      <c r="AA43" s="1812">
        <f t="shared" si="3"/>
        <v>1</v>
      </c>
      <c r="AB43" s="1812">
        <f t="shared" si="4"/>
        <v>1</v>
      </c>
      <c r="AC43" s="2673">
        <f t="shared" si="5"/>
        <v>1</v>
      </c>
    </row>
    <row r="44" spans="1:29" ht="15">
      <c r="A44" s="471"/>
      <c r="B44" s="421" t="s">
        <v>2577</v>
      </c>
      <c r="C44" s="459"/>
      <c r="D44" s="434">
        <v>100</v>
      </c>
      <c r="E44" s="2612"/>
      <c r="F44" s="460">
        <f>SUMIF(125:125,E44,126:126)-SUMIF(125:125,C44,126:126)+100</f>
        <v>100</v>
      </c>
      <c r="G44" s="2612"/>
      <c r="H44" s="434">
        <f>SUMIF(125:125,G44,126:126)-SUMIF(125:125,C44,126:126)+100</f>
        <v>100</v>
      </c>
      <c r="I44" s="2612"/>
      <c r="J44" s="434">
        <f>SUMIF(125:125,I44,126:126)-SUMIF(125:125,C44,126:126)+100</f>
        <v>100</v>
      </c>
      <c r="K44" s="611"/>
      <c r="L44" s="1140"/>
      <c r="M44" s="1131"/>
      <c r="N44" s="1131"/>
      <c r="O44" s="1131"/>
      <c r="P44" s="3208"/>
      <c r="Q44" s="1811" t="str">
        <f t="shared" si="11"/>
        <v>内部装修维护情况</v>
      </c>
      <c r="R44" s="773" t="s">
        <v>17</v>
      </c>
      <c r="S44" s="774">
        <f t="shared" si="12"/>
        <v>100</v>
      </c>
      <c r="T44" s="773" t="s">
        <v>17</v>
      </c>
      <c r="U44" s="774">
        <f t="shared" si="13"/>
        <v>100</v>
      </c>
      <c r="V44" s="773" t="s">
        <v>17</v>
      </c>
      <c r="W44" s="774">
        <f t="shared" si="14"/>
        <v>100</v>
      </c>
      <c r="X44" s="1814"/>
      <c r="Y44" s="3147"/>
      <c r="Z44" s="1815" t="str">
        <f t="shared" si="15"/>
        <v>内部装修维护情况</v>
      </c>
      <c r="AA44" s="1812">
        <f t="shared" si="3"/>
        <v>1</v>
      </c>
      <c r="AB44" s="1812">
        <f t="shared" si="4"/>
        <v>1</v>
      </c>
      <c r="AC44" s="2673">
        <f t="shared" si="5"/>
        <v>1</v>
      </c>
    </row>
    <row r="45" spans="1:29" s="116" customFormat="1" ht="15">
      <c r="A45" s="472"/>
      <c r="B45" s="1386">
        <v>111</v>
      </c>
      <c r="C45" s="468"/>
      <c r="D45" s="134">
        <v>100</v>
      </c>
      <c r="E45" s="431"/>
      <c r="F45" s="424">
        <f>SUMIF(127:127,E45,128:128)-SUMIF(127:127,C45,128:128)+100</f>
        <v>100</v>
      </c>
      <c r="G45" s="431"/>
      <c r="H45" s="134">
        <f>SUMIF(127:127,G45,128:128)-SUMIF(127:127,C45,128:128)+100</f>
        <v>100</v>
      </c>
      <c r="I45" s="431"/>
      <c r="J45" s="134">
        <f>SUMIF(127:127,I45,128:128)-SUMIF(127:127,C45,128:128)+100</f>
        <v>100</v>
      </c>
      <c r="K45" s="612"/>
      <c r="L45" s="1132"/>
      <c r="M45" s="1133"/>
      <c r="N45" s="1133"/>
      <c r="O45" s="1133"/>
      <c r="P45" s="3208"/>
      <c r="Q45" s="1796">
        <f t="shared" si="11"/>
        <v>111</v>
      </c>
      <c r="R45" s="769" t="s">
        <v>17</v>
      </c>
      <c r="S45" s="770">
        <f t="shared" si="12"/>
        <v>100</v>
      </c>
      <c r="T45" s="769" t="s">
        <v>17</v>
      </c>
      <c r="U45" s="770">
        <f t="shared" si="13"/>
        <v>100</v>
      </c>
      <c r="V45" s="769" t="s">
        <v>17</v>
      </c>
      <c r="W45" s="770">
        <f t="shared" si="14"/>
        <v>100</v>
      </c>
      <c r="X45" s="771"/>
      <c r="Y45" s="3147"/>
      <c r="Z45" s="55">
        <f t="shared" si="15"/>
        <v>111</v>
      </c>
      <c r="AA45" s="772">
        <f t="shared" si="3"/>
        <v>1</v>
      </c>
      <c r="AB45" s="772">
        <f t="shared" si="4"/>
        <v>1</v>
      </c>
      <c r="AC45" s="2670">
        <f t="shared" si="5"/>
        <v>1</v>
      </c>
    </row>
    <row r="46" spans="1:29" ht="15">
      <c r="A46" s="471"/>
      <c r="B46" s="1386">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0"/>
      <c r="M46" s="1131"/>
      <c r="N46" s="1131"/>
      <c r="O46" s="1131"/>
      <c r="P46" s="3208"/>
      <c r="Q46" s="1811">
        <f t="shared" si="11"/>
        <v>111</v>
      </c>
      <c r="R46" s="773" t="s">
        <v>17</v>
      </c>
      <c r="S46" s="774">
        <f t="shared" si="12"/>
        <v>100</v>
      </c>
      <c r="T46" s="773" t="s">
        <v>17</v>
      </c>
      <c r="U46" s="774">
        <f t="shared" si="13"/>
        <v>100</v>
      </c>
      <c r="V46" s="773" t="s">
        <v>17</v>
      </c>
      <c r="W46" s="774">
        <f t="shared" si="14"/>
        <v>100</v>
      </c>
      <c r="X46" s="1814"/>
      <c r="Y46" s="3147"/>
      <c r="Z46" s="1815">
        <f t="shared" si="15"/>
        <v>111</v>
      </c>
      <c r="AA46" s="1812">
        <f t="shared" si="3"/>
        <v>1</v>
      </c>
      <c r="AB46" s="1812">
        <f t="shared" si="4"/>
        <v>1</v>
      </c>
      <c r="AC46" s="2673">
        <f t="shared" si="5"/>
        <v>1</v>
      </c>
    </row>
    <row r="47" spans="1:29" ht="15.75" thickBot="1">
      <c r="A47" s="477"/>
      <c r="B47" s="2601">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0"/>
      <c r="M47" s="1131"/>
      <c r="N47" s="1131"/>
      <c r="O47" s="1131"/>
      <c r="P47" s="3209"/>
      <c r="Q47" s="1811">
        <f t="shared" si="11"/>
        <v>111</v>
      </c>
      <c r="R47" s="773" t="s">
        <v>17</v>
      </c>
      <c r="S47" s="774">
        <f t="shared" si="12"/>
        <v>100</v>
      </c>
      <c r="T47" s="773" t="s">
        <v>17</v>
      </c>
      <c r="U47" s="774">
        <f t="shared" si="13"/>
        <v>100</v>
      </c>
      <c r="V47" s="773" t="s">
        <v>17</v>
      </c>
      <c r="W47" s="774">
        <f t="shared" si="14"/>
        <v>100</v>
      </c>
      <c r="X47" s="1814"/>
      <c r="Y47" s="3210"/>
      <c r="Z47" s="1815">
        <f t="shared" si="15"/>
        <v>111</v>
      </c>
      <c r="AA47" s="1812">
        <f t="shared" si="3"/>
        <v>1</v>
      </c>
      <c r="AB47" s="1812">
        <f t="shared" si="4"/>
        <v>1</v>
      </c>
      <c r="AC47" s="2673">
        <f t="shared" si="5"/>
        <v>1</v>
      </c>
    </row>
    <row r="48" spans="1:29" ht="15">
      <c r="A48" s="478" t="s">
        <v>2578</v>
      </c>
      <c r="B48" s="479"/>
      <c r="C48" s="1407" t="s">
        <v>1</v>
      </c>
      <c r="D48" s="1408"/>
      <c r="E48" s="1409"/>
      <c r="F48" s="1410"/>
      <c r="G48" s="1411"/>
      <c r="H48" s="1412"/>
      <c r="I48" s="1409"/>
      <c r="J48" s="484"/>
      <c r="K48" s="782"/>
      <c r="L48" s="1143"/>
      <c r="M48" s="1131"/>
      <c r="N48" s="1131"/>
      <c r="O48" s="1131"/>
      <c r="P48" s="3141" t="str">
        <f>A48</f>
        <v>成交单价（元/平方米）</v>
      </c>
      <c r="Q48" s="3142"/>
      <c r="R48" s="3206">
        <f>E48</f>
        <v>0</v>
      </c>
      <c r="S48" s="3206"/>
      <c r="T48" s="3206">
        <f>G48</f>
        <v>0</v>
      </c>
      <c r="U48" s="3206"/>
      <c r="V48" s="3206">
        <f>I48</f>
        <v>0</v>
      </c>
      <c r="W48" s="3206"/>
      <c r="X48" s="445"/>
      <c r="Y48" s="780"/>
      <c r="Z48" s="445"/>
      <c r="AA48" s="445"/>
      <c r="AB48" s="445"/>
      <c r="AC48" s="629"/>
    </row>
    <row r="49" spans="1:29" ht="15.75" thickBot="1">
      <c r="A49" s="485" t="s">
        <v>2670</v>
      </c>
      <c r="B49" s="486"/>
      <c r="C49" s="1413" t="e">
        <f>R50</f>
        <v>#DIV/0!</v>
      </c>
      <c r="D49" s="1414"/>
      <c r="E49" s="1415" t="e">
        <f>R49</f>
        <v>#DIV/0!</v>
      </c>
      <c r="F49" s="1415"/>
      <c r="G49" s="1413" t="e">
        <f>T49</f>
        <v>#DIV/0!</v>
      </c>
      <c r="H49" s="1414"/>
      <c r="I49" s="1415" t="e">
        <f>V49</f>
        <v>#DIV/0!</v>
      </c>
      <c r="J49" s="488"/>
      <c r="K49" s="783"/>
      <c r="L49" s="1143"/>
      <c r="M49" s="1131"/>
      <c r="N49" s="1131"/>
      <c r="O49" s="1131"/>
      <c r="P49" s="3141" t="str">
        <f>A49</f>
        <v>比较价值（元/平方米）</v>
      </c>
      <c r="Q49" s="3142"/>
      <c r="R49" s="3206" t="e">
        <f>IF(F1="售价",ROUND(PRODUCT(R48,AA7:AA47),0),ROUND(PRODUCT(R48,AA7:AA47),1))</f>
        <v>#DIV/0!</v>
      </c>
      <c r="S49" s="3206"/>
      <c r="T49" s="3206" t="e">
        <f>IF(F1="售价",ROUND(PRODUCT(T48,AB7:AB47),0),ROUND(PRODUCT(T48,AB7:AB47),1))</f>
        <v>#DIV/0!</v>
      </c>
      <c r="U49" s="3206"/>
      <c r="V49" s="3206" t="e">
        <f>IF(F1="售价",ROUND(PRODUCT(V48,AC7:AC47),0),ROUND(PRODUCT(V48,AC7:AC47),1))</f>
        <v>#DIV/0!</v>
      </c>
      <c r="W49" s="3206"/>
      <c r="X49" s="445"/>
      <c r="Y49" s="445"/>
      <c r="Z49" s="445"/>
      <c r="AA49" s="445"/>
      <c r="AB49" s="445"/>
      <c r="AC49" s="629"/>
    </row>
    <row r="50" spans="1:29" ht="15.75" thickBot="1">
      <c r="A50" s="491" t="s">
        <v>2671</v>
      </c>
      <c r="B50" s="492"/>
      <c r="C50" s="1417" t="e">
        <f>R50</f>
        <v>#DIV/0!</v>
      </c>
      <c r="D50" s="1417"/>
      <c r="E50" s="1417"/>
      <c r="F50" s="1417"/>
      <c r="G50" s="1417"/>
      <c r="H50" s="1417"/>
      <c r="I50" s="1417"/>
      <c r="J50" s="493"/>
      <c r="K50" s="784"/>
      <c r="L50" s="1143"/>
      <c r="M50" s="1131"/>
      <c r="N50" s="1131"/>
      <c r="O50" s="1131"/>
      <c r="P50" s="3217" t="str">
        <f>A50</f>
        <v>估价对象XX用房的比较价值（楼面单价，元/平方米）</v>
      </c>
      <c r="Q50" s="3218"/>
      <c r="R50" s="3219" t="e">
        <f>IF(F1="售价",ROUND(AVERAGE(R49:V49),0),ROUND(AVERAGE(R49:V49),1))</f>
        <v>#DIV/0!</v>
      </c>
      <c r="S50" s="3219"/>
      <c r="T50" s="3219"/>
      <c r="U50" s="3219"/>
      <c r="V50" s="3219"/>
      <c r="W50" s="3219"/>
      <c r="X50" s="2653"/>
      <c r="Y50" s="2653"/>
      <c r="Z50" s="2653"/>
      <c r="AA50" s="2653"/>
      <c r="AB50" s="2653"/>
      <c r="AC50" s="2654"/>
    </row>
    <row r="51" spans="1:29">
      <c r="A51" s="1144"/>
      <c r="B51" s="1144"/>
      <c r="C51" s="1144"/>
      <c r="D51" s="1144"/>
      <c r="E51" s="1144"/>
      <c r="F51" s="1144"/>
      <c r="G51" s="1147"/>
      <c r="H51" s="1144"/>
      <c r="I51" s="1144"/>
      <c r="J51" s="1144"/>
      <c r="K51" s="1106"/>
      <c r="L51" s="1107"/>
      <c r="M51" s="1144"/>
      <c r="N51" s="1144"/>
      <c r="O51" s="1144"/>
    </row>
    <row r="52" spans="1:29">
      <c r="A52" s="1144"/>
      <c r="B52" s="1144"/>
      <c r="C52" s="1144"/>
      <c r="D52" s="1144"/>
      <c r="E52" s="1144"/>
      <c r="F52" s="1144"/>
      <c r="G52" s="1144"/>
      <c r="H52" s="1144"/>
      <c r="I52" s="1144"/>
      <c r="J52" s="1144"/>
      <c r="K52" s="1106"/>
      <c r="L52" s="1107"/>
      <c r="M52" s="1144"/>
      <c r="N52" s="1144"/>
      <c r="O52" s="1144"/>
    </row>
    <row r="53" spans="1:29" ht="13.5" customHeight="1">
      <c r="A53" s="1144"/>
      <c r="B53" s="1144"/>
      <c r="C53" s="496" t="s">
        <v>2672</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6"/>
      <c r="L53" s="1107"/>
      <c r="M53" s="1144"/>
      <c r="N53" s="1144"/>
      <c r="O53" s="1144"/>
    </row>
    <row r="54" spans="1:29" ht="13.5" customHeight="1">
      <c r="A54" s="1144"/>
      <c r="B54" s="1144"/>
      <c r="C54" s="496" t="s">
        <v>2673</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6"/>
      <c r="L54" s="1107"/>
      <c r="M54" s="1144"/>
      <c r="N54" s="1144"/>
      <c r="O54" s="1144"/>
    </row>
    <row r="55" spans="1:29" s="501" customFormat="1" ht="13.5" customHeight="1">
      <c r="A55" s="1145"/>
      <c r="B55" s="1145"/>
      <c r="C55" s="496" t="s">
        <v>2674</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8"/>
      <c r="L55" s="1149"/>
      <c r="M55" s="1145"/>
      <c r="N55" s="1145"/>
      <c r="O55" s="1145"/>
      <c r="P55" s="2679"/>
    </row>
    <row r="56" spans="1:29" s="501"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6"/>
      <c r="L57" s="1107"/>
      <c r="M57" s="1144"/>
      <c r="N57" s="1144"/>
      <c r="O57" s="1144"/>
    </row>
    <row r="58" spans="1:29" ht="21.75" thickBot="1">
      <c r="A58" s="762" t="s">
        <v>2675</v>
      </c>
      <c r="B58" s="758"/>
      <c r="C58" s="763"/>
      <c r="D58" s="763"/>
      <c r="E58" s="763"/>
      <c r="F58" s="764"/>
      <c r="G58" s="764"/>
      <c r="H58" s="763"/>
      <c r="I58" s="763"/>
      <c r="J58" s="763"/>
      <c r="K58" s="765"/>
      <c r="L58" s="1161"/>
      <c r="M58" s="1159"/>
      <c r="N58" s="1159"/>
      <c r="O58" s="1159"/>
      <c r="P58" s="2680"/>
      <c r="Q58" s="503"/>
    </row>
    <row r="59" spans="1:29" s="507" customFormat="1" ht="15">
      <c r="A59" s="504" t="s">
        <v>2549</v>
      </c>
      <c r="B59" s="505"/>
      <c r="C59" s="1575" t="str">
        <f>YEAR(C7)&amp;"-"&amp;MONTH(C7)</f>
        <v>2017-10</v>
      </c>
      <c r="D59" s="1576">
        <f>EDATE(C59,-1)</f>
        <v>42979</v>
      </c>
      <c r="E59" s="1576">
        <f>EDATE(D59,-1)</f>
        <v>42948</v>
      </c>
      <c r="F59" s="1576">
        <f t="shared" ref="F59:O59" si="16">EDATE(E59,-1)</f>
        <v>42917</v>
      </c>
      <c r="G59" s="1576">
        <f t="shared" si="16"/>
        <v>42887</v>
      </c>
      <c r="H59" s="1576">
        <f t="shared" si="16"/>
        <v>42856</v>
      </c>
      <c r="I59" s="1576">
        <f t="shared" si="16"/>
        <v>42826</v>
      </c>
      <c r="J59" s="1576">
        <f t="shared" si="16"/>
        <v>42795</v>
      </c>
      <c r="K59" s="1576">
        <f t="shared" si="16"/>
        <v>42767</v>
      </c>
      <c r="L59" s="1576">
        <f t="shared" si="16"/>
        <v>42736</v>
      </c>
      <c r="M59" s="1576">
        <f t="shared" si="16"/>
        <v>42705</v>
      </c>
      <c r="N59" s="1576">
        <f t="shared" si="16"/>
        <v>42675</v>
      </c>
      <c r="O59" s="1576">
        <f t="shared" si="16"/>
        <v>42644</v>
      </c>
      <c r="P59" s="1572"/>
    </row>
    <row r="60" spans="1:29" s="116" customFormat="1" ht="15">
      <c r="A60" s="508"/>
      <c r="B60" s="509"/>
      <c r="C60" s="1574">
        <v>100</v>
      </c>
      <c r="D60" s="511"/>
      <c r="E60" s="511"/>
      <c r="F60" s="511"/>
      <c r="G60" s="511"/>
      <c r="H60" s="511"/>
      <c r="I60" s="511"/>
      <c r="J60" s="511"/>
      <c r="K60" s="511"/>
      <c r="L60" s="511"/>
      <c r="M60" s="512"/>
      <c r="N60" s="511"/>
      <c r="O60" s="512"/>
      <c r="P60" s="2681"/>
    </row>
    <row r="61" spans="1:29" s="116" customFormat="1" ht="15.75" thickBot="1">
      <c r="A61" s="514" t="s">
        <v>2586</v>
      </c>
      <c r="B61" s="515"/>
      <c r="C61" s="516"/>
      <c r="D61" s="517"/>
      <c r="E61" s="517"/>
      <c r="F61" s="517"/>
      <c r="G61" s="517"/>
      <c r="H61" s="517"/>
      <c r="I61" s="517"/>
      <c r="J61" s="517"/>
      <c r="K61" s="517"/>
      <c r="L61" s="517"/>
      <c r="M61" s="518"/>
      <c r="N61" s="517"/>
      <c r="O61" s="518"/>
      <c r="P61" s="2681"/>
      <c r="Q61" s="503"/>
    </row>
    <row r="62" spans="1:29" s="116" customFormat="1" ht="15">
      <c r="A62" s="520" t="s">
        <v>2551</v>
      </c>
      <c r="B62" s="509"/>
      <c r="C62" s="521" t="s">
        <v>2653</v>
      </c>
      <c r="D62" s="522"/>
      <c r="E62" s="522"/>
      <c r="F62" s="522"/>
      <c r="G62" s="522"/>
      <c r="H62" s="522"/>
      <c r="I62" s="522"/>
      <c r="J62" s="522"/>
      <c r="K62" s="522"/>
      <c r="L62" s="523"/>
      <c r="M62" s="524"/>
      <c r="N62" s="1151"/>
      <c r="O62" s="1151"/>
      <c r="P62" s="2682"/>
      <c r="Q62" s="503"/>
    </row>
    <row r="63" spans="1:29" s="116" customFormat="1" ht="15.75" thickBot="1">
      <c r="A63" s="520"/>
      <c r="B63" s="509"/>
      <c r="C63" s="510">
        <v>100</v>
      </c>
      <c r="D63" s="511"/>
      <c r="E63" s="511"/>
      <c r="F63" s="511"/>
      <c r="G63" s="511"/>
      <c r="H63" s="511"/>
      <c r="I63" s="511"/>
      <c r="J63" s="511"/>
      <c r="K63" s="511"/>
      <c r="L63" s="511"/>
      <c r="M63" s="513"/>
      <c r="N63" s="1151"/>
      <c r="O63" s="1151"/>
      <c r="P63" s="2681"/>
      <c r="Q63" s="503"/>
    </row>
    <row r="64" spans="1:29">
      <c r="A64" s="526" t="s">
        <v>2589</v>
      </c>
      <c r="B64" s="527" t="s">
        <v>2555</v>
      </c>
      <c r="C64" s="528">
        <f>C9</f>
        <v>0</v>
      </c>
      <c r="D64" s="529"/>
      <c r="E64" s="529"/>
      <c r="F64" s="529"/>
      <c r="G64" s="529"/>
      <c r="H64" s="529"/>
      <c r="I64" s="529"/>
      <c r="J64" s="529"/>
      <c r="K64" s="530"/>
      <c r="L64" s="531"/>
      <c r="M64" s="532"/>
      <c r="N64" s="1152"/>
      <c r="O64" s="1152"/>
      <c r="P64" s="2683"/>
      <c r="Q64" s="503"/>
    </row>
    <row r="65" spans="1:17" ht="15.75" thickBot="1">
      <c r="A65" s="533"/>
      <c r="B65" s="534"/>
      <c r="C65" s="535">
        <v>100</v>
      </c>
      <c r="D65" s="535"/>
      <c r="E65" s="535"/>
      <c r="F65" s="535"/>
      <c r="G65" s="535"/>
      <c r="H65" s="535"/>
      <c r="I65" s="535"/>
      <c r="J65" s="535"/>
      <c r="K65" s="535"/>
      <c r="L65" s="535"/>
      <c r="M65" s="536"/>
      <c r="N65" s="1153"/>
      <c r="O65" s="1153"/>
      <c r="P65" s="2683"/>
      <c r="Q65" s="503"/>
    </row>
    <row r="66" spans="1:17" ht="27.75" thickTop="1">
      <c r="A66" s="533"/>
      <c r="B66" s="537" t="s">
        <v>2558</v>
      </c>
      <c r="C66" s="538" t="s">
        <v>2590</v>
      </c>
      <c r="D66" s="538" t="s">
        <v>2591</v>
      </c>
      <c r="E66" s="538" t="s">
        <v>2592</v>
      </c>
      <c r="F66" s="538" t="s">
        <v>2593</v>
      </c>
      <c r="G66" s="538" t="s">
        <v>2594</v>
      </c>
      <c r="H66" s="538" t="s">
        <v>2595</v>
      </c>
      <c r="I66" s="538" t="s">
        <v>2596</v>
      </c>
      <c r="J66" s="538"/>
      <c r="K66" s="539"/>
      <c r="L66" s="540"/>
      <c r="M66" s="541"/>
      <c r="N66" s="1152"/>
      <c r="O66" s="1152"/>
      <c r="P66" s="2683"/>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3"/>
      <c r="O67" s="1153"/>
      <c r="P67" s="2683"/>
      <c r="Q67" s="503"/>
    </row>
    <row r="68" spans="1:17" ht="15.75" thickTop="1">
      <c r="A68" s="533"/>
      <c r="B68" s="545" t="s">
        <v>2559</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3"/>
      <c r="O68" s="1153"/>
      <c r="P68" s="2683"/>
      <c r="Q68" s="503"/>
    </row>
    <row r="69" spans="1:17" ht="15">
      <c r="A69" s="533"/>
      <c r="B69" s="547"/>
      <c r="C69" s="548"/>
      <c r="D69" s="548"/>
      <c r="E69" s="548"/>
      <c r="F69" s="548"/>
      <c r="G69" s="548"/>
      <c r="H69" s="548"/>
      <c r="I69" s="548"/>
      <c r="J69" s="548"/>
      <c r="K69" s="549"/>
      <c r="L69" s="550"/>
      <c r="M69" s="551"/>
      <c r="N69" s="1152"/>
      <c r="O69" s="1152"/>
      <c r="P69" s="2683"/>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3"/>
      <c r="O70" s="1153"/>
      <c r="P70" s="2683"/>
      <c r="Q70" s="503"/>
    </row>
    <row r="71" spans="1:17" s="470" customFormat="1" ht="15.75" thickTop="1">
      <c r="A71" s="552"/>
      <c r="B71" s="537">
        <f>B12</f>
        <v>111</v>
      </c>
      <c r="C71" s="553"/>
      <c r="D71" s="553"/>
      <c r="E71" s="553"/>
      <c r="F71" s="553"/>
      <c r="G71" s="553"/>
      <c r="H71" s="554"/>
      <c r="I71" s="554"/>
      <c r="J71" s="554"/>
      <c r="K71" s="554"/>
      <c r="L71" s="555"/>
      <c r="M71" s="556"/>
      <c r="N71" s="1154"/>
      <c r="O71" s="1154"/>
      <c r="P71" s="2684"/>
      <c r="Q71" s="558"/>
    </row>
    <row r="72" spans="1:17" s="470" customFormat="1" ht="15.75" thickBot="1">
      <c r="A72" s="552"/>
      <c r="B72" s="542"/>
      <c r="C72" s="559"/>
      <c r="D72" s="535"/>
      <c r="E72" s="535"/>
      <c r="F72" s="535"/>
      <c r="G72" s="535"/>
      <c r="H72" s="535"/>
      <c r="I72" s="535"/>
      <c r="J72" s="535"/>
      <c r="K72" s="535"/>
      <c r="L72" s="535"/>
      <c r="M72" s="536"/>
      <c r="N72" s="1153"/>
      <c r="O72" s="1153"/>
      <c r="P72" s="2684"/>
      <c r="Q72" s="558"/>
    </row>
    <row r="73" spans="1:17" s="470" customFormat="1" ht="15.75" thickTop="1">
      <c r="A73" s="552"/>
      <c r="B73" s="537">
        <f>B13</f>
        <v>111</v>
      </c>
      <c r="C73" s="553"/>
      <c r="D73" s="553"/>
      <c r="E73" s="553"/>
      <c r="F73" s="553"/>
      <c r="G73" s="553"/>
      <c r="H73" s="554"/>
      <c r="I73" s="554"/>
      <c r="J73" s="554"/>
      <c r="K73" s="554"/>
      <c r="L73" s="555"/>
      <c r="M73" s="556"/>
      <c r="N73" s="1154"/>
      <c r="O73" s="1154"/>
      <c r="P73" s="2685"/>
      <c r="Q73" s="560"/>
    </row>
    <row r="74" spans="1:17" s="470" customFormat="1" ht="15.75" thickBot="1">
      <c r="A74" s="552"/>
      <c r="B74" s="542"/>
      <c r="C74" s="559"/>
      <c r="D74" s="559"/>
      <c r="E74" s="559"/>
      <c r="F74" s="559"/>
      <c r="G74" s="559"/>
      <c r="H74" s="561"/>
      <c r="I74" s="561"/>
      <c r="J74" s="561"/>
      <c r="K74" s="561"/>
      <c r="L74" s="561"/>
      <c r="M74" s="562"/>
      <c r="N74" s="1154"/>
      <c r="O74" s="1154"/>
      <c r="P74" s="2684"/>
      <c r="Q74" s="558"/>
    </row>
    <row r="75" spans="1:17" s="470" customFormat="1" ht="15.75" thickTop="1">
      <c r="A75" s="552"/>
      <c r="B75" s="545">
        <f>B14</f>
        <v>111</v>
      </c>
      <c r="C75" s="522"/>
      <c r="D75" s="522"/>
      <c r="E75" s="522"/>
      <c r="F75" s="522"/>
      <c r="G75" s="522"/>
      <c r="H75" s="563"/>
      <c r="I75" s="563"/>
      <c r="J75" s="563"/>
      <c r="K75" s="563"/>
      <c r="L75" s="564"/>
      <c r="M75" s="565"/>
      <c r="N75" s="1154"/>
      <c r="O75" s="1154"/>
      <c r="P75" s="2686"/>
      <c r="Q75" s="558"/>
    </row>
    <row r="76" spans="1:17" s="470" customFormat="1" ht="15.75" thickBot="1">
      <c r="A76" s="567"/>
      <c r="B76" s="568"/>
      <c r="C76" s="569"/>
      <c r="D76" s="569"/>
      <c r="E76" s="569"/>
      <c r="F76" s="569"/>
      <c r="G76" s="569"/>
      <c r="H76" s="570"/>
      <c r="I76" s="570"/>
      <c r="J76" s="570"/>
      <c r="K76" s="570"/>
      <c r="L76" s="570"/>
      <c r="M76" s="571"/>
      <c r="N76" s="1154"/>
      <c r="O76" s="1154"/>
      <c r="P76" s="2684"/>
      <c r="Q76" s="558"/>
    </row>
    <row r="77" spans="1:17">
      <c r="A77" s="526" t="s">
        <v>2560</v>
      </c>
      <c r="B77" s="527" t="s">
        <v>2698</v>
      </c>
      <c r="C77" s="572" t="s">
        <v>2598</v>
      </c>
      <c r="D77" s="572" t="s">
        <v>2599</v>
      </c>
      <c r="E77" s="572" t="s">
        <v>2600</v>
      </c>
      <c r="F77" s="572" t="s">
        <v>2601</v>
      </c>
      <c r="G77" s="572" t="s">
        <v>2602</v>
      </c>
      <c r="H77" s="528"/>
      <c r="I77" s="528"/>
      <c r="J77" s="528"/>
      <c r="K77" s="573"/>
      <c r="L77" s="574"/>
      <c r="M77" s="575"/>
      <c r="N77" s="1152"/>
      <c r="O77" s="1152"/>
      <c r="P77" s="2687"/>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3"/>
      <c r="O78" s="1153"/>
      <c r="P78" s="2683"/>
      <c r="Q78" s="503"/>
    </row>
    <row r="79" spans="1:17" ht="15.75" thickTop="1">
      <c r="A79" s="533"/>
      <c r="B79" s="537" t="s">
        <v>2603</v>
      </c>
      <c r="C79" s="577" t="s">
        <v>2598</v>
      </c>
      <c r="D79" s="577" t="s">
        <v>2599</v>
      </c>
      <c r="E79" s="577" t="s">
        <v>2600</v>
      </c>
      <c r="F79" s="577" t="s">
        <v>2601</v>
      </c>
      <c r="G79" s="577" t="s">
        <v>2602</v>
      </c>
      <c r="H79" s="538"/>
      <c r="I79" s="538"/>
      <c r="J79" s="538"/>
      <c r="K79" s="539"/>
      <c r="L79" s="540"/>
      <c r="M79" s="541"/>
      <c r="N79" s="1152"/>
      <c r="O79" s="1152"/>
      <c r="P79" s="2683"/>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3"/>
      <c r="O80" s="1153"/>
      <c r="P80" s="2683"/>
      <c r="Q80" s="503"/>
    </row>
    <row r="81" spans="1:17" ht="15.75" thickTop="1">
      <c r="A81" s="533"/>
      <c r="B81" s="537" t="s">
        <v>2604</v>
      </c>
      <c r="C81" s="577" t="s">
        <v>2598</v>
      </c>
      <c r="D81" s="577" t="s">
        <v>2599</v>
      </c>
      <c r="E81" s="577" t="s">
        <v>2600</v>
      </c>
      <c r="F81" s="577" t="s">
        <v>2601</v>
      </c>
      <c r="G81" s="577" t="s">
        <v>2602</v>
      </c>
      <c r="H81" s="538"/>
      <c r="I81" s="538"/>
      <c r="J81" s="538"/>
      <c r="K81" s="539"/>
      <c r="L81" s="540"/>
      <c r="M81" s="541"/>
      <c r="N81" s="1152"/>
      <c r="O81" s="1152"/>
      <c r="P81" s="2683"/>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3"/>
      <c r="O82" s="1153"/>
      <c r="P82" s="2683"/>
      <c r="Q82" s="503"/>
    </row>
    <row r="83" spans="1:17" ht="15.75" thickTop="1">
      <c r="A83" s="533"/>
      <c r="B83" s="545" t="s">
        <v>2690</v>
      </c>
      <c r="C83" s="659" t="s">
        <v>2676</v>
      </c>
      <c r="D83" s="659" t="s">
        <v>2677</v>
      </c>
      <c r="E83" s="659" t="s">
        <v>2678</v>
      </c>
      <c r="F83" s="659" t="s">
        <v>2679</v>
      </c>
      <c r="G83" s="659" t="s">
        <v>2680</v>
      </c>
      <c r="H83" s="538"/>
      <c r="I83" s="538"/>
      <c r="J83" s="538"/>
      <c r="K83" s="538"/>
      <c r="L83" s="538"/>
      <c r="M83" s="1382"/>
      <c r="N83" s="1153"/>
      <c r="O83" s="1153"/>
      <c r="P83" s="2683"/>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3"/>
      <c r="O84" s="1153"/>
      <c r="P84" s="2683"/>
      <c r="Q84" s="503"/>
    </row>
    <row r="85" spans="1:17" ht="15.75" thickTop="1">
      <c r="A85" s="533"/>
      <c r="B85" s="537" t="s">
        <v>2699</v>
      </c>
      <c r="C85" s="577" t="s">
        <v>2598</v>
      </c>
      <c r="D85" s="577" t="s">
        <v>2599</v>
      </c>
      <c r="E85" s="577" t="s">
        <v>2600</v>
      </c>
      <c r="F85" s="577" t="s">
        <v>2601</v>
      </c>
      <c r="G85" s="577" t="s">
        <v>2602</v>
      </c>
      <c r="H85" s="538"/>
      <c r="I85" s="538"/>
      <c r="J85" s="538"/>
      <c r="K85" s="539"/>
      <c r="L85" s="540"/>
      <c r="M85" s="541"/>
      <c r="N85" s="1152"/>
      <c r="O85" s="1152"/>
      <c r="P85" s="2683"/>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3"/>
      <c r="O86" s="1153"/>
      <c r="P86" s="2683"/>
      <c r="Q86" s="503"/>
    </row>
    <row r="87" spans="1:17" s="116" customFormat="1" ht="27.75" thickTop="1">
      <c r="A87" s="578"/>
      <c r="B87" s="537" t="s">
        <v>2700</v>
      </c>
      <c r="C87" s="553"/>
      <c r="D87" s="553"/>
      <c r="E87" s="553"/>
      <c r="F87" s="553"/>
      <c r="G87" s="553"/>
      <c r="H87" s="553"/>
      <c r="I87" s="553"/>
      <c r="J87" s="553"/>
      <c r="K87" s="553"/>
      <c r="L87" s="579"/>
      <c r="M87" s="580"/>
      <c r="N87" s="1151"/>
      <c r="O87" s="1151"/>
      <c r="P87" s="2683"/>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3"/>
      <c r="O88" s="1153"/>
      <c r="P88" s="2683"/>
      <c r="Q88" s="503"/>
    </row>
    <row r="89" spans="1:17" s="116" customFormat="1" ht="15.75" thickTop="1">
      <c r="A89" s="578"/>
      <c r="B89" s="537" t="str">
        <f>B27</f>
        <v>楼层</v>
      </c>
      <c r="C89" s="553"/>
      <c r="D89" s="553"/>
      <c r="E89" s="553"/>
      <c r="F89" s="2634"/>
      <c r="G89" s="553"/>
      <c r="H89" s="553"/>
      <c r="I89" s="553"/>
      <c r="J89" s="553"/>
      <c r="K89" s="553"/>
      <c r="L89" s="553"/>
      <c r="M89" s="580"/>
      <c r="N89" s="1151"/>
      <c r="O89" s="1151"/>
      <c r="P89" s="2683"/>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3"/>
      <c r="O90" s="1153"/>
      <c r="P90" s="2683"/>
      <c r="Q90" s="503"/>
    </row>
    <row r="91" spans="1:17" s="470" customFormat="1" ht="15.75" thickTop="1">
      <c r="A91" s="552"/>
      <c r="B91" s="537" t="str">
        <f>B28</f>
        <v>朝向</v>
      </c>
      <c r="C91" s="553"/>
      <c r="D91" s="553"/>
      <c r="E91" s="553"/>
      <c r="F91" s="553"/>
      <c r="G91" s="553"/>
      <c r="H91" s="554"/>
      <c r="I91" s="554"/>
      <c r="J91" s="554"/>
      <c r="K91" s="554"/>
      <c r="L91" s="555"/>
      <c r="M91" s="556"/>
      <c r="N91" s="1154"/>
      <c r="O91" s="1154"/>
      <c r="P91" s="2684"/>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4"/>
      <c r="O92" s="1154"/>
      <c r="P92" s="2684"/>
      <c r="Q92" s="558"/>
    </row>
    <row r="93" spans="1:17" ht="15.75" thickTop="1">
      <c r="A93" s="533"/>
      <c r="B93" s="537">
        <f>B29</f>
        <v>111</v>
      </c>
      <c r="C93" s="553"/>
      <c r="D93" s="553"/>
      <c r="E93" s="553"/>
      <c r="F93" s="553"/>
      <c r="G93" s="553"/>
      <c r="H93" s="553"/>
      <c r="I93" s="553"/>
      <c r="J93" s="553"/>
      <c r="K93" s="553"/>
      <c r="L93" s="579"/>
      <c r="M93" s="580"/>
      <c r="N93" s="1152"/>
      <c r="O93" s="1152"/>
      <c r="P93" s="2683"/>
      <c r="Q93" s="503"/>
    </row>
    <row r="94" spans="1:17" ht="15.75" thickBot="1">
      <c r="A94" s="533"/>
      <c r="B94" s="542"/>
      <c r="C94" s="559"/>
      <c r="D94" s="535"/>
      <c r="E94" s="535"/>
      <c r="F94" s="535"/>
      <c r="G94" s="535"/>
      <c r="H94" s="535"/>
      <c r="I94" s="535"/>
      <c r="J94" s="535"/>
      <c r="K94" s="535"/>
      <c r="L94" s="535"/>
      <c r="M94" s="536"/>
      <c r="N94" s="1153"/>
      <c r="O94" s="1153"/>
      <c r="P94" s="2683"/>
      <c r="Q94" s="503"/>
    </row>
    <row r="95" spans="1:17" ht="15.75" thickTop="1">
      <c r="A95" s="533"/>
      <c r="B95" s="537">
        <f>B30</f>
        <v>111</v>
      </c>
      <c r="C95" s="553"/>
      <c r="D95" s="553"/>
      <c r="E95" s="553"/>
      <c r="F95" s="553"/>
      <c r="G95" s="582"/>
      <c r="H95" s="582"/>
      <c r="I95" s="582"/>
      <c r="J95" s="582"/>
      <c r="K95" s="583"/>
      <c r="L95" s="584"/>
      <c r="M95" s="585"/>
      <c r="N95" s="1152"/>
      <c r="O95" s="1152"/>
      <c r="P95" s="2683"/>
      <c r="Q95" s="503"/>
    </row>
    <row r="96" spans="1:17" ht="15.75" thickBot="1">
      <c r="A96" s="533"/>
      <c r="B96" s="542"/>
      <c r="C96" s="559"/>
      <c r="D96" s="559"/>
      <c r="E96" s="559"/>
      <c r="F96" s="559"/>
      <c r="G96" s="535"/>
      <c r="H96" s="535"/>
      <c r="I96" s="535"/>
      <c r="J96" s="535"/>
      <c r="K96" s="535"/>
      <c r="L96" s="535"/>
      <c r="M96" s="536"/>
      <c r="N96" s="1153"/>
      <c r="O96" s="1153"/>
      <c r="P96" s="2683"/>
      <c r="Q96" s="503"/>
    </row>
    <row r="97" spans="1:17" ht="15.75" thickTop="1">
      <c r="A97" s="533"/>
      <c r="B97" s="537">
        <f>B31</f>
        <v>111</v>
      </c>
      <c r="C97" s="553"/>
      <c r="D97" s="553"/>
      <c r="E97" s="553"/>
      <c r="F97" s="553"/>
      <c r="G97" s="582"/>
      <c r="H97" s="582"/>
      <c r="I97" s="582"/>
      <c r="J97" s="582"/>
      <c r="K97" s="583"/>
      <c r="L97" s="584"/>
      <c r="M97" s="585"/>
      <c r="N97" s="1152"/>
      <c r="O97" s="1152"/>
      <c r="P97" s="2683"/>
      <c r="Q97" s="503"/>
    </row>
    <row r="98" spans="1:17" ht="15.75" thickBot="1">
      <c r="A98" s="533"/>
      <c r="B98" s="542"/>
      <c r="C98" s="559"/>
      <c r="D98" s="535"/>
      <c r="E98" s="535"/>
      <c r="F98" s="535"/>
      <c r="G98" s="535"/>
      <c r="H98" s="535"/>
      <c r="I98" s="535"/>
      <c r="J98" s="535"/>
      <c r="K98" s="535"/>
      <c r="L98" s="535"/>
      <c r="M98" s="536"/>
      <c r="N98" s="1153"/>
      <c r="O98" s="1153"/>
      <c r="P98" s="2683"/>
      <c r="Q98" s="503"/>
    </row>
    <row r="99" spans="1:17" ht="15.75" thickTop="1">
      <c r="A99" s="533"/>
      <c r="B99" s="545">
        <f>B32</f>
        <v>111</v>
      </c>
      <c r="C99" s="522"/>
      <c r="D99" s="522"/>
      <c r="E99" s="522"/>
      <c r="F99" s="522"/>
      <c r="G99" s="586"/>
      <c r="H99" s="586"/>
      <c r="I99" s="586"/>
      <c r="J99" s="586"/>
      <c r="K99" s="587"/>
      <c r="L99" s="588"/>
      <c r="M99" s="589"/>
      <c r="N99" s="1152"/>
      <c r="O99" s="1152"/>
      <c r="P99" s="2683"/>
      <c r="Q99" s="503"/>
    </row>
    <row r="100" spans="1:17" ht="15.75" thickBot="1">
      <c r="A100" s="2635"/>
      <c r="B100" s="568"/>
      <c r="C100" s="569"/>
      <c r="D100" s="569"/>
      <c r="E100" s="569"/>
      <c r="F100" s="569"/>
      <c r="G100" s="590"/>
      <c r="H100" s="590"/>
      <c r="I100" s="590"/>
      <c r="J100" s="590"/>
      <c r="K100" s="590"/>
      <c r="L100" s="590"/>
      <c r="M100" s="591"/>
      <c r="N100" s="1153"/>
      <c r="O100" s="1153"/>
      <c r="P100" s="2683"/>
      <c r="Q100" s="503"/>
    </row>
    <row r="101" spans="1:17">
      <c r="A101" s="526" t="s">
        <v>2564</v>
      </c>
      <c r="B101" s="527" t="s">
        <v>2613</v>
      </c>
      <c r="C101" s="529"/>
      <c r="D101" s="529"/>
      <c r="E101" s="529"/>
      <c r="F101" s="529"/>
      <c r="G101" s="529"/>
      <c r="H101" s="529"/>
      <c r="I101" s="529"/>
      <c r="J101" s="529"/>
      <c r="K101" s="530"/>
      <c r="L101" s="531"/>
      <c r="M101" s="532"/>
      <c r="N101" s="1152"/>
      <c r="O101" s="1152"/>
      <c r="P101" s="2683"/>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3"/>
      <c r="O102" s="1153"/>
      <c r="P102" s="2683"/>
      <c r="Q102" s="503"/>
    </row>
    <row r="103" spans="1:17" ht="15.75" thickTop="1">
      <c r="A103" s="533"/>
      <c r="B103" s="537" t="s">
        <v>2614</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1"/>
      <c r="O103" s="1151"/>
      <c r="P103" s="2683"/>
      <c r="Q103" s="503"/>
    </row>
    <row r="104" spans="1:17" s="470" customFormat="1">
      <c r="A104" s="592"/>
      <c r="B104" s="593"/>
      <c r="C104" s="594"/>
      <c r="D104" s="594"/>
      <c r="E104" s="594"/>
      <c r="F104" s="594"/>
      <c r="G104" s="594"/>
      <c r="H104" s="594"/>
      <c r="I104" s="594"/>
      <c r="J104" s="595"/>
      <c r="K104" s="595"/>
      <c r="L104" s="596"/>
      <c r="M104" s="597"/>
      <c r="N104" s="1154"/>
      <c r="O104" s="1154"/>
      <c r="P104" s="2684"/>
      <c r="Q104" s="558"/>
    </row>
    <row r="105" spans="1:17" s="470" customFormat="1" ht="15.75" thickBot="1">
      <c r="A105" s="552"/>
      <c r="B105" s="542"/>
      <c r="C105" s="559"/>
      <c r="D105" s="535"/>
      <c r="E105" s="535"/>
      <c r="F105" s="535"/>
      <c r="G105" s="535"/>
      <c r="H105" s="535"/>
      <c r="I105" s="535"/>
      <c r="J105" s="535"/>
      <c r="K105" s="535"/>
      <c r="L105" s="535"/>
      <c r="M105" s="536"/>
      <c r="N105" s="1153"/>
      <c r="O105" s="1153"/>
      <c r="P105" s="2684"/>
      <c r="Q105" s="558"/>
    </row>
    <row r="106" spans="1:17" ht="15" thickTop="1">
      <c r="A106" s="598"/>
      <c r="B106" s="537" t="s">
        <v>2615</v>
      </c>
      <c r="C106" s="553"/>
      <c r="D106" s="553"/>
      <c r="E106" s="582"/>
      <c r="F106" s="582"/>
      <c r="G106" s="582"/>
      <c r="H106" s="582"/>
      <c r="I106" s="582"/>
      <c r="J106" s="582"/>
      <c r="K106" s="583"/>
      <c r="L106" s="584"/>
      <c r="M106" s="585"/>
      <c r="N106" s="1152"/>
      <c r="O106" s="1152"/>
      <c r="P106" s="2683"/>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3"/>
      <c r="O107" s="1153"/>
      <c r="P107" s="2683"/>
      <c r="Q107" s="503"/>
    </row>
    <row r="108" spans="1:17" ht="15" thickTop="1">
      <c r="A108" s="598"/>
      <c r="B108" s="537" t="s">
        <v>2617</v>
      </c>
      <c r="C108" s="553"/>
      <c r="D108" s="553"/>
      <c r="E108" s="553"/>
      <c r="F108" s="582"/>
      <c r="G108" s="582"/>
      <c r="H108" s="582"/>
      <c r="I108" s="582"/>
      <c r="J108" s="582"/>
      <c r="K108" s="583"/>
      <c r="L108" s="584"/>
      <c r="M108" s="585"/>
      <c r="N108" s="1152"/>
      <c r="O108" s="1152"/>
      <c r="P108" s="2683"/>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3"/>
      <c r="O109" s="1153"/>
      <c r="P109" s="2683"/>
      <c r="Q109" s="503"/>
    </row>
    <row r="110" spans="1:17" ht="15" thickTop="1">
      <c r="A110" s="598"/>
      <c r="B110" s="537" t="s">
        <v>1997</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2"/>
      <c r="O110" s="1152"/>
      <c r="P110" s="2683"/>
      <c r="Q110" s="503"/>
    </row>
    <row r="111" spans="1:17">
      <c r="A111" s="598"/>
      <c r="B111" s="545"/>
      <c r="C111" s="602">
        <v>0.5</v>
      </c>
      <c r="D111" s="602">
        <v>0.6</v>
      </c>
      <c r="E111" s="602">
        <v>0.7</v>
      </c>
      <c r="F111" s="602">
        <v>0.8</v>
      </c>
      <c r="G111" s="602">
        <v>0.9</v>
      </c>
      <c r="H111" s="602">
        <v>1.0001</v>
      </c>
      <c r="I111" s="622"/>
      <c r="J111" s="622"/>
      <c r="K111" s="623"/>
      <c r="L111" s="624"/>
      <c r="M111" s="625"/>
      <c r="N111" s="1152"/>
      <c r="O111" s="1152"/>
      <c r="P111" s="2683"/>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3"/>
      <c r="O112" s="1153"/>
      <c r="P112" s="2683"/>
      <c r="Q112" s="503"/>
    </row>
    <row r="113" spans="1:17" s="470" customFormat="1" ht="15" thickTop="1">
      <c r="A113" s="592"/>
      <c r="B113" s="537" t="s">
        <v>2701</v>
      </c>
      <c r="C113" s="553"/>
      <c r="D113" s="553"/>
      <c r="E113" s="553"/>
      <c r="F113" s="553"/>
      <c r="G113" s="553"/>
      <c r="H113" s="582"/>
      <c r="I113" s="582"/>
      <c r="J113" s="582"/>
      <c r="K113" s="583"/>
      <c r="L113" s="584"/>
      <c r="M113" s="585"/>
      <c r="N113" s="1154"/>
      <c r="O113" s="1154"/>
      <c r="P113" s="2684"/>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4"/>
      <c r="O114" s="1154"/>
      <c r="P114" s="2684"/>
      <c r="Q114" s="558"/>
    </row>
    <row r="115" spans="1:17" ht="15" thickTop="1">
      <c r="A115" s="598"/>
      <c r="B115" s="537" t="s">
        <v>2618</v>
      </c>
      <c r="C115" s="553"/>
      <c r="D115" s="553"/>
      <c r="E115" s="582"/>
      <c r="F115" s="582"/>
      <c r="G115" s="582"/>
      <c r="H115" s="582"/>
      <c r="I115" s="582"/>
      <c r="J115" s="582"/>
      <c r="K115" s="583"/>
      <c r="L115" s="584"/>
      <c r="M115" s="585"/>
      <c r="N115" s="1152"/>
      <c r="O115" s="1152"/>
      <c r="P115" s="2683"/>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3"/>
      <c r="O116" s="1153"/>
      <c r="P116" s="2683"/>
      <c r="Q116" s="503"/>
    </row>
    <row r="117" spans="1:17" ht="15" thickTop="1">
      <c r="A117" s="598"/>
      <c r="B117" s="537" t="s">
        <v>2619</v>
      </c>
      <c r="C117" s="553"/>
      <c r="D117" s="553"/>
      <c r="E117" s="553"/>
      <c r="F117" s="553"/>
      <c r="G117" s="553"/>
      <c r="H117" s="582"/>
      <c r="I117" s="582"/>
      <c r="J117" s="582"/>
      <c r="K117" s="583"/>
      <c r="L117" s="584"/>
      <c r="M117" s="585"/>
      <c r="N117" s="1152"/>
      <c r="O117" s="1152"/>
      <c r="P117" s="2683"/>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3"/>
      <c r="O118" s="1153"/>
      <c r="P118" s="2683"/>
      <c r="Q118" s="503"/>
    </row>
    <row r="119" spans="1:17" ht="15" thickTop="1">
      <c r="A119" s="598"/>
      <c r="B119" s="635" t="s">
        <v>2702</v>
      </c>
      <c r="C119" s="582"/>
      <c r="D119" s="582"/>
      <c r="E119" s="582"/>
      <c r="F119" s="582"/>
      <c r="G119" s="582"/>
      <c r="H119" s="582"/>
      <c r="I119" s="582"/>
      <c r="J119" s="582"/>
      <c r="K119" s="582"/>
      <c r="L119" s="2688"/>
      <c r="M119" s="2689"/>
      <c r="N119" s="1153"/>
      <c r="O119" s="1153"/>
      <c r="P119" s="2690"/>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3"/>
      <c r="O120" s="1153"/>
      <c r="P120" s="2683"/>
      <c r="Q120" s="503"/>
    </row>
    <row r="121" spans="1:17" s="470" customFormat="1" ht="15" thickTop="1">
      <c r="A121" s="592"/>
      <c r="B121" s="537" t="s">
        <v>2685</v>
      </c>
      <c r="C121" s="553"/>
      <c r="D121" s="553"/>
      <c r="E121" s="553"/>
      <c r="F121" s="582"/>
      <c r="G121" s="554"/>
      <c r="H121" s="554"/>
      <c r="I121" s="554"/>
      <c r="J121" s="554"/>
      <c r="K121" s="554"/>
      <c r="L121" s="555"/>
      <c r="M121" s="556"/>
      <c r="N121" s="1154"/>
      <c r="O121" s="1154"/>
      <c r="P121" s="2684"/>
      <c r="Q121" s="558"/>
    </row>
    <row r="122" spans="1:17" s="470" customFormat="1" ht="15.75" thickBot="1">
      <c r="A122" s="552"/>
      <c r="B122" s="534"/>
      <c r="C122" s="559"/>
      <c r="D122" s="559"/>
      <c r="E122" s="559"/>
      <c r="F122" s="559"/>
      <c r="G122" s="559"/>
      <c r="H122" s="559"/>
      <c r="I122" s="559"/>
      <c r="J122" s="559"/>
      <c r="K122" s="559"/>
      <c r="L122" s="559"/>
      <c r="M122" s="559"/>
      <c r="N122" s="1154"/>
      <c r="O122" s="1154"/>
      <c r="P122" s="2684"/>
      <c r="Q122" s="558"/>
    </row>
    <row r="123" spans="1:17" ht="15" thickTop="1">
      <c r="A123" s="598"/>
      <c r="B123" s="537" t="s">
        <v>2621</v>
      </c>
      <c r="C123" s="553"/>
      <c r="D123" s="553"/>
      <c r="E123" s="553"/>
      <c r="F123" s="582"/>
      <c r="G123" s="582"/>
      <c r="H123" s="582"/>
      <c r="I123" s="582"/>
      <c r="J123" s="582"/>
      <c r="K123" s="583"/>
      <c r="L123" s="584"/>
      <c r="M123" s="585"/>
      <c r="N123" s="1152"/>
      <c r="O123" s="1152"/>
      <c r="P123" s="2683"/>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3"/>
      <c r="O124" s="1153"/>
      <c r="P124" s="2683"/>
      <c r="Q124" s="503"/>
    </row>
    <row r="125" spans="1:17" ht="15" thickTop="1">
      <c r="A125" s="598"/>
      <c r="B125" s="537" t="s">
        <v>2622</v>
      </c>
      <c r="C125" s="577" t="s">
        <v>2598</v>
      </c>
      <c r="D125" s="577" t="s">
        <v>2599</v>
      </c>
      <c r="E125" s="577" t="s">
        <v>2600</v>
      </c>
      <c r="F125" s="577" t="s">
        <v>2601</v>
      </c>
      <c r="G125" s="577" t="s">
        <v>2602</v>
      </c>
      <c r="H125" s="538"/>
      <c r="I125" s="538"/>
      <c r="J125" s="538"/>
      <c r="K125" s="539"/>
      <c r="L125" s="540"/>
      <c r="M125" s="541"/>
      <c r="N125" s="1152"/>
      <c r="O125" s="1152"/>
      <c r="P125" s="2684"/>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3"/>
      <c r="O126" s="1153"/>
      <c r="P126" s="2683"/>
      <c r="Q126" s="503"/>
    </row>
    <row r="127" spans="1:17" s="470" customFormat="1" ht="15" thickTop="1">
      <c r="A127" s="592"/>
      <c r="B127" s="537">
        <f>B45</f>
        <v>111</v>
      </c>
      <c r="C127" s="553"/>
      <c r="D127" s="553"/>
      <c r="E127" s="553"/>
      <c r="F127" s="553"/>
      <c r="G127" s="553"/>
      <c r="H127" s="554"/>
      <c r="I127" s="554"/>
      <c r="J127" s="554"/>
      <c r="K127" s="554"/>
      <c r="L127" s="555"/>
      <c r="M127" s="556"/>
      <c r="N127" s="1154"/>
      <c r="O127" s="1154"/>
      <c r="P127" s="2684"/>
      <c r="Q127" s="558"/>
    </row>
    <row r="128" spans="1:17" s="470" customFormat="1" ht="15.75" thickBot="1">
      <c r="A128" s="552"/>
      <c r="B128" s="542"/>
      <c r="C128" s="559"/>
      <c r="D128" s="535"/>
      <c r="E128" s="535"/>
      <c r="F128" s="535"/>
      <c r="G128" s="559"/>
      <c r="H128" s="561"/>
      <c r="I128" s="561"/>
      <c r="J128" s="561"/>
      <c r="K128" s="561"/>
      <c r="L128" s="561"/>
      <c r="M128" s="562"/>
      <c r="N128" s="1154"/>
      <c r="O128" s="1154"/>
      <c r="P128" s="2684"/>
      <c r="Q128" s="558"/>
    </row>
    <row r="129" spans="1:17" ht="15" thickTop="1">
      <c r="A129" s="598"/>
      <c r="B129" s="537">
        <f>B46</f>
        <v>111</v>
      </c>
      <c r="C129" s="553"/>
      <c r="D129" s="553"/>
      <c r="E129" s="553"/>
      <c r="F129" s="553"/>
      <c r="G129" s="582"/>
      <c r="H129" s="582"/>
      <c r="I129" s="582"/>
      <c r="J129" s="582"/>
      <c r="K129" s="583"/>
      <c r="L129" s="584"/>
      <c r="M129" s="585"/>
      <c r="N129" s="1152"/>
      <c r="O129" s="1152"/>
      <c r="P129" s="2683"/>
      <c r="Q129" s="503"/>
    </row>
    <row r="130" spans="1:17" ht="15.75" thickBot="1">
      <c r="A130" s="533"/>
      <c r="B130" s="542"/>
      <c r="C130" s="559"/>
      <c r="D130" s="559"/>
      <c r="E130" s="559"/>
      <c r="F130" s="559"/>
      <c r="G130" s="535"/>
      <c r="H130" s="535"/>
      <c r="I130" s="535"/>
      <c r="J130" s="535"/>
      <c r="K130" s="535"/>
      <c r="L130" s="535"/>
      <c r="M130" s="536"/>
      <c r="N130" s="1153"/>
      <c r="O130" s="1153"/>
      <c r="P130" s="2683"/>
      <c r="Q130" s="503"/>
    </row>
    <row r="131" spans="1:17" ht="15" thickTop="1">
      <c r="A131" s="598"/>
      <c r="B131" s="545">
        <f>B47</f>
        <v>111</v>
      </c>
      <c r="C131" s="522"/>
      <c r="D131" s="522"/>
      <c r="E131" s="522"/>
      <c r="F131" s="522"/>
      <c r="G131" s="586"/>
      <c r="H131" s="586"/>
      <c r="I131" s="586"/>
      <c r="J131" s="586"/>
      <c r="K131" s="522"/>
      <c r="L131" s="523"/>
      <c r="M131" s="589"/>
      <c r="N131" s="1152"/>
      <c r="O131" s="1152"/>
      <c r="P131" s="2683"/>
      <c r="Q131" s="503"/>
    </row>
    <row r="132" spans="1:17" ht="15.75" thickBot="1">
      <c r="A132" s="2635"/>
      <c r="B132" s="568"/>
      <c r="C132" s="569"/>
      <c r="D132" s="569"/>
      <c r="E132" s="569"/>
      <c r="F132" s="569"/>
      <c r="G132" s="590"/>
      <c r="H132" s="590"/>
      <c r="I132" s="590"/>
      <c r="J132" s="590"/>
      <c r="K132" s="590"/>
      <c r="L132" s="590"/>
      <c r="M132" s="591"/>
      <c r="N132" s="1153"/>
      <c r="O132" s="1153"/>
      <c r="P132" s="2683"/>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6" customWidth="1"/>
    <col min="2" max="16384" width="9" style="1946"/>
  </cols>
  <sheetData>
    <row r="1" spans="1:1" ht="23.25">
      <c r="A1" s="1945" t="s">
        <v>1613</v>
      </c>
    </row>
    <row r="2" spans="1:1">
      <c r="A2" s="1947"/>
    </row>
    <row r="3" spans="1:1" ht="18">
      <c r="A3" s="1948" t="str">
        <f>项目基本情况!B5&amp;"："</f>
        <v>西安胤博置业有限公司：</v>
      </c>
    </row>
    <row r="4" spans="1:1" ht="36">
      <c r="A4" s="1949" t="str">
        <f>"受贵公司委托，我公司对"&amp;项目基本情况!S1&amp;"进行了预评估。"</f>
        <v>受贵公司委托，我公司对陕西省西安市新城区华清西路以南、金花北路以西出让国有建设用地使用权及在建建筑物房地产抵押价值进行了预评估。</v>
      </c>
    </row>
    <row r="5" spans="1:1" ht="18.75">
      <c r="A5" s="1950" t="s">
        <v>1614</v>
      </c>
    </row>
    <row r="6" spans="1:1" ht="18.75">
      <c r="A6" s="1951" t="s">
        <v>1615</v>
      </c>
    </row>
    <row r="7" spans="1:1" ht="72">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陕西省西安市新城区华清西路以南、金花北路以西出让国有建设用地使用权及在建建筑物房地产，为所有。根据《不动产权证书》[陕（2017）西安市不动产权第0000405号]，估价对象（分摊）出让国有建设用地使用权面积为60943.28平方米，建筑面积为210018.96平方米。</v>
      </c>
    </row>
    <row r="8" spans="1:1" ht="57.75">
      <c r="A8" s="1952" t="s">
        <v>1616</v>
      </c>
    </row>
    <row r="9" spans="1:1" ht="18.75">
      <c r="A9" s="1951" t="s">
        <v>1617</v>
      </c>
    </row>
    <row r="10" spans="1:1" ht="90">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陕西省西安市新城区华清西路以南、金花北路以西出让国有建设用地使用权及在建建筑物房地产,属开发建设的居住项目，该项目尚在开发建设中。根据《不动产权证书》[陕（2017）西安市不动产权第0000405号]，估价对象（分摊）出让国有建设用地使用权面积为60943.28平方米，规划建筑面积为210018.96平方米。</v>
      </c>
    </row>
    <row r="11" spans="1:1" ht="76.5">
      <c r="A11" s="1952" t="s">
        <v>1618</v>
      </c>
    </row>
    <row r="12" spans="1:1" ht="18.75">
      <c r="A12" s="1950" t="s">
        <v>1619</v>
      </c>
    </row>
    <row r="13" spans="1:1" ht="38.25" customHeight="1">
      <c r="A13" s="1953" t="str">
        <f>IF(项目基本情况!B8="抵押",IF(项目基本情况!B5=项目基本情况!B6,定义!C51,定义!B51),定义!D51)</f>
        <v>为估价委托人在向中信信托有限责任公司办理贷款手续过程中，确定房地产抵押贷款额度提供参考依据而评估房地产抵押价值。</v>
      </c>
    </row>
    <row r="14" spans="1:1" ht="18.75">
      <c r="A14" s="1954" t="s">
        <v>1620</v>
      </c>
    </row>
    <row r="15" spans="1:1" ht="18">
      <c r="A15" s="1955" t="str">
        <f>TEXT(项目基本情况!D3,"yyyy年m月d日;;")&amp;IF(项目基本情况!D3=项目基本情况!B3,"（评估专业人员实地查勘之日）","")</f>
        <v>2017年10月17日（评估专业人员实地查勘之日）</v>
      </c>
    </row>
    <row r="16" spans="1:1" ht="18.75">
      <c r="A16" s="1954" t="s">
        <v>1621</v>
      </c>
    </row>
    <row r="17" spans="1:1" ht="75">
      <c r="A17" s="1949" t="s">
        <v>1622</v>
      </c>
    </row>
    <row r="18" spans="1:1" ht="72">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10月17日，估价对象规划用途为住宅、商业、地下车库，土地取得方式为出让，出让国有建设用地使用权剩余土地使用年限为住宅69.2年，商业39.2年，地下车库49.2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商业、地下车库，实际开发程度为宗地红线外“七通”（即通路、通电、通讯、通上水、通下水、燃气、通热）、红线内场地平整条件下，剩余土地使用年限为住宅69.2年，商业39.2年，地下车库49.2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9" t="str">
        <f>IF(项目基本情况!B9="房地产市场价值","——",IF(项目基本情况!E9="——","",定义!C57))</f>
        <v/>
      </c>
    </row>
    <row r="23" spans="1:1" ht="18.75">
      <c r="A23" s="1954" t="s">
        <v>1611</v>
      </c>
    </row>
    <row r="24" spans="1:1" ht="18">
      <c r="A24" s="1956" t="str">
        <f>"本次评估采用的主估价方法为"&amp;结果表!K4&amp;"和"&amp;结果表!L4&amp;"。"</f>
        <v>本次评估采用的主估价方法为成本法和假设开发法。</v>
      </c>
    </row>
    <row r="25" spans="1:1" ht="18">
      <c r="A25" s="1956"/>
    </row>
    <row r="26" spans="1:1" ht="18.75">
      <c r="A26" s="1957" t="s">
        <v>1612</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2529</v>
      </c>
      <c r="B1" s="2668" t="s">
        <v>2703</v>
      </c>
      <c r="C1" s="1621" t="s">
        <v>2531</v>
      </c>
      <c r="D1" s="1622"/>
      <c r="E1" s="1631"/>
      <c r="F1" s="2583"/>
      <c r="G1" s="1632" t="s">
        <v>2644</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2331</v>
      </c>
      <c r="B2" s="1418" t="e">
        <f ca="1">IF(C2="——",ROUND(C43*D3/10000,0),ROUND(C43*D3/10000,0)-D2)</f>
        <v>#DIV/0!</v>
      </c>
      <c r="C2" s="2585"/>
      <c r="D2" s="1124" t="e">
        <f ca="1">SUMIF(INDIRECT("'"&amp;F2&amp;"'"&amp;"!A:A"),"承租人权益价值",INDIRECT("'"&amp;F2&amp;"'"&amp;"!c:c"))</f>
        <v>#REF!</v>
      </c>
      <c r="E2" s="2586" t="s">
        <v>2332</v>
      </c>
      <c r="F2" s="2587"/>
      <c r="G2" s="1125"/>
      <c r="H2" s="1125"/>
      <c r="I2" s="1125"/>
      <c r="J2" s="1125"/>
      <c r="K2" s="1125"/>
      <c r="L2" s="1128"/>
      <c r="M2" s="1129"/>
      <c r="N2" s="1129"/>
      <c r="O2" s="1129"/>
      <c r="P2" s="767"/>
      <c r="Q2" s="767"/>
      <c r="R2" s="767"/>
      <c r="S2" s="767"/>
      <c r="T2" s="767"/>
      <c r="U2" s="767"/>
      <c r="V2" s="767"/>
      <c r="W2" s="767"/>
      <c r="X2" s="767"/>
      <c r="Y2" s="767"/>
      <c r="Z2" s="767"/>
      <c r="AA2" s="767"/>
      <c r="AB2" s="767"/>
      <c r="AC2" s="781"/>
    </row>
    <row r="3" spans="1:29" s="397" customFormat="1" ht="28.5" customHeight="1" thickBot="1">
      <c r="A3" s="246" t="s">
        <v>2333</v>
      </c>
      <c r="B3" s="608" t="e">
        <f ca="1">IF(C2="——",C43,ROUND(B2*10000/D3,0))</f>
        <v>#DIV/0!</v>
      </c>
      <c r="C3" s="399" t="s">
        <v>2645</v>
      </c>
      <c r="D3" s="398">
        <f>IF(D1="",'数据-汇总表'!E3,SUMIF('数据-汇总表'!$C19:$C33,D1,'数据-汇总表'!$E19:$E33))</f>
        <v>210018.96</v>
      </c>
      <c r="E3" s="1125"/>
      <c r="F3" s="1126"/>
      <c r="G3" s="1125"/>
      <c r="H3" s="1125"/>
      <c r="I3" s="1125"/>
      <c r="J3" s="1125"/>
      <c r="K3" s="1127"/>
      <c r="L3" s="1128"/>
      <c r="M3" s="1129"/>
      <c r="N3" s="1129"/>
      <c r="O3" s="1129"/>
      <c r="P3" s="767"/>
      <c r="Q3" s="767"/>
      <c r="R3" s="767"/>
      <c r="S3" s="767"/>
      <c r="T3" s="767"/>
      <c r="U3" s="767"/>
      <c r="V3" s="767"/>
      <c r="W3" s="767"/>
      <c r="X3" s="767"/>
      <c r="Y3" s="767"/>
      <c r="Z3" s="767"/>
      <c r="AA3" s="767"/>
      <c r="AB3" s="785"/>
      <c r="AC3" s="781"/>
    </row>
    <row r="4" spans="1:29" ht="15">
      <c r="A4" s="400" t="s">
        <v>2646</v>
      </c>
      <c r="B4" s="401"/>
      <c r="C4" s="3139" t="s">
        <v>2647</v>
      </c>
      <c r="D4" s="3152"/>
      <c r="E4" s="3153" t="s">
        <v>2648</v>
      </c>
      <c r="F4" s="3154"/>
      <c r="G4" s="3139" t="s">
        <v>2649</v>
      </c>
      <c r="H4" s="3152"/>
      <c r="I4" s="3139" t="s">
        <v>2650</v>
      </c>
      <c r="J4" s="3152"/>
      <c r="K4" s="609" t="s">
        <v>2651</v>
      </c>
      <c r="L4" s="1130"/>
      <c r="M4" s="1131"/>
      <c r="N4" s="1131"/>
      <c r="O4" s="1131"/>
      <c r="P4" s="3155" t="s">
        <v>2652</v>
      </c>
      <c r="Q4" s="3156"/>
      <c r="R4" s="3161" t="s">
        <v>2648</v>
      </c>
      <c r="S4" s="3162"/>
      <c r="T4" s="3161" t="s">
        <v>2649</v>
      </c>
      <c r="U4" s="3162"/>
      <c r="V4" s="3148" t="s">
        <v>2650</v>
      </c>
      <c r="W4" s="3148"/>
      <c r="X4" s="1814"/>
      <c r="Y4" s="3161" t="s">
        <v>2652</v>
      </c>
      <c r="Z4" s="3162"/>
      <c r="AA4" s="3149" t="s">
        <v>2648</v>
      </c>
      <c r="AB4" s="3150" t="s">
        <v>2649</v>
      </c>
      <c r="AC4" s="3149" t="s">
        <v>2650</v>
      </c>
    </row>
    <row r="5" spans="1:29" ht="15">
      <c r="A5" s="403"/>
      <c r="B5" s="404"/>
      <c r="C5" s="3213" t="s">
        <v>2543</v>
      </c>
      <c r="D5" s="3170"/>
      <c r="E5" s="3216" t="s">
        <v>2544</v>
      </c>
      <c r="F5" s="3177"/>
      <c r="G5" s="3213" t="s">
        <v>2545</v>
      </c>
      <c r="H5" s="3170"/>
      <c r="I5" s="3213" t="s">
        <v>2546</v>
      </c>
      <c r="J5" s="3170"/>
      <c r="K5" s="609"/>
      <c r="L5" s="1130"/>
      <c r="M5" s="1131"/>
      <c r="N5" s="1131"/>
      <c r="O5" s="1131"/>
      <c r="P5" s="3157"/>
      <c r="Q5" s="3158"/>
      <c r="R5" s="3163"/>
      <c r="S5" s="3164"/>
      <c r="T5" s="3163"/>
      <c r="U5" s="3164"/>
      <c r="V5" s="3148"/>
      <c r="W5" s="3148"/>
      <c r="X5" s="1814"/>
      <c r="Y5" s="3163"/>
      <c r="Z5" s="3164"/>
      <c r="AA5" s="3150"/>
      <c r="AB5" s="3150"/>
      <c r="AC5" s="3150"/>
    </row>
    <row r="6" spans="1:29" ht="15.75" thickBot="1">
      <c r="A6" s="405"/>
      <c r="B6" s="406"/>
      <c r="C6" s="3214" t="s">
        <v>2547</v>
      </c>
      <c r="D6" s="3168"/>
      <c r="E6" s="3215" t="s">
        <v>2547</v>
      </c>
      <c r="F6" s="3175"/>
      <c r="G6" s="3214" t="s">
        <v>2547</v>
      </c>
      <c r="H6" s="3168"/>
      <c r="I6" s="3214" t="s">
        <v>2547</v>
      </c>
      <c r="J6" s="3168"/>
      <c r="K6" s="609" t="s">
        <v>2548</v>
      </c>
      <c r="L6" s="1130"/>
      <c r="M6" s="1131"/>
      <c r="N6" s="1131"/>
      <c r="O6" s="1131"/>
      <c r="P6" s="3159"/>
      <c r="Q6" s="3160"/>
      <c r="R6" s="3163"/>
      <c r="S6" s="3164"/>
      <c r="T6" s="3165"/>
      <c r="U6" s="3166"/>
      <c r="V6" s="3148"/>
      <c r="W6" s="3148"/>
      <c r="X6" s="1814"/>
      <c r="Y6" s="3165"/>
      <c r="Z6" s="3166"/>
      <c r="AA6" s="3151"/>
      <c r="AB6" s="3151"/>
      <c r="AC6" s="3151"/>
    </row>
    <row r="7" spans="1:29" s="116" customFormat="1" ht="15.75" thickBot="1">
      <c r="A7" s="407" t="s">
        <v>2549</v>
      </c>
      <c r="B7" s="408"/>
      <c r="C7" s="409">
        <f>'数据-取费表'!B2</f>
        <v>43025</v>
      </c>
      <c r="D7" s="410">
        <v>100</v>
      </c>
      <c r="E7" s="411"/>
      <c r="F7" s="412">
        <f>SUMIF(52:52,YEAR(E7)&amp;"-"&amp;MONTH(E7),53:53)</f>
        <v>0</v>
      </c>
      <c r="G7" s="411"/>
      <c r="H7" s="410">
        <f>SUMIF(52:52,YEAR(G7)&amp;"-"&amp;MONTH(G7),53:53)</f>
        <v>0</v>
      </c>
      <c r="I7" s="411"/>
      <c r="J7" s="410">
        <f>SUMIF(52:52,YEAR(I7)&amp;"-"&amp;MONTH(I7),53:53)</f>
        <v>0</v>
      </c>
      <c r="K7" s="610"/>
      <c r="L7" s="1132"/>
      <c r="M7" s="1133"/>
      <c r="N7" s="1133"/>
      <c r="O7" s="1133"/>
      <c r="P7" s="3171" t="s">
        <v>2550</v>
      </c>
      <c r="Q7" s="3173"/>
      <c r="R7" s="769" t="s">
        <v>17</v>
      </c>
      <c r="S7" s="770">
        <f t="shared" ref="S7:S15" si="0">F7</f>
        <v>0</v>
      </c>
      <c r="T7" s="769" t="s">
        <v>17</v>
      </c>
      <c r="U7" s="770">
        <f t="shared" ref="U7:U15" si="1">H7</f>
        <v>0</v>
      </c>
      <c r="V7" s="769" t="s">
        <v>17</v>
      </c>
      <c r="W7" s="770">
        <f t="shared" ref="W7:W15" si="2">J7</f>
        <v>0</v>
      </c>
      <c r="X7" s="771"/>
      <c r="Y7" s="3171" t="s">
        <v>2550</v>
      </c>
      <c r="Z7" s="3172"/>
      <c r="AA7" s="772" t="e">
        <f>D7/F7</f>
        <v>#DIV/0!</v>
      </c>
      <c r="AB7" s="772" t="e">
        <f>D7/H7</f>
        <v>#DIV/0!</v>
      </c>
      <c r="AC7" s="772" t="e">
        <f>D7/J7</f>
        <v>#DIV/0!</v>
      </c>
    </row>
    <row r="8" spans="1:29" s="116" customFormat="1" ht="15.75" thickBot="1">
      <c r="A8" s="407" t="s">
        <v>2551</v>
      </c>
      <c r="B8" s="408"/>
      <c r="C8" s="413" t="s">
        <v>2552</v>
      </c>
      <c r="D8" s="410">
        <v>100</v>
      </c>
      <c r="E8" s="413"/>
      <c r="F8" s="412">
        <f>SUMIF(55:55,E8,56:56)-SUMIF(55:55,C8,56:56)+100</f>
        <v>0</v>
      </c>
      <c r="G8" s="413"/>
      <c r="H8" s="410">
        <f>SUMIF(55:55,G8,56:56)-SUMIF(55:55,C8,56:56)+100</f>
        <v>0</v>
      </c>
      <c r="I8" s="413"/>
      <c r="J8" s="410">
        <f>SUMIF(55:55,I8,56:56)-SUMIF(55:55,C8,56:56)+100</f>
        <v>0</v>
      </c>
      <c r="K8" s="610"/>
      <c r="L8" s="1132"/>
      <c r="M8" s="1133"/>
      <c r="N8" s="1133"/>
      <c r="O8" s="1133"/>
      <c r="P8" s="3171" t="s">
        <v>2553</v>
      </c>
      <c r="Q8" s="3172"/>
      <c r="R8" s="769" t="s">
        <v>17</v>
      </c>
      <c r="S8" s="770">
        <f t="shared" si="0"/>
        <v>0</v>
      </c>
      <c r="T8" s="769" t="s">
        <v>17</v>
      </c>
      <c r="U8" s="770">
        <f t="shared" si="1"/>
        <v>0</v>
      </c>
      <c r="V8" s="769" t="s">
        <v>17</v>
      </c>
      <c r="W8" s="770">
        <f t="shared" si="2"/>
        <v>0</v>
      </c>
      <c r="X8" s="771"/>
      <c r="Y8" s="3171" t="s">
        <v>2553</v>
      </c>
      <c r="Z8" s="3172"/>
      <c r="AA8" s="772" t="e">
        <f t="shared" ref="AA8:AA40" si="3">D8/F8</f>
        <v>#DIV/0!</v>
      </c>
      <c r="AB8" s="772" t="e">
        <f t="shared" ref="AB8:AB40" si="4">D8/H8</f>
        <v>#DIV/0!</v>
      </c>
      <c r="AC8" s="772" t="e">
        <f t="shared" ref="AC8:AC40" si="5">D8/J8</f>
        <v>#DIV/0!</v>
      </c>
    </row>
    <row r="9" spans="1:29" s="116" customFormat="1">
      <c r="A9" s="414" t="s">
        <v>2554</v>
      </c>
      <c r="B9" s="70" t="s">
        <v>2555</v>
      </c>
      <c r="C9" s="415"/>
      <c r="D9" s="133">
        <v>100</v>
      </c>
      <c r="E9" s="418"/>
      <c r="F9" s="133">
        <f>SUMIF(57:57,E9,58:58)-SUMIF(57:57,C9,58:58)+100</f>
        <v>100</v>
      </c>
      <c r="G9" s="416"/>
      <c r="H9" s="133">
        <f>SUMIF(57:57,G9,58:58)-SUMIF(57:57,C9,58:58)+100</f>
        <v>100</v>
      </c>
      <c r="I9" s="416"/>
      <c r="J9" s="133">
        <f>SUMIF(57:57,I9,58:58)-SUMIF(57:57,C9,58:58)+100</f>
        <v>100</v>
      </c>
      <c r="K9" s="610"/>
      <c r="L9" s="1132"/>
      <c r="M9" s="1133"/>
      <c r="N9" s="1133"/>
      <c r="O9" s="1134"/>
      <c r="P9" s="3142" t="s">
        <v>2556</v>
      </c>
      <c r="Q9" s="1796" t="str">
        <f t="shared" ref="Q9:Q15" si="6">B9</f>
        <v>用途</v>
      </c>
      <c r="R9" s="769" t="s">
        <v>17</v>
      </c>
      <c r="S9" s="770">
        <f t="shared" si="0"/>
        <v>100</v>
      </c>
      <c r="T9" s="769" t="s">
        <v>17</v>
      </c>
      <c r="U9" s="770">
        <f t="shared" si="1"/>
        <v>100</v>
      </c>
      <c r="V9" s="769" t="s">
        <v>17</v>
      </c>
      <c r="W9" s="770">
        <f t="shared" si="2"/>
        <v>100</v>
      </c>
      <c r="X9" s="771"/>
      <c r="Y9" s="2990" t="s">
        <v>2557</v>
      </c>
      <c r="Z9" s="55" t="str">
        <f t="shared" ref="Z9:Z15" si="7">Q9</f>
        <v>用途</v>
      </c>
      <c r="AA9" s="772">
        <f t="shared" si="3"/>
        <v>1</v>
      </c>
      <c r="AB9" s="772">
        <f t="shared" si="4"/>
        <v>1</v>
      </c>
      <c r="AC9" s="772">
        <f t="shared" si="5"/>
        <v>1</v>
      </c>
    </row>
    <row r="10" spans="1:29" s="426" customFormat="1" ht="27">
      <c r="A10" s="420"/>
      <c r="B10" s="421" t="s">
        <v>2558</v>
      </c>
      <c r="C10" s="422"/>
      <c r="D10" s="134">
        <v>100</v>
      </c>
      <c r="E10" s="422"/>
      <c r="F10" s="134">
        <f>SUMIF(59:59,E10,60:60)-SUMIF(59:59,C10,60:60)+100</f>
        <v>100</v>
      </c>
      <c r="G10" s="423"/>
      <c r="H10" s="134">
        <f>SUMIF(59:59,G10,60:60)-SUMIF(59:59,C10,60:60)+100</f>
        <v>100</v>
      </c>
      <c r="I10" s="422"/>
      <c r="J10" s="134">
        <f>SUMIF(59:59,I10,60:60)-SUMIF(59:59,C10,60:60)+100</f>
        <v>100</v>
      </c>
      <c r="K10" s="611"/>
      <c r="L10" s="1135"/>
      <c r="M10" s="1136"/>
      <c r="N10" s="1136"/>
      <c r="O10" s="1137"/>
      <c r="P10" s="3142"/>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29" ht="15">
      <c r="A11" s="427"/>
      <c r="B11" s="421" t="s">
        <v>2559</v>
      </c>
      <c r="C11" s="428"/>
      <c r="D11" s="134">
        <v>100</v>
      </c>
      <c r="E11" s="428"/>
      <c r="F11" s="134" t="e">
        <f>LOOKUP(E11,62:62,63:63)-LOOKUP(C11,62:62,63:63)+100</f>
        <v>#N/A</v>
      </c>
      <c r="G11" s="429"/>
      <c r="H11" s="134" t="e">
        <f>LOOKUP(G11,62:62,63:63)-LOOKUP(C11,62:62,63:63)+100</f>
        <v>#N/A</v>
      </c>
      <c r="I11" s="428"/>
      <c r="J11" s="134" t="e">
        <f>LOOKUP(I11,62:62,63:63)-LOOKUP(C11,62:62,63:63)+100</f>
        <v>#N/A</v>
      </c>
      <c r="K11" s="611"/>
      <c r="L11" s="1138"/>
      <c r="M11" s="1131"/>
      <c r="N11" s="1131"/>
      <c r="O11" s="1139"/>
      <c r="P11" s="3142"/>
      <c r="Q11" s="1796" t="str">
        <f t="shared" si="6"/>
        <v>容积率</v>
      </c>
      <c r="R11" s="769" t="s">
        <v>17</v>
      </c>
      <c r="S11" s="770" t="e">
        <f t="shared" si="0"/>
        <v>#N/A</v>
      </c>
      <c r="T11" s="769" t="s">
        <v>17</v>
      </c>
      <c r="U11" s="770" t="e">
        <f t="shared" si="1"/>
        <v>#N/A</v>
      </c>
      <c r="V11" s="769" t="s">
        <v>17</v>
      </c>
      <c r="W11" s="770" t="e">
        <f t="shared" si="2"/>
        <v>#N/A</v>
      </c>
      <c r="X11" s="771"/>
      <c r="Y11" s="2990"/>
      <c r="Z11" s="55" t="str">
        <f t="shared" si="7"/>
        <v>容积率</v>
      </c>
      <c r="AA11" s="772" t="e">
        <f t="shared" si="3"/>
        <v>#N/A</v>
      </c>
      <c r="AB11" s="772" t="e">
        <f t="shared" si="4"/>
        <v>#N/A</v>
      </c>
      <c r="AC11" s="772" t="e">
        <f t="shared" si="5"/>
        <v>#N/A</v>
      </c>
    </row>
    <row r="12" spans="1:29" s="116" customFormat="1" ht="15">
      <c r="A12" s="430"/>
      <c r="B12" s="2599">
        <v>111</v>
      </c>
      <c r="C12" s="431"/>
      <c r="D12" s="432">
        <v>100</v>
      </c>
      <c r="E12" s="433"/>
      <c r="F12" s="134">
        <f>SUMIF(64:64,E12,65:65)-SUMIF(64:64,C12,65:65)+100</f>
        <v>100</v>
      </c>
      <c r="G12" s="2691"/>
      <c r="H12" s="134">
        <f>SUMIF(64:64,G12,65:65)-SUMIF(64:64,C12,65:65)+100</f>
        <v>100</v>
      </c>
      <c r="I12" s="468"/>
      <c r="J12" s="134">
        <f>SUMIF(64:64,I12,65:65)-SUMIF(64:64,C12,65:65)+100</f>
        <v>100</v>
      </c>
      <c r="K12" s="612"/>
      <c r="L12" s="1132"/>
      <c r="M12" s="1133"/>
      <c r="N12" s="1133"/>
      <c r="O12" s="1134"/>
      <c r="P12" s="3142"/>
      <c r="Q12" s="1796">
        <f t="shared" si="6"/>
        <v>111</v>
      </c>
      <c r="R12" s="769" t="s">
        <v>17</v>
      </c>
      <c r="S12" s="770">
        <f t="shared" si="0"/>
        <v>100</v>
      </c>
      <c r="T12" s="769" t="s">
        <v>17</v>
      </c>
      <c r="U12" s="770">
        <f t="shared" si="1"/>
        <v>100</v>
      </c>
      <c r="V12" s="769" t="s">
        <v>17</v>
      </c>
      <c r="W12" s="770">
        <f t="shared" si="2"/>
        <v>100</v>
      </c>
      <c r="X12" s="771"/>
      <c r="Y12" s="2990"/>
      <c r="Z12" s="55">
        <f t="shared" si="7"/>
        <v>111</v>
      </c>
      <c r="AA12" s="772">
        <f>D12/F12</f>
        <v>1</v>
      </c>
      <c r="AB12" s="772">
        <f>D12/H12</f>
        <v>1</v>
      </c>
      <c r="AC12" s="772">
        <f>D12/J12</f>
        <v>1</v>
      </c>
    </row>
    <row r="13" spans="1:29" ht="15">
      <c r="A13" s="427"/>
      <c r="B13" s="2599">
        <v>111</v>
      </c>
      <c r="C13" s="433"/>
      <c r="D13" s="434">
        <v>100</v>
      </c>
      <c r="E13" s="433"/>
      <c r="F13" s="134">
        <f>SUMIF(66:66,E13,67:67)-SUMIF(66:66,C13,67:67)+100</f>
        <v>100</v>
      </c>
      <c r="G13" s="2691"/>
      <c r="H13" s="434">
        <f>SUMIF(66:66,G13,67:67)-SUMIF(66:66,C13,67:67)+100</f>
        <v>100</v>
      </c>
      <c r="I13" s="468"/>
      <c r="J13" s="434">
        <f>SUMIF(66:66,I13,67:67)-SUMIF(66:66,C13,67:67)+100</f>
        <v>100</v>
      </c>
      <c r="K13" s="612"/>
      <c r="L13" s="1140"/>
      <c r="M13" s="1131"/>
      <c r="N13" s="1131"/>
      <c r="O13" s="1139"/>
      <c r="P13" s="3142"/>
      <c r="Q13" s="1796">
        <f t="shared" si="6"/>
        <v>111</v>
      </c>
      <c r="R13" s="769" t="s">
        <v>17</v>
      </c>
      <c r="S13" s="770">
        <f t="shared" si="0"/>
        <v>100</v>
      </c>
      <c r="T13" s="769" t="s">
        <v>17</v>
      </c>
      <c r="U13" s="770">
        <f t="shared" si="1"/>
        <v>100</v>
      </c>
      <c r="V13" s="769" t="s">
        <v>17</v>
      </c>
      <c r="W13" s="770">
        <f t="shared" si="2"/>
        <v>100</v>
      </c>
      <c r="X13" s="771"/>
      <c r="Y13" s="2990"/>
      <c r="Z13" s="55">
        <f t="shared" si="7"/>
        <v>111</v>
      </c>
      <c r="AA13" s="772">
        <f t="shared" si="3"/>
        <v>1</v>
      </c>
      <c r="AB13" s="772">
        <f t="shared" si="4"/>
        <v>1</v>
      </c>
      <c r="AC13" s="772">
        <f t="shared" si="5"/>
        <v>1</v>
      </c>
    </row>
    <row r="14" spans="1:29" ht="15.75" thickBot="1">
      <c r="A14" s="435"/>
      <c r="B14" s="2601">
        <v>111</v>
      </c>
      <c r="C14" s="436"/>
      <c r="D14" s="437">
        <v>100</v>
      </c>
      <c r="E14" s="436"/>
      <c r="F14" s="437">
        <f>SUMIF(68:68,E14,69:69)-SUMIF(68:68,C14,69:69)+100</f>
        <v>100</v>
      </c>
      <c r="G14" s="2691"/>
      <c r="H14" s="437">
        <f>SUMIF(68:68,G14,69:69)-SUMIF(68:68,C14,69:69)+100</f>
        <v>100</v>
      </c>
      <c r="I14" s="468"/>
      <c r="J14" s="437">
        <f>SUMIF(68:68,I14,69:69)-SUMIF(68:68,C14,69:69)+100</f>
        <v>100</v>
      </c>
      <c r="K14" s="612"/>
      <c r="L14" s="1140"/>
      <c r="M14" s="1131"/>
      <c r="N14" s="1131"/>
      <c r="O14" s="1139"/>
      <c r="P14" s="3142"/>
      <c r="Q14" s="1796">
        <f t="shared" si="6"/>
        <v>111</v>
      </c>
      <c r="R14" s="769" t="s">
        <v>17</v>
      </c>
      <c r="S14" s="770">
        <f t="shared" si="0"/>
        <v>100</v>
      </c>
      <c r="T14" s="769" t="s">
        <v>17</v>
      </c>
      <c r="U14" s="770">
        <f t="shared" si="1"/>
        <v>100</v>
      </c>
      <c r="V14" s="769" t="s">
        <v>17</v>
      </c>
      <c r="W14" s="770">
        <f t="shared" si="2"/>
        <v>100</v>
      </c>
      <c r="X14" s="771"/>
      <c r="Y14" s="2990"/>
      <c r="Z14" s="55">
        <f t="shared" si="7"/>
        <v>111</v>
      </c>
      <c r="AA14" s="772">
        <f t="shared" si="3"/>
        <v>1</v>
      </c>
      <c r="AB14" s="772">
        <f t="shared" si="4"/>
        <v>1</v>
      </c>
      <c r="AC14" s="772">
        <f t="shared" si="5"/>
        <v>1</v>
      </c>
    </row>
    <row r="15" spans="1:29" ht="57">
      <c r="A15" s="439" t="s">
        <v>2560</v>
      </c>
      <c r="B15" s="68" t="s">
        <v>2704</v>
      </c>
      <c r="C15" s="2692"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0"/>
      <c r="M15" s="1131"/>
      <c r="N15" s="1131"/>
      <c r="O15" s="1139"/>
      <c r="P15" s="3144" t="s">
        <v>2561</v>
      </c>
      <c r="Q15" s="1811" t="str">
        <f t="shared" si="6"/>
        <v>产业集聚程度</v>
      </c>
      <c r="R15" s="773" t="s">
        <v>17</v>
      </c>
      <c r="S15" s="774">
        <f t="shared" si="0"/>
        <v>100</v>
      </c>
      <c r="T15" s="773" t="s">
        <v>17</v>
      </c>
      <c r="U15" s="774">
        <f t="shared" si="1"/>
        <v>100</v>
      </c>
      <c r="V15" s="773" t="s">
        <v>17</v>
      </c>
      <c r="W15" s="774">
        <f t="shared" si="2"/>
        <v>100</v>
      </c>
      <c r="X15" s="1814"/>
      <c r="Y15" s="3144" t="s">
        <v>2561</v>
      </c>
      <c r="Z15" s="1815" t="str">
        <f t="shared" si="7"/>
        <v>产业集聚程度</v>
      </c>
      <c r="AA15" s="1812">
        <f t="shared" si="3"/>
        <v>1</v>
      </c>
      <c r="AB15" s="1812">
        <f t="shared" si="4"/>
        <v>1</v>
      </c>
      <c r="AC15" s="1812">
        <f t="shared" si="5"/>
        <v>1</v>
      </c>
    </row>
    <row r="16" spans="1:29" ht="15">
      <c r="A16" s="427"/>
      <c r="B16" s="445"/>
      <c r="C16" s="446"/>
      <c r="D16" s="447"/>
      <c r="E16" s="446"/>
      <c r="F16" s="448"/>
      <c r="G16" s="446"/>
      <c r="H16" s="449"/>
      <c r="I16" s="446"/>
      <c r="J16" s="447"/>
      <c r="K16" s="614"/>
      <c r="L16" s="1140"/>
      <c r="M16" s="1131"/>
      <c r="N16" s="1131"/>
      <c r="O16" s="1139"/>
      <c r="P16" s="3145"/>
      <c r="Q16" s="1811"/>
      <c r="R16" s="773"/>
      <c r="S16" s="774"/>
      <c r="T16" s="773"/>
      <c r="U16" s="774"/>
      <c r="V16" s="773"/>
      <c r="W16" s="774"/>
      <c r="X16" s="1814"/>
      <c r="Y16" s="3145"/>
      <c r="Z16" s="1815"/>
      <c r="AA16" s="1812">
        <v>1</v>
      </c>
      <c r="AB16" s="1812">
        <v>1</v>
      </c>
      <c r="AC16" s="1812">
        <v>1</v>
      </c>
    </row>
    <row r="17" spans="1:29" ht="85.5">
      <c r="A17" s="427"/>
      <c r="B17" s="450" t="s">
        <v>2099</v>
      </c>
      <c r="C17" s="2606"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0"/>
      <c r="M17" s="1131"/>
      <c r="N17" s="1131"/>
      <c r="O17" s="1139"/>
      <c r="P17" s="3145"/>
      <c r="Q17" s="1811" t="str">
        <f>B17</f>
        <v>交通便捷度</v>
      </c>
      <c r="R17" s="773" t="s">
        <v>17</v>
      </c>
      <c r="S17" s="774">
        <f>F17</f>
        <v>100</v>
      </c>
      <c r="T17" s="773" t="s">
        <v>17</v>
      </c>
      <c r="U17" s="774">
        <f>H17</f>
        <v>100</v>
      </c>
      <c r="V17" s="773" t="s">
        <v>17</v>
      </c>
      <c r="W17" s="774">
        <f>J17</f>
        <v>100</v>
      </c>
      <c r="X17" s="1814"/>
      <c r="Y17" s="3145"/>
      <c r="Z17" s="1815" t="str">
        <f>Q17</f>
        <v>交通便捷度</v>
      </c>
      <c r="AA17" s="1812">
        <f t="shared" si="3"/>
        <v>1</v>
      </c>
      <c r="AB17" s="1812">
        <f t="shared" si="4"/>
        <v>1</v>
      </c>
      <c r="AC17" s="1812">
        <f t="shared" si="5"/>
        <v>1</v>
      </c>
    </row>
    <row r="18" spans="1:29" ht="15">
      <c r="A18" s="427"/>
      <c r="B18" s="455"/>
      <c r="C18" s="2607"/>
      <c r="D18" s="449"/>
      <c r="E18" s="2609"/>
      <c r="F18" s="452"/>
      <c r="G18" s="2608"/>
      <c r="H18" s="447"/>
      <c r="I18" s="2609"/>
      <c r="J18" s="447"/>
      <c r="K18" s="614"/>
      <c r="L18" s="1140"/>
      <c r="M18" s="1131"/>
      <c r="N18" s="1131"/>
      <c r="O18" s="1139"/>
      <c r="P18" s="3145"/>
      <c r="Q18" s="1811"/>
      <c r="R18" s="773"/>
      <c r="S18" s="774"/>
      <c r="T18" s="773"/>
      <c r="U18" s="774"/>
      <c r="V18" s="773"/>
      <c r="W18" s="774"/>
      <c r="X18" s="1814"/>
      <c r="Y18" s="3145"/>
      <c r="Z18" s="1815"/>
      <c r="AA18" s="1812">
        <v>1</v>
      </c>
      <c r="AB18" s="1812">
        <v>1</v>
      </c>
      <c r="AC18" s="1812">
        <v>1</v>
      </c>
    </row>
    <row r="19" spans="1:29" ht="42.75">
      <c r="A19" s="427"/>
      <c r="B19" s="450" t="s">
        <v>2689</v>
      </c>
      <c r="C19" s="2606"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0"/>
      <c r="M19" s="1131"/>
      <c r="N19" s="1131"/>
      <c r="O19" s="1139"/>
      <c r="P19" s="3145"/>
      <c r="Q19" s="1811" t="str">
        <f>B19</f>
        <v>公共配套设施</v>
      </c>
      <c r="R19" s="773" t="s">
        <v>17</v>
      </c>
      <c r="S19" s="774">
        <f>F19</f>
        <v>100</v>
      </c>
      <c r="T19" s="773" t="s">
        <v>17</v>
      </c>
      <c r="U19" s="774">
        <f>H19</f>
        <v>100</v>
      </c>
      <c r="V19" s="773" t="s">
        <v>17</v>
      </c>
      <c r="W19" s="774">
        <f>J19</f>
        <v>100</v>
      </c>
      <c r="X19" s="1814"/>
      <c r="Y19" s="3145"/>
      <c r="Z19" s="1815" t="str">
        <f>Q19</f>
        <v>公共配套设施</v>
      </c>
      <c r="AA19" s="1812">
        <f t="shared" si="3"/>
        <v>1</v>
      </c>
      <c r="AB19" s="1812">
        <f t="shared" si="4"/>
        <v>1</v>
      </c>
      <c r="AC19" s="1812">
        <f t="shared" si="5"/>
        <v>1</v>
      </c>
    </row>
    <row r="20" spans="1:29" ht="15">
      <c r="A20" s="427"/>
      <c r="B20" s="455"/>
      <c r="C20" s="446"/>
      <c r="D20" s="447"/>
      <c r="E20" s="2604"/>
      <c r="F20" s="448"/>
      <c r="G20" s="2603"/>
      <c r="H20" s="447"/>
      <c r="I20" s="2604"/>
      <c r="J20" s="447"/>
      <c r="K20" s="614"/>
      <c r="L20" s="1140"/>
      <c r="M20" s="1131"/>
      <c r="N20" s="1131"/>
      <c r="O20" s="1139"/>
      <c r="P20" s="3145"/>
      <c r="Q20" s="1811"/>
      <c r="R20" s="773"/>
      <c r="S20" s="774"/>
      <c r="T20" s="773"/>
      <c r="U20" s="774"/>
      <c r="V20" s="773"/>
      <c r="W20" s="774"/>
      <c r="X20" s="1814"/>
      <c r="Y20" s="3145"/>
      <c r="Z20" s="1815"/>
      <c r="AA20" s="1812">
        <v>1</v>
      </c>
      <c r="AB20" s="1812">
        <v>1</v>
      </c>
      <c r="AC20" s="1812">
        <v>1</v>
      </c>
    </row>
    <row r="21" spans="1:29" ht="28.5">
      <c r="A21" s="427"/>
      <c r="B21" s="1384" t="s">
        <v>2690</v>
      </c>
      <c r="C21" s="2606"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0"/>
      <c r="M21" s="1131"/>
      <c r="N21" s="1131"/>
      <c r="O21" s="1139"/>
      <c r="P21" s="3145"/>
      <c r="Q21" s="1811" t="str">
        <f>B21</f>
        <v>基础设施水平</v>
      </c>
      <c r="R21" s="773" t="s">
        <v>17</v>
      </c>
      <c r="S21" s="774">
        <f>F21</f>
        <v>100</v>
      </c>
      <c r="T21" s="773" t="s">
        <v>17</v>
      </c>
      <c r="U21" s="774">
        <f>H21</f>
        <v>100</v>
      </c>
      <c r="V21" s="773" t="s">
        <v>17</v>
      </c>
      <c r="W21" s="774">
        <f>J21</f>
        <v>100</v>
      </c>
      <c r="X21" s="1814"/>
      <c r="Y21" s="3145"/>
      <c r="Z21" s="1815" t="str">
        <f>Q21</f>
        <v>基础设施水平</v>
      </c>
      <c r="AA21" s="1812">
        <f t="shared" ref="AA21" si="8">D21/F21</f>
        <v>1</v>
      </c>
      <c r="AB21" s="1812">
        <f t="shared" ref="AB21" si="9">D21/H21</f>
        <v>1</v>
      </c>
      <c r="AC21" s="1812">
        <f t="shared" ref="AC21" si="10">D21/J21</f>
        <v>1</v>
      </c>
    </row>
    <row r="22" spans="1:29" ht="15">
      <c r="A22" s="427"/>
      <c r="B22" s="1384"/>
      <c r="C22" s="2607"/>
      <c r="D22" s="447"/>
      <c r="E22" s="446"/>
      <c r="F22" s="448"/>
      <c r="G22" s="446"/>
      <c r="H22" s="447"/>
      <c r="I22" s="446"/>
      <c r="J22" s="447"/>
      <c r="K22" s="1383"/>
      <c r="L22" s="1140"/>
      <c r="M22" s="1131"/>
      <c r="N22" s="1131"/>
      <c r="O22" s="1139"/>
      <c r="P22" s="3145"/>
      <c r="Q22" s="1811"/>
      <c r="R22" s="773"/>
      <c r="S22" s="774"/>
      <c r="T22" s="773"/>
      <c r="U22" s="774"/>
      <c r="V22" s="773"/>
      <c r="W22" s="774"/>
      <c r="X22" s="1814"/>
      <c r="Y22" s="3145"/>
      <c r="Z22" s="1815"/>
      <c r="AA22" s="1812">
        <v>1</v>
      </c>
      <c r="AB22" s="1812">
        <v>1</v>
      </c>
      <c r="AC22" s="1812">
        <v>1</v>
      </c>
    </row>
    <row r="23" spans="1:29" ht="71.25">
      <c r="A23" s="427"/>
      <c r="B23" s="450" t="s">
        <v>2691</v>
      </c>
      <c r="C23" s="2606"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0"/>
      <c r="M23" s="1131"/>
      <c r="N23" s="1131"/>
      <c r="O23" s="1139"/>
      <c r="P23" s="3145"/>
      <c r="Q23" s="1811" t="str">
        <f>B23</f>
        <v>环境质量</v>
      </c>
      <c r="R23" s="773" t="s">
        <v>17</v>
      </c>
      <c r="S23" s="774">
        <f>F23</f>
        <v>100</v>
      </c>
      <c r="T23" s="773" t="s">
        <v>17</v>
      </c>
      <c r="U23" s="774">
        <f>H23</f>
        <v>100</v>
      </c>
      <c r="V23" s="773" t="s">
        <v>17</v>
      </c>
      <c r="W23" s="774">
        <f>J23</f>
        <v>100</v>
      </c>
      <c r="X23" s="1814"/>
      <c r="Y23" s="3145"/>
      <c r="Z23" s="1815" t="str">
        <f>Q23</f>
        <v>环境质量</v>
      </c>
      <c r="AA23" s="1812">
        <f t="shared" si="3"/>
        <v>1</v>
      </c>
      <c r="AB23" s="1812">
        <f t="shared" si="4"/>
        <v>1</v>
      </c>
      <c r="AC23" s="1812">
        <f t="shared" si="5"/>
        <v>1</v>
      </c>
    </row>
    <row r="24" spans="1:29" ht="15">
      <c r="A24" s="427"/>
      <c r="B24" s="1384"/>
      <c r="C24" s="446"/>
      <c r="D24" s="447"/>
      <c r="E24" s="2604"/>
      <c r="F24" s="448"/>
      <c r="G24" s="2603"/>
      <c r="H24" s="447"/>
      <c r="I24" s="2604"/>
      <c r="J24" s="447"/>
      <c r="K24" s="614"/>
      <c r="L24" s="1140"/>
      <c r="M24" s="1131"/>
      <c r="N24" s="1131"/>
      <c r="O24" s="1139"/>
      <c r="P24" s="3145"/>
      <c r="Q24" s="1811"/>
      <c r="R24" s="773"/>
      <c r="S24" s="774"/>
      <c r="T24" s="773"/>
      <c r="U24" s="774"/>
      <c r="V24" s="773"/>
      <c r="W24" s="774"/>
      <c r="X24" s="1814"/>
      <c r="Y24" s="3145"/>
      <c r="Z24" s="1815"/>
      <c r="AA24" s="1812">
        <v>1</v>
      </c>
      <c r="AB24" s="1812">
        <v>1</v>
      </c>
      <c r="AC24" s="1812">
        <v>1</v>
      </c>
    </row>
    <row r="25" spans="1:29" ht="15">
      <c r="A25" s="403"/>
      <c r="B25" s="1386">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0"/>
      <c r="M25" s="1131"/>
      <c r="N25" s="1131"/>
      <c r="O25" s="1139"/>
      <c r="P25" s="3145"/>
      <c r="Q25" s="1811">
        <f>B25</f>
        <v>111</v>
      </c>
      <c r="R25" s="773" t="s">
        <v>17</v>
      </c>
      <c r="S25" s="774">
        <f>F25</f>
        <v>100</v>
      </c>
      <c r="T25" s="773" t="s">
        <v>17</v>
      </c>
      <c r="U25" s="774">
        <f>H25</f>
        <v>100</v>
      </c>
      <c r="V25" s="773" t="s">
        <v>17</v>
      </c>
      <c r="W25" s="774">
        <f>J25</f>
        <v>100</v>
      </c>
      <c r="X25" s="1814"/>
      <c r="Y25" s="3145"/>
      <c r="Z25" s="1815">
        <f>Q25</f>
        <v>111</v>
      </c>
      <c r="AA25" s="1812">
        <f t="shared" si="3"/>
        <v>1</v>
      </c>
      <c r="AB25" s="1812">
        <f t="shared" si="4"/>
        <v>1</v>
      </c>
      <c r="AC25" s="1812">
        <f t="shared" si="5"/>
        <v>1</v>
      </c>
    </row>
    <row r="26" spans="1:29" ht="15">
      <c r="A26" s="427"/>
      <c r="B26" s="1386">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0"/>
      <c r="M26" s="1131"/>
      <c r="N26" s="1131"/>
      <c r="O26" s="1139"/>
      <c r="P26" s="3145"/>
      <c r="Q26" s="1811">
        <f t="shared" ref="Q26:Q40" si="11">B26</f>
        <v>111</v>
      </c>
      <c r="R26" s="773" t="s">
        <v>17</v>
      </c>
      <c r="S26" s="774">
        <f>F26</f>
        <v>100</v>
      </c>
      <c r="T26" s="773" t="s">
        <v>17</v>
      </c>
      <c r="U26" s="774">
        <f>H26</f>
        <v>100</v>
      </c>
      <c r="V26" s="773" t="s">
        <v>17</v>
      </c>
      <c r="W26" s="774">
        <f>J26</f>
        <v>100</v>
      </c>
      <c r="X26" s="1814"/>
      <c r="Y26" s="3145"/>
      <c r="Z26" s="1815">
        <f>Q26</f>
        <v>111</v>
      </c>
      <c r="AA26" s="1812">
        <f t="shared" si="3"/>
        <v>1</v>
      </c>
      <c r="AB26" s="1812">
        <f t="shared" si="4"/>
        <v>1</v>
      </c>
      <c r="AC26" s="1812">
        <f t="shared" si="5"/>
        <v>1</v>
      </c>
    </row>
    <row r="27" spans="1:29" s="116" customFormat="1" ht="15">
      <c r="A27" s="430"/>
      <c r="B27" s="1386">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2"/>
      <c r="M27" s="1133"/>
      <c r="N27" s="1133"/>
      <c r="O27" s="1134"/>
      <c r="P27" s="3145"/>
      <c r="Q27" s="1796">
        <f t="shared" si="11"/>
        <v>111</v>
      </c>
      <c r="R27" s="769" t="s">
        <v>17</v>
      </c>
      <c r="S27" s="770">
        <f>F27</f>
        <v>100</v>
      </c>
      <c r="T27" s="769" t="s">
        <v>17</v>
      </c>
      <c r="U27" s="770">
        <f>H27</f>
        <v>100</v>
      </c>
      <c r="V27" s="769" t="s">
        <v>17</v>
      </c>
      <c r="W27" s="770">
        <f>J27</f>
        <v>100</v>
      </c>
      <c r="X27" s="771"/>
      <c r="Y27" s="3145"/>
      <c r="Z27" s="55">
        <f>Q27</f>
        <v>111</v>
      </c>
      <c r="AA27" s="1812">
        <f>D27/F27</f>
        <v>1</v>
      </c>
      <c r="AB27" s="1812">
        <f>D27/H27</f>
        <v>1</v>
      </c>
      <c r="AC27" s="1812">
        <f>D27/J27</f>
        <v>1</v>
      </c>
    </row>
    <row r="28" spans="1:29" ht="15.75" thickBot="1">
      <c r="A28" s="435"/>
      <c r="B28" s="1386">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0"/>
      <c r="M28" s="1131"/>
      <c r="N28" s="1131"/>
      <c r="O28" s="1139"/>
      <c r="P28" s="3145"/>
      <c r="Q28" s="1811">
        <f t="shared" si="11"/>
        <v>111</v>
      </c>
      <c r="R28" s="773" t="s">
        <v>17</v>
      </c>
      <c r="S28" s="774">
        <f t="shared" ref="S28:S40" si="12">F28</f>
        <v>100</v>
      </c>
      <c r="T28" s="773" t="s">
        <v>17</v>
      </c>
      <c r="U28" s="774">
        <f t="shared" ref="U28:U40" si="13">H28</f>
        <v>100</v>
      </c>
      <c r="V28" s="773" t="s">
        <v>17</v>
      </c>
      <c r="W28" s="774">
        <f t="shared" ref="W28:W40" si="14">J28</f>
        <v>100</v>
      </c>
      <c r="X28" s="1814"/>
      <c r="Y28" s="3145"/>
      <c r="Z28" s="1815">
        <f t="shared" ref="Z28:Z40" si="15">Q28</f>
        <v>111</v>
      </c>
      <c r="AA28" s="1812">
        <f t="shared" si="3"/>
        <v>1</v>
      </c>
      <c r="AB28" s="1812">
        <f t="shared" si="4"/>
        <v>1</v>
      </c>
      <c r="AC28" s="1812">
        <f t="shared" si="5"/>
        <v>1</v>
      </c>
    </row>
    <row r="29" spans="1:29" ht="15">
      <c r="A29" s="465" t="s">
        <v>2564</v>
      </c>
      <c r="B29" s="70" t="s">
        <v>2694</v>
      </c>
      <c r="C29" s="2678"/>
      <c r="D29" s="466">
        <v>100</v>
      </c>
      <c r="E29" s="2678"/>
      <c r="F29" s="460">
        <f>SUMIF(88:88,E29,89:89)-SUMIF(88:88,C29,89:89)+100</f>
        <v>100</v>
      </c>
      <c r="G29" s="2678"/>
      <c r="H29" s="434">
        <f>SUMIF(88:88,G29,89:89)-SUMIF(88:88,C29,89:89)+100</f>
        <v>100</v>
      </c>
      <c r="I29" s="2678"/>
      <c r="J29" s="466">
        <f>SUMIF(88:88,I29,89:89)-SUMIF(88:88,C29,89:89)+100</f>
        <v>100</v>
      </c>
      <c r="K29" s="611"/>
      <c r="L29" s="1140"/>
      <c r="M29" s="1131"/>
      <c r="N29" s="1131"/>
      <c r="O29" s="1139"/>
      <c r="P29" s="3146" t="s">
        <v>2566</v>
      </c>
      <c r="Q29" s="1811" t="str">
        <f t="shared" si="11"/>
        <v>建筑类型</v>
      </c>
      <c r="R29" s="773" t="s">
        <v>17</v>
      </c>
      <c r="S29" s="774">
        <f t="shared" si="12"/>
        <v>100</v>
      </c>
      <c r="T29" s="773" t="s">
        <v>17</v>
      </c>
      <c r="U29" s="774">
        <f t="shared" si="13"/>
        <v>100</v>
      </c>
      <c r="V29" s="773" t="s">
        <v>17</v>
      </c>
      <c r="W29" s="774">
        <f t="shared" si="14"/>
        <v>100</v>
      </c>
      <c r="X29" s="1814"/>
      <c r="Y29" s="3147" t="s">
        <v>2566</v>
      </c>
      <c r="Z29" s="1815" t="str">
        <f t="shared" si="15"/>
        <v>建筑类型</v>
      </c>
      <c r="AA29" s="1812">
        <f t="shared" si="3"/>
        <v>1</v>
      </c>
      <c r="AB29" s="1812">
        <f t="shared" si="4"/>
        <v>1</v>
      </c>
      <c r="AC29" s="1812">
        <f t="shared" si="5"/>
        <v>1</v>
      </c>
    </row>
    <row r="30" spans="1:29" s="470" customFormat="1" ht="15">
      <c r="A30" s="467"/>
      <c r="B30" s="421" t="s">
        <v>2567</v>
      </c>
      <c r="C30" s="468"/>
      <c r="D30" s="134">
        <v>100</v>
      </c>
      <c r="E30" s="429"/>
      <c r="F30" s="424" t="e">
        <f>LOOKUP(E30,91:91,92:92)-LOOKUP(C30,91:91,92:92)+100</f>
        <v>#N/A</v>
      </c>
      <c r="G30" s="428"/>
      <c r="H30" s="134" t="e">
        <f>LOOKUP(G30,91:91,92:92)-LOOKUP(C30,91:91,92:92)+100</f>
        <v>#N/A</v>
      </c>
      <c r="I30" s="428"/>
      <c r="J30" s="134" t="e">
        <f>LOOKUP(I30,91:91,92:92)-LOOKUP(C30,91:91,92:92)+100</f>
        <v>#N/A</v>
      </c>
      <c r="K30" s="612"/>
      <c r="L30" s="1138"/>
      <c r="M30" s="1141"/>
      <c r="N30" s="1141"/>
      <c r="O30" s="1142"/>
      <c r="P30" s="3147"/>
      <c r="Q30" s="775" t="str">
        <f t="shared" si="11"/>
        <v>项目建筑规模</v>
      </c>
      <c r="R30" s="776" t="s">
        <v>17</v>
      </c>
      <c r="S30" s="777" t="e">
        <f t="shared" si="12"/>
        <v>#N/A</v>
      </c>
      <c r="T30" s="776" t="s">
        <v>17</v>
      </c>
      <c r="U30" s="777" t="e">
        <f t="shared" si="13"/>
        <v>#N/A</v>
      </c>
      <c r="V30" s="776" t="s">
        <v>17</v>
      </c>
      <c r="W30" s="777" t="e">
        <f t="shared" si="14"/>
        <v>#N/A</v>
      </c>
      <c r="X30" s="778"/>
      <c r="Y30" s="3147"/>
      <c r="Z30" s="779" t="str">
        <f t="shared" si="15"/>
        <v>项目建筑规模</v>
      </c>
      <c r="AA30" s="1812" t="e">
        <f t="shared" si="3"/>
        <v>#N/A</v>
      </c>
      <c r="AB30" s="1812" t="e">
        <f t="shared" si="4"/>
        <v>#N/A</v>
      </c>
      <c r="AC30" s="1812" t="e">
        <f t="shared" si="5"/>
        <v>#N/A</v>
      </c>
    </row>
    <row r="31" spans="1:29" ht="15">
      <c r="A31" s="471"/>
      <c r="B31" s="421" t="s">
        <v>2568</v>
      </c>
      <c r="C31" s="459"/>
      <c r="D31" s="434">
        <v>100</v>
      </c>
      <c r="E31" s="459"/>
      <c r="F31" s="460">
        <f>SUMIF(93:93,E31,94:94)-SUMIF(93:93,C31,94:94)+100</f>
        <v>100</v>
      </c>
      <c r="G31" s="459"/>
      <c r="H31" s="434">
        <f>SUMIF(93:93,G31,94:94)-SUMIF(93:93,C31,94:94)+100</f>
        <v>100</v>
      </c>
      <c r="I31" s="459"/>
      <c r="J31" s="434">
        <f>SUMIF(93:93,I31,94:94)-SUMIF(93:93,C31,94:94)+100</f>
        <v>100</v>
      </c>
      <c r="K31" s="611"/>
      <c r="L31" s="1140"/>
      <c r="M31" s="1131"/>
      <c r="N31" s="1131"/>
      <c r="O31" s="1139"/>
      <c r="P31" s="3147"/>
      <c r="Q31" s="1811" t="str">
        <f t="shared" si="11"/>
        <v>建筑结构</v>
      </c>
      <c r="R31" s="773" t="s">
        <v>17</v>
      </c>
      <c r="S31" s="774">
        <f t="shared" si="12"/>
        <v>100</v>
      </c>
      <c r="T31" s="773" t="s">
        <v>17</v>
      </c>
      <c r="U31" s="774">
        <f t="shared" si="13"/>
        <v>100</v>
      </c>
      <c r="V31" s="773" t="s">
        <v>17</v>
      </c>
      <c r="W31" s="774">
        <f t="shared" si="14"/>
        <v>100</v>
      </c>
      <c r="X31" s="1814"/>
      <c r="Y31" s="3147"/>
      <c r="Z31" s="1815" t="str">
        <f t="shared" si="15"/>
        <v>建筑结构</v>
      </c>
      <c r="AA31" s="1812">
        <f t="shared" si="3"/>
        <v>1</v>
      </c>
      <c r="AB31" s="1812">
        <f t="shared" si="4"/>
        <v>1</v>
      </c>
      <c r="AC31" s="1812">
        <f t="shared" si="5"/>
        <v>1</v>
      </c>
    </row>
    <row r="32" spans="1:29" ht="15">
      <c r="A32" s="471"/>
      <c r="B32" s="421" t="s">
        <v>2662</v>
      </c>
      <c r="C32" s="459"/>
      <c r="D32" s="434">
        <v>100</v>
      </c>
      <c r="E32" s="459"/>
      <c r="F32" s="460">
        <f>SUMIF(95:95,E32,96:96)-SUMIF(95:95,C32,96:96)+100</f>
        <v>100</v>
      </c>
      <c r="G32" s="459"/>
      <c r="H32" s="434">
        <f>SUMIF(95:95,G32,96:96)-SUMIF(95:95,C32,96:96)+100</f>
        <v>100</v>
      </c>
      <c r="I32" s="459"/>
      <c r="J32" s="434">
        <f>SUMIF(95:95,I32,96:96)-SUMIF(95:95,C32,96:96)+100</f>
        <v>100</v>
      </c>
      <c r="K32" s="611"/>
      <c r="L32" s="1140"/>
      <c r="M32" s="1131"/>
      <c r="N32" s="1131"/>
      <c r="O32" s="1139"/>
      <c r="P32" s="3147"/>
      <c r="Q32" s="1811" t="str">
        <f t="shared" si="11"/>
        <v>公共部分装修</v>
      </c>
      <c r="R32" s="773" t="s">
        <v>17</v>
      </c>
      <c r="S32" s="774">
        <f t="shared" si="12"/>
        <v>100</v>
      </c>
      <c r="T32" s="773" t="s">
        <v>17</v>
      </c>
      <c r="U32" s="774">
        <f t="shared" si="13"/>
        <v>100</v>
      </c>
      <c r="V32" s="773" t="s">
        <v>17</v>
      </c>
      <c r="W32" s="774">
        <f t="shared" si="14"/>
        <v>100</v>
      </c>
      <c r="X32" s="1814"/>
      <c r="Y32" s="3147"/>
      <c r="Z32" s="1815" t="str">
        <f t="shared" si="15"/>
        <v>公共部分装修</v>
      </c>
      <c r="AA32" s="1812">
        <f t="shared" si="3"/>
        <v>1</v>
      </c>
      <c r="AB32" s="1812">
        <f t="shared" si="4"/>
        <v>1</v>
      </c>
      <c r="AC32" s="1812">
        <f t="shared" si="5"/>
        <v>1</v>
      </c>
    </row>
    <row r="33" spans="1:29" ht="15">
      <c r="A33" s="471"/>
      <c r="B33" s="421" t="s">
        <v>2663</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0"/>
      <c r="M33" s="1131"/>
      <c r="N33" s="1131"/>
      <c r="O33" s="1139"/>
      <c r="P33" s="3147"/>
      <c r="Q33" s="1811" t="str">
        <f t="shared" si="11"/>
        <v>成新度</v>
      </c>
      <c r="R33" s="773" t="s">
        <v>17</v>
      </c>
      <c r="S33" s="774" t="e">
        <f t="shared" si="12"/>
        <v>#N/A</v>
      </c>
      <c r="T33" s="773" t="s">
        <v>17</v>
      </c>
      <c r="U33" s="774" t="e">
        <f t="shared" si="13"/>
        <v>#N/A</v>
      </c>
      <c r="V33" s="773" t="s">
        <v>17</v>
      </c>
      <c r="W33" s="774" t="e">
        <f t="shared" si="14"/>
        <v>#N/A</v>
      </c>
      <c r="X33" s="1814"/>
      <c r="Y33" s="3147"/>
      <c r="Z33" s="1815" t="str">
        <f t="shared" si="15"/>
        <v>成新度</v>
      </c>
      <c r="AA33" s="1812" t="e">
        <f t="shared" si="3"/>
        <v>#N/A</v>
      </c>
      <c r="AB33" s="1812" t="e">
        <f t="shared" si="4"/>
        <v>#N/A</v>
      </c>
      <c r="AC33" s="1812" t="e">
        <f t="shared" si="5"/>
        <v>#N/A</v>
      </c>
    </row>
    <row r="34" spans="1:29" s="116" customFormat="1" ht="15">
      <c r="A34" s="472"/>
      <c r="B34" s="421" t="s">
        <v>2696</v>
      </c>
      <c r="C34" s="459"/>
      <c r="D34" s="134">
        <v>100</v>
      </c>
      <c r="E34" s="459"/>
      <c r="F34" s="460">
        <f>SUMIF(100:100,E34,101:101)-SUMIF(100:100,C34,101:101)+100</f>
        <v>100</v>
      </c>
      <c r="G34" s="459"/>
      <c r="H34" s="434">
        <f>SUMIF(100:100,G34,101:101)-SUMIF(100:100,C34,101:101)+100</f>
        <v>100</v>
      </c>
      <c r="I34" s="459"/>
      <c r="J34" s="434">
        <f>SUMIF(100:100,I34,101:101)-SUMIF(100:100,C34,101:101)+100</f>
        <v>100</v>
      </c>
      <c r="K34" s="611"/>
      <c r="L34" s="1132"/>
      <c r="M34" s="1133"/>
      <c r="N34" s="1133"/>
      <c r="O34" s="1134"/>
      <c r="P34" s="3147"/>
      <c r="Q34" s="1796" t="str">
        <f t="shared" si="11"/>
        <v>物业管理</v>
      </c>
      <c r="R34" s="769" t="s">
        <v>17</v>
      </c>
      <c r="S34" s="770">
        <f t="shared" si="12"/>
        <v>100</v>
      </c>
      <c r="T34" s="769" t="s">
        <v>17</v>
      </c>
      <c r="U34" s="770">
        <f t="shared" si="13"/>
        <v>100</v>
      </c>
      <c r="V34" s="769" t="s">
        <v>17</v>
      </c>
      <c r="W34" s="770">
        <f t="shared" si="14"/>
        <v>100</v>
      </c>
      <c r="X34" s="771"/>
      <c r="Y34" s="3147"/>
      <c r="Z34" s="55" t="str">
        <f t="shared" si="15"/>
        <v>物业管理</v>
      </c>
      <c r="AA34" s="772">
        <f t="shared" si="3"/>
        <v>1</v>
      </c>
      <c r="AB34" s="772">
        <f t="shared" si="4"/>
        <v>1</v>
      </c>
      <c r="AC34" s="772">
        <f t="shared" si="5"/>
        <v>1</v>
      </c>
    </row>
    <row r="35" spans="1:29" ht="15">
      <c r="A35" s="471"/>
      <c r="B35" s="421" t="s">
        <v>2664</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0"/>
      <c r="M35" s="1131"/>
      <c r="N35" s="1131"/>
      <c r="O35" s="1139"/>
      <c r="P35" s="3147" t="s">
        <v>2566</v>
      </c>
      <c r="Q35" s="1811" t="str">
        <f t="shared" si="11"/>
        <v>市政基础设施</v>
      </c>
      <c r="R35" s="773" t="s">
        <v>17</v>
      </c>
      <c r="S35" s="774">
        <f t="shared" si="12"/>
        <v>100</v>
      </c>
      <c r="T35" s="773" t="s">
        <v>17</v>
      </c>
      <c r="U35" s="774">
        <f t="shared" si="13"/>
        <v>100</v>
      </c>
      <c r="V35" s="773" t="s">
        <v>17</v>
      </c>
      <c r="W35" s="774">
        <f t="shared" si="14"/>
        <v>100</v>
      </c>
      <c r="X35" s="1814"/>
      <c r="Y35" s="3147" t="s">
        <v>2566</v>
      </c>
      <c r="Z35" s="1815" t="str">
        <f t="shared" si="15"/>
        <v>市政基础设施</v>
      </c>
      <c r="AA35" s="1812">
        <f t="shared" si="3"/>
        <v>1</v>
      </c>
      <c r="AB35" s="1812">
        <f t="shared" si="4"/>
        <v>1</v>
      </c>
      <c r="AC35" s="1812">
        <f t="shared" si="5"/>
        <v>1</v>
      </c>
    </row>
    <row r="36" spans="1:29" ht="15">
      <c r="A36" s="471"/>
      <c r="B36" s="421" t="s">
        <v>2669</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0"/>
      <c r="M36" s="1131"/>
      <c r="N36" s="1131"/>
      <c r="O36" s="1139"/>
      <c r="P36" s="3147"/>
      <c r="Q36" s="1811" t="str">
        <f t="shared" si="11"/>
        <v>内部装修</v>
      </c>
      <c r="R36" s="773" t="s">
        <v>17</v>
      </c>
      <c r="S36" s="774">
        <f t="shared" si="12"/>
        <v>100</v>
      </c>
      <c r="T36" s="773" t="s">
        <v>17</v>
      </c>
      <c r="U36" s="774">
        <f t="shared" si="13"/>
        <v>100</v>
      </c>
      <c r="V36" s="773" t="s">
        <v>17</v>
      </c>
      <c r="W36" s="774">
        <f t="shared" si="14"/>
        <v>100</v>
      </c>
      <c r="X36" s="1814"/>
      <c r="Y36" s="3147"/>
      <c r="Z36" s="1815" t="str">
        <f t="shared" si="15"/>
        <v>内部装修</v>
      </c>
      <c r="AA36" s="1812">
        <f t="shared" si="3"/>
        <v>1</v>
      </c>
      <c r="AB36" s="1812">
        <f t="shared" si="4"/>
        <v>1</v>
      </c>
      <c r="AC36" s="1812">
        <f t="shared" si="5"/>
        <v>1</v>
      </c>
    </row>
    <row r="37" spans="1:29" ht="15">
      <c r="A37" s="471"/>
      <c r="B37" s="421" t="s">
        <v>2705</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0"/>
      <c r="M37" s="1131"/>
      <c r="N37" s="1131"/>
      <c r="O37" s="1139"/>
      <c r="P37" s="3147"/>
      <c r="Q37" s="1811" t="str">
        <f t="shared" si="11"/>
        <v>内部装修状况</v>
      </c>
      <c r="R37" s="773" t="s">
        <v>17</v>
      </c>
      <c r="S37" s="774">
        <f t="shared" si="12"/>
        <v>100</v>
      </c>
      <c r="T37" s="773" t="s">
        <v>17</v>
      </c>
      <c r="U37" s="774">
        <f t="shared" si="13"/>
        <v>100</v>
      </c>
      <c r="V37" s="773" t="s">
        <v>17</v>
      </c>
      <c r="W37" s="774">
        <f t="shared" si="14"/>
        <v>100</v>
      </c>
      <c r="X37" s="1814"/>
      <c r="Y37" s="3147"/>
      <c r="Z37" s="1815" t="str">
        <f t="shared" si="15"/>
        <v>内部装修状况</v>
      </c>
      <c r="AA37" s="1812">
        <f t="shared" si="3"/>
        <v>1</v>
      </c>
      <c r="AB37" s="1812">
        <f t="shared" si="4"/>
        <v>1</v>
      </c>
      <c r="AC37" s="1812">
        <f t="shared" si="5"/>
        <v>1</v>
      </c>
    </row>
    <row r="38" spans="1:29" s="470" customFormat="1" ht="15">
      <c r="A38" s="467"/>
      <c r="B38" s="1386">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8"/>
      <c r="M38" s="1141"/>
      <c r="N38" s="1141"/>
      <c r="O38" s="1142"/>
      <c r="P38" s="3147"/>
      <c r="Q38" s="775">
        <f t="shared" si="11"/>
        <v>111</v>
      </c>
      <c r="R38" s="776" t="s">
        <v>17</v>
      </c>
      <c r="S38" s="777">
        <f t="shared" si="12"/>
        <v>100</v>
      </c>
      <c r="T38" s="776" t="s">
        <v>17</v>
      </c>
      <c r="U38" s="777">
        <f t="shared" si="13"/>
        <v>100</v>
      </c>
      <c r="V38" s="776" t="s">
        <v>17</v>
      </c>
      <c r="W38" s="777">
        <f t="shared" si="14"/>
        <v>100</v>
      </c>
      <c r="X38" s="778"/>
      <c r="Y38" s="3147"/>
      <c r="Z38" s="779">
        <f t="shared" si="15"/>
        <v>111</v>
      </c>
      <c r="AA38" s="1812">
        <f t="shared" si="3"/>
        <v>1</v>
      </c>
      <c r="AB38" s="1812">
        <f t="shared" si="4"/>
        <v>1</v>
      </c>
      <c r="AC38" s="1812">
        <f t="shared" si="5"/>
        <v>1</v>
      </c>
    </row>
    <row r="39" spans="1:29" ht="15">
      <c r="A39" s="471"/>
      <c r="B39" s="1386">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0"/>
      <c r="M39" s="1131"/>
      <c r="N39" s="1131"/>
      <c r="O39" s="1139"/>
      <c r="P39" s="3147"/>
      <c r="Q39" s="1811">
        <f t="shared" si="11"/>
        <v>111</v>
      </c>
      <c r="R39" s="773" t="s">
        <v>17</v>
      </c>
      <c r="S39" s="774">
        <f t="shared" si="12"/>
        <v>100</v>
      </c>
      <c r="T39" s="773" t="s">
        <v>17</v>
      </c>
      <c r="U39" s="774">
        <f t="shared" si="13"/>
        <v>100</v>
      </c>
      <c r="V39" s="773" t="s">
        <v>17</v>
      </c>
      <c r="W39" s="774">
        <f t="shared" si="14"/>
        <v>100</v>
      </c>
      <c r="X39" s="1814"/>
      <c r="Y39" s="3147"/>
      <c r="Z39" s="1815">
        <f t="shared" si="15"/>
        <v>111</v>
      </c>
      <c r="AA39" s="1812">
        <f t="shared" si="3"/>
        <v>1</v>
      </c>
      <c r="AB39" s="1812">
        <f t="shared" si="4"/>
        <v>1</v>
      </c>
      <c r="AC39" s="1812">
        <f t="shared" si="5"/>
        <v>1</v>
      </c>
    </row>
    <row r="40" spans="1:29" ht="15.75" thickBot="1">
      <c r="A40" s="477"/>
      <c r="B40" s="2601">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0"/>
      <c r="M40" s="1131"/>
      <c r="N40" s="1131"/>
      <c r="O40" s="1139"/>
      <c r="P40" s="3210"/>
      <c r="Q40" s="1811">
        <f t="shared" si="11"/>
        <v>111</v>
      </c>
      <c r="R40" s="773" t="s">
        <v>17</v>
      </c>
      <c r="S40" s="774">
        <f t="shared" si="12"/>
        <v>100</v>
      </c>
      <c r="T40" s="773" t="s">
        <v>17</v>
      </c>
      <c r="U40" s="774">
        <f t="shared" si="13"/>
        <v>100</v>
      </c>
      <c r="V40" s="773" t="s">
        <v>17</v>
      </c>
      <c r="W40" s="774">
        <f t="shared" si="14"/>
        <v>100</v>
      </c>
      <c r="X40" s="1814"/>
      <c r="Y40" s="3210"/>
      <c r="Z40" s="1815">
        <f t="shared" si="15"/>
        <v>111</v>
      </c>
      <c r="AA40" s="1812">
        <f t="shared" si="3"/>
        <v>1</v>
      </c>
      <c r="AB40" s="1812">
        <f t="shared" si="4"/>
        <v>1</v>
      </c>
      <c r="AC40" s="1812">
        <f t="shared" si="5"/>
        <v>1</v>
      </c>
    </row>
    <row r="41" spans="1:29" ht="15">
      <c r="A41" s="478" t="s">
        <v>2578</v>
      </c>
      <c r="B41" s="479"/>
      <c r="C41" s="1407" t="s">
        <v>1</v>
      </c>
      <c r="D41" s="1408"/>
      <c r="E41" s="1409"/>
      <c r="F41" s="1410"/>
      <c r="G41" s="1411"/>
      <c r="H41" s="1412"/>
      <c r="I41" s="1409"/>
      <c r="J41" s="1412"/>
      <c r="K41" s="782"/>
      <c r="L41" s="1143"/>
      <c r="M41" s="1144"/>
      <c r="N41" s="1131"/>
      <c r="O41" s="1144"/>
      <c r="P41" s="3142" t="str">
        <f>A41</f>
        <v>成交单价（元/平方米）</v>
      </c>
      <c r="Q41" s="3142"/>
      <c r="R41" s="3206">
        <f>E41</f>
        <v>0</v>
      </c>
      <c r="S41" s="3206"/>
      <c r="T41" s="3206">
        <f>G41</f>
        <v>0</v>
      </c>
      <c r="U41" s="3206"/>
      <c r="V41" s="3206">
        <f>I41</f>
        <v>0</v>
      </c>
      <c r="W41" s="3206"/>
      <c r="X41" s="758"/>
      <c r="Y41" s="780"/>
      <c r="Z41" s="758"/>
      <c r="AA41" s="758"/>
      <c r="AB41" s="758"/>
      <c r="AC41" s="758"/>
    </row>
    <row r="42" spans="1:29" ht="15.75" thickBot="1">
      <c r="A42" s="485" t="s">
        <v>2670</v>
      </c>
      <c r="B42" s="486"/>
      <c r="C42" s="1413" t="e">
        <f>R43</f>
        <v>#DIV/0!</v>
      </c>
      <c r="D42" s="1414"/>
      <c r="E42" s="1415" t="e">
        <f>R42</f>
        <v>#DIV/0!</v>
      </c>
      <c r="F42" s="1415"/>
      <c r="G42" s="1413" t="e">
        <f>T42</f>
        <v>#DIV/0!</v>
      </c>
      <c r="H42" s="1414"/>
      <c r="I42" s="1415" t="e">
        <f>V42</f>
        <v>#DIV/0!</v>
      </c>
      <c r="J42" s="1414"/>
      <c r="K42" s="783"/>
      <c r="L42" s="1143"/>
      <c r="M42" s="1144"/>
      <c r="N42" s="1131"/>
      <c r="O42" s="1144"/>
      <c r="P42" s="3142" t="str">
        <f>A42</f>
        <v>比较价值（元/平方米）</v>
      </c>
      <c r="Q42" s="3142"/>
      <c r="R42" s="3206" t="e">
        <f>IF(F1="售价",ROUND(PRODUCT(R41,AA7:AA40),0),ROUND(PRODUCT(R41,AA7:AA40),1))</f>
        <v>#DIV/0!</v>
      </c>
      <c r="S42" s="3206"/>
      <c r="T42" s="3206" t="e">
        <f>IF(F1="售价",ROUND(PRODUCT(T41,AB7:AB40),0),ROUND(PRODUCT(T41,AB7:AB40),1))</f>
        <v>#DIV/0!</v>
      </c>
      <c r="U42" s="3206"/>
      <c r="V42" s="3206" t="e">
        <f>IF(F1="售价",ROUND(PRODUCT(V41,AC7:AC40),0),ROUND(PRODUCT(V41,AC7:AC40),1))</f>
        <v>#DIV/0!</v>
      </c>
      <c r="W42" s="3206"/>
      <c r="X42" s="758"/>
      <c r="Y42" s="758"/>
      <c r="Z42" s="758"/>
      <c r="AA42" s="758"/>
      <c r="AB42" s="758"/>
      <c r="AC42" s="758"/>
    </row>
    <row r="43" spans="1:29" ht="15.75" thickBot="1">
      <c r="A43" s="491" t="s">
        <v>2671</v>
      </c>
      <c r="B43" s="492"/>
      <c r="C43" s="1417" t="e">
        <f>R43</f>
        <v>#DIV/0!</v>
      </c>
      <c r="D43" s="1417"/>
      <c r="E43" s="1417"/>
      <c r="F43" s="1417"/>
      <c r="G43" s="1417"/>
      <c r="H43" s="1417"/>
      <c r="I43" s="1417"/>
      <c r="J43" s="1417"/>
      <c r="K43" s="784"/>
      <c r="L43" s="1143"/>
      <c r="M43" s="1144"/>
      <c r="N43" s="1144"/>
      <c r="O43" s="1144"/>
      <c r="P43" s="3136" t="str">
        <f>A43</f>
        <v>估价对象XX用房的比较价值（楼面单价，元/平方米）</v>
      </c>
      <c r="Q43" s="3137"/>
      <c r="R43" s="3205" t="e">
        <f>IF(F1="售价",ROUND(AVERAGE(R42:V42),0),ROUND(AVERAGE(R42:V42),1))</f>
        <v>#DIV/0!</v>
      </c>
      <c r="S43" s="3205"/>
      <c r="T43" s="3205"/>
      <c r="U43" s="3205"/>
      <c r="V43" s="3205"/>
      <c r="W43" s="3205"/>
      <c r="X43" s="758"/>
      <c r="Y43" s="758"/>
      <c r="Z43" s="758"/>
      <c r="AA43" s="758"/>
      <c r="AB43" s="758"/>
      <c r="AC43" s="758"/>
    </row>
    <row r="44" spans="1:29">
      <c r="A44" s="1144"/>
      <c r="B44" s="1144"/>
      <c r="C44" s="1144"/>
      <c r="D44" s="1144"/>
      <c r="E44" s="1144"/>
      <c r="F44" s="1144"/>
      <c r="G44" s="1147"/>
      <c r="H44" s="1144"/>
      <c r="I44" s="1144"/>
      <c r="J44" s="1144"/>
      <c r="K44" s="1106"/>
      <c r="L44" s="1107"/>
      <c r="M44" s="1144"/>
      <c r="N44" s="1144"/>
      <c r="O44" s="1144"/>
    </row>
    <row r="45" spans="1:29">
      <c r="A45" s="1144"/>
      <c r="B45" s="1144"/>
      <c r="C45" s="1144"/>
      <c r="D45" s="1144"/>
      <c r="E45" s="1144"/>
      <c r="F45" s="1144"/>
      <c r="G45" s="1144"/>
      <c r="H45" s="1144"/>
      <c r="I45" s="1144"/>
      <c r="J45" s="1144"/>
      <c r="K45" s="1106"/>
      <c r="L45" s="1107"/>
      <c r="M45" s="1144"/>
      <c r="N45" s="1144"/>
      <c r="O45" s="1144"/>
    </row>
    <row r="46" spans="1:29" ht="13.5" customHeight="1">
      <c r="A46" s="1144"/>
      <c r="B46" s="1144"/>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6"/>
      <c r="L46" s="1107"/>
      <c r="M46" s="1144"/>
      <c r="N46" s="1144"/>
      <c r="O46" s="1144"/>
    </row>
    <row r="47" spans="1:29" ht="13.5" customHeight="1">
      <c r="A47" s="1144"/>
      <c r="B47" s="1144"/>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6"/>
      <c r="L47" s="1107"/>
      <c r="M47" s="1144"/>
      <c r="N47" s="1144"/>
      <c r="O47" s="1144"/>
    </row>
    <row r="48" spans="1:29" s="501" customFormat="1" ht="13.5" customHeight="1">
      <c r="A48" s="1145"/>
      <c r="B48" s="1145"/>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6"/>
      <c r="L50" s="1107"/>
      <c r="M50" s="1144"/>
      <c r="N50" s="1144"/>
      <c r="O50" s="1144"/>
    </row>
    <row r="51" spans="1:17" ht="21.75" thickBot="1">
      <c r="A51" s="762" t="s">
        <v>2675</v>
      </c>
      <c r="B51" s="758"/>
      <c r="C51" s="763"/>
      <c r="D51" s="763"/>
      <c r="E51" s="763"/>
      <c r="F51" s="764"/>
      <c r="G51" s="764"/>
      <c r="H51" s="763"/>
      <c r="I51" s="763"/>
      <c r="J51" s="763"/>
      <c r="K51" s="1160"/>
      <c r="L51" s="1161"/>
      <c r="M51" s="1159"/>
      <c r="N51" s="1159"/>
      <c r="O51" s="1159"/>
      <c r="P51" s="502"/>
      <c r="Q51" s="503"/>
    </row>
    <row r="52" spans="1:17" s="507" customFormat="1" ht="15">
      <c r="A52" s="504" t="s">
        <v>2549</v>
      </c>
      <c r="B52" s="505"/>
      <c r="C52" s="1575" t="str">
        <f>YEAR(C7)&amp;"-"&amp;MONTH(C7)</f>
        <v>2017-10</v>
      </c>
      <c r="D52" s="1576">
        <f>EDATE(C52,-1)</f>
        <v>42979</v>
      </c>
      <c r="E52" s="1576">
        <f t="shared" ref="E52:O52" si="16">EDATE(D52,-1)</f>
        <v>42948</v>
      </c>
      <c r="F52" s="1576">
        <f t="shared" si="16"/>
        <v>42917</v>
      </c>
      <c r="G52" s="1576">
        <f t="shared" si="16"/>
        <v>42887</v>
      </c>
      <c r="H52" s="1576">
        <f t="shared" si="16"/>
        <v>42856</v>
      </c>
      <c r="I52" s="1576">
        <f t="shared" si="16"/>
        <v>42826</v>
      </c>
      <c r="J52" s="1576">
        <f t="shared" si="16"/>
        <v>42795</v>
      </c>
      <c r="K52" s="1576">
        <f t="shared" si="16"/>
        <v>42767</v>
      </c>
      <c r="L52" s="1576">
        <f t="shared" si="16"/>
        <v>42736</v>
      </c>
      <c r="M52" s="1576">
        <f t="shared" si="16"/>
        <v>42705</v>
      </c>
      <c r="N52" s="1576">
        <f t="shared" si="16"/>
        <v>42675</v>
      </c>
      <c r="O52" s="1576">
        <f t="shared" si="16"/>
        <v>42644</v>
      </c>
      <c r="P52" s="506"/>
    </row>
    <row r="53" spans="1:17" s="116" customFormat="1" ht="15">
      <c r="A53" s="508"/>
      <c r="B53" s="509"/>
      <c r="C53" s="1574">
        <v>100</v>
      </c>
      <c r="D53" s="511"/>
      <c r="E53" s="511"/>
      <c r="F53" s="511"/>
      <c r="G53" s="511"/>
      <c r="H53" s="511"/>
      <c r="I53" s="511"/>
      <c r="J53" s="511"/>
      <c r="K53" s="511"/>
      <c r="L53" s="511"/>
      <c r="M53" s="512"/>
      <c r="N53" s="511"/>
      <c r="O53" s="513"/>
      <c r="P53" s="503"/>
    </row>
    <row r="54" spans="1:17" s="116" customFormat="1" ht="15.75" thickBot="1">
      <c r="A54" s="514" t="s">
        <v>2586</v>
      </c>
      <c r="B54" s="515"/>
      <c r="C54" s="516"/>
      <c r="D54" s="517"/>
      <c r="E54" s="517"/>
      <c r="F54" s="517"/>
      <c r="G54" s="517"/>
      <c r="H54" s="517"/>
      <c r="I54" s="517"/>
      <c r="J54" s="517"/>
      <c r="K54" s="517"/>
      <c r="L54" s="517"/>
      <c r="M54" s="518"/>
      <c r="N54" s="517"/>
      <c r="O54" s="519"/>
      <c r="P54" s="503"/>
      <c r="Q54" s="503"/>
    </row>
    <row r="55" spans="1:17" s="116" customFormat="1" ht="15">
      <c r="A55" s="520" t="s">
        <v>2551</v>
      </c>
      <c r="B55" s="509"/>
      <c r="C55" s="521" t="s">
        <v>2653</v>
      </c>
      <c r="D55" s="522"/>
      <c r="E55" s="522"/>
      <c r="F55" s="522"/>
      <c r="G55" s="522"/>
      <c r="H55" s="522"/>
      <c r="I55" s="522"/>
      <c r="J55" s="522"/>
      <c r="K55" s="522"/>
      <c r="L55" s="523"/>
      <c r="M55" s="524"/>
      <c r="N55" s="1151"/>
      <c r="O55" s="1151"/>
      <c r="P55" s="525"/>
      <c r="Q55" s="503"/>
    </row>
    <row r="56" spans="1:17" s="116" customFormat="1" ht="15.75" thickBot="1">
      <c r="A56" s="520"/>
      <c r="B56" s="509"/>
      <c r="C56" s="638">
        <v>100</v>
      </c>
      <c r="D56" s="511"/>
      <c r="E56" s="511"/>
      <c r="F56" s="511"/>
      <c r="G56" s="511"/>
      <c r="H56" s="511"/>
      <c r="I56" s="511"/>
      <c r="J56" s="511"/>
      <c r="K56" s="511"/>
      <c r="L56" s="511"/>
      <c r="M56" s="513"/>
      <c r="N56" s="1151"/>
      <c r="O56" s="1151"/>
      <c r="P56" s="503"/>
      <c r="Q56" s="503"/>
    </row>
    <row r="57" spans="1:17">
      <c r="A57" s="526" t="s">
        <v>2589</v>
      </c>
      <c r="B57" s="527" t="s">
        <v>2555</v>
      </c>
      <c r="C57" s="528">
        <f>C9</f>
        <v>0</v>
      </c>
      <c r="D57" s="529"/>
      <c r="E57" s="529"/>
      <c r="F57" s="529"/>
      <c r="G57" s="529"/>
      <c r="H57" s="529"/>
      <c r="I57" s="529"/>
      <c r="J57" s="529"/>
      <c r="K57" s="530"/>
      <c r="L57" s="531"/>
      <c r="M57" s="532"/>
      <c r="N57" s="1152"/>
      <c r="O57" s="1152"/>
      <c r="P57" s="45"/>
      <c r="Q57" s="503"/>
    </row>
    <row r="58" spans="1:17" ht="15.75" thickBot="1">
      <c r="A58" s="533"/>
      <c r="B58" s="534"/>
      <c r="C58" s="535">
        <v>100</v>
      </c>
      <c r="D58" s="535"/>
      <c r="E58" s="535"/>
      <c r="F58" s="535"/>
      <c r="G58" s="535"/>
      <c r="H58" s="535"/>
      <c r="I58" s="535"/>
      <c r="J58" s="535"/>
      <c r="K58" s="535"/>
      <c r="L58" s="535"/>
      <c r="M58" s="536"/>
      <c r="N58" s="1153"/>
      <c r="O58" s="1153"/>
      <c r="P58" s="45"/>
      <c r="Q58" s="503"/>
    </row>
    <row r="59" spans="1:17" ht="27.75" thickTop="1">
      <c r="A59" s="533"/>
      <c r="B59" s="537" t="s">
        <v>2558</v>
      </c>
      <c r="C59" s="538" t="s">
        <v>2590</v>
      </c>
      <c r="D59" s="538" t="s">
        <v>2591</v>
      </c>
      <c r="E59" s="538" t="s">
        <v>2592</v>
      </c>
      <c r="F59" s="538" t="s">
        <v>2593</v>
      </c>
      <c r="G59" s="538" t="s">
        <v>2594</v>
      </c>
      <c r="H59" s="538" t="s">
        <v>2595</v>
      </c>
      <c r="I59" s="538" t="s">
        <v>2596</v>
      </c>
      <c r="J59" s="538"/>
      <c r="K59" s="539"/>
      <c r="L59" s="540"/>
      <c r="M59" s="541"/>
      <c r="N59" s="1152"/>
      <c r="O59" s="1152"/>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3"/>
      <c r="O60" s="1153"/>
      <c r="P60" s="45"/>
      <c r="Q60" s="503"/>
    </row>
    <row r="61" spans="1:17" ht="15.75" thickTop="1">
      <c r="A61" s="533"/>
      <c r="B61" s="545" t="s">
        <v>2559</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3"/>
      <c r="O61" s="1153"/>
      <c r="P61" s="45"/>
      <c r="Q61" s="503"/>
    </row>
    <row r="62" spans="1:17" ht="15">
      <c r="A62" s="533"/>
      <c r="B62" s="547"/>
      <c r="C62" s="548"/>
      <c r="D62" s="548"/>
      <c r="E62" s="548"/>
      <c r="F62" s="548"/>
      <c r="G62" s="548"/>
      <c r="H62" s="548"/>
      <c r="I62" s="548"/>
      <c r="J62" s="548"/>
      <c r="K62" s="549"/>
      <c r="L62" s="550"/>
      <c r="M62" s="551"/>
      <c r="N62" s="1152"/>
      <c r="O62" s="1152"/>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3"/>
      <c r="O63" s="1153"/>
      <c r="P63" s="45"/>
      <c r="Q63" s="503"/>
    </row>
    <row r="64" spans="1:17" s="470" customFormat="1" ht="15.75" thickTop="1">
      <c r="A64" s="552"/>
      <c r="B64" s="537">
        <f>B12</f>
        <v>111</v>
      </c>
      <c r="C64" s="553"/>
      <c r="D64" s="553"/>
      <c r="E64" s="553"/>
      <c r="F64" s="553"/>
      <c r="G64" s="553"/>
      <c r="H64" s="554"/>
      <c r="I64" s="554"/>
      <c r="J64" s="554"/>
      <c r="K64" s="554"/>
      <c r="L64" s="555"/>
      <c r="M64" s="556"/>
      <c r="N64" s="1154"/>
      <c r="O64" s="1154"/>
      <c r="P64" s="557"/>
      <c r="Q64" s="558"/>
    </row>
    <row r="65" spans="1:17" s="470" customFormat="1" ht="15.75" thickBot="1">
      <c r="A65" s="552"/>
      <c r="B65" s="542"/>
      <c r="C65" s="559"/>
      <c r="D65" s="535"/>
      <c r="E65" s="535"/>
      <c r="F65" s="535"/>
      <c r="G65" s="535"/>
      <c r="H65" s="535"/>
      <c r="I65" s="535"/>
      <c r="J65" s="535"/>
      <c r="K65" s="535"/>
      <c r="L65" s="535"/>
      <c r="M65" s="536"/>
      <c r="N65" s="1153"/>
      <c r="O65" s="1153"/>
      <c r="P65" s="557"/>
      <c r="Q65" s="558"/>
    </row>
    <row r="66" spans="1:17" s="470" customFormat="1" ht="15.75" thickTop="1">
      <c r="A66" s="552"/>
      <c r="B66" s="537">
        <f>B13</f>
        <v>111</v>
      </c>
      <c r="C66" s="553"/>
      <c r="D66" s="553"/>
      <c r="E66" s="553"/>
      <c r="F66" s="553"/>
      <c r="G66" s="553"/>
      <c r="H66" s="554"/>
      <c r="I66" s="554"/>
      <c r="J66" s="554"/>
      <c r="K66" s="554"/>
      <c r="L66" s="555"/>
      <c r="M66" s="556"/>
      <c r="N66" s="1154"/>
      <c r="O66" s="1154"/>
      <c r="P66" s="469"/>
      <c r="Q66" s="560"/>
    </row>
    <row r="67" spans="1:17" s="470" customFormat="1" ht="15.75" thickBot="1">
      <c r="A67" s="552"/>
      <c r="B67" s="542"/>
      <c r="C67" s="559"/>
      <c r="D67" s="535"/>
      <c r="E67" s="535"/>
      <c r="F67" s="535"/>
      <c r="G67" s="559"/>
      <c r="H67" s="561"/>
      <c r="I67" s="561"/>
      <c r="J67" s="561"/>
      <c r="K67" s="561"/>
      <c r="L67" s="561"/>
      <c r="M67" s="562"/>
      <c r="N67" s="1154"/>
      <c r="O67" s="1154"/>
      <c r="P67" s="557"/>
      <c r="Q67" s="558"/>
    </row>
    <row r="68" spans="1:17" s="470" customFormat="1" ht="15.75" thickTop="1">
      <c r="A68" s="552"/>
      <c r="B68" s="545">
        <f>B14</f>
        <v>111</v>
      </c>
      <c r="C68" s="522"/>
      <c r="D68" s="522"/>
      <c r="E68" s="522"/>
      <c r="F68" s="522"/>
      <c r="G68" s="522"/>
      <c r="H68" s="563"/>
      <c r="I68" s="563"/>
      <c r="J68" s="563"/>
      <c r="K68" s="563"/>
      <c r="L68" s="564"/>
      <c r="M68" s="565"/>
      <c r="N68" s="1154"/>
      <c r="O68" s="1154"/>
      <c r="P68" s="566"/>
      <c r="Q68" s="558"/>
    </row>
    <row r="69" spans="1:17" s="470" customFormat="1" ht="15.75" thickBot="1">
      <c r="A69" s="567"/>
      <c r="B69" s="568"/>
      <c r="C69" s="569"/>
      <c r="D69" s="569"/>
      <c r="E69" s="569"/>
      <c r="F69" s="569"/>
      <c r="G69" s="569"/>
      <c r="H69" s="570"/>
      <c r="I69" s="570"/>
      <c r="J69" s="570"/>
      <c r="K69" s="570"/>
      <c r="L69" s="570"/>
      <c r="M69" s="571"/>
      <c r="N69" s="1154"/>
      <c r="O69" s="1154"/>
      <c r="P69" s="557"/>
      <c r="Q69" s="558"/>
    </row>
    <row r="70" spans="1:17">
      <c r="A70" s="526" t="s">
        <v>2560</v>
      </c>
      <c r="B70" s="527" t="s">
        <v>2706</v>
      </c>
      <c r="C70" s="572" t="s">
        <v>2598</v>
      </c>
      <c r="D70" s="572" t="s">
        <v>2599</v>
      </c>
      <c r="E70" s="572" t="s">
        <v>2600</v>
      </c>
      <c r="F70" s="572" t="s">
        <v>2601</v>
      </c>
      <c r="G70" s="572" t="s">
        <v>2602</v>
      </c>
      <c r="H70" s="528"/>
      <c r="I70" s="528"/>
      <c r="J70" s="528"/>
      <c r="K70" s="573"/>
      <c r="L70" s="574"/>
      <c r="M70" s="575"/>
      <c r="N70" s="1152"/>
      <c r="O70" s="1152"/>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3"/>
      <c r="O71" s="1153"/>
      <c r="P71" s="45"/>
      <c r="Q71" s="503"/>
    </row>
    <row r="72" spans="1:17" ht="15.75" thickTop="1">
      <c r="A72" s="533"/>
      <c r="B72" s="537" t="s">
        <v>2603</v>
      </c>
      <c r="C72" s="577" t="s">
        <v>2598</v>
      </c>
      <c r="D72" s="577" t="s">
        <v>2599</v>
      </c>
      <c r="E72" s="577" t="s">
        <v>2600</v>
      </c>
      <c r="F72" s="577" t="s">
        <v>2601</v>
      </c>
      <c r="G72" s="577" t="s">
        <v>2602</v>
      </c>
      <c r="H72" s="538"/>
      <c r="I72" s="538"/>
      <c r="J72" s="538"/>
      <c r="K72" s="539"/>
      <c r="L72" s="540"/>
      <c r="M72" s="541"/>
      <c r="N72" s="1152"/>
      <c r="O72" s="1152"/>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3"/>
      <c r="O73" s="1153"/>
      <c r="P73" s="45"/>
      <c r="Q73" s="503"/>
    </row>
    <row r="74" spans="1:17" ht="15.75" thickTop="1">
      <c r="A74" s="533"/>
      <c r="B74" s="537" t="s">
        <v>2604</v>
      </c>
      <c r="C74" s="577" t="s">
        <v>2598</v>
      </c>
      <c r="D74" s="577" t="s">
        <v>2599</v>
      </c>
      <c r="E74" s="577" t="s">
        <v>2600</v>
      </c>
      <c r="F74" s="577" t="s">
        <v>2601</v>
      </c>
      <c r="G74" s="577" t="s">
        <v>2602</v>
      </c>
      <c r="H74" s="538"/>
      <c r="I74" s="538"/>
      <c r="J74" s="538"/>
      <c r="K74" s="539"/>
      <c r="L74" s="540"/>
      <c r="M74" s="541"/>
      <c r="N74" s="1152"/>
      <c r="O74" s="1152"/>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3"/>
      <c r="O75" s="1153"/>
      <c r="P75" s="45"/>
      <c r="Q75" s="503"/>
    </row>
    <row r="76" spans="1:17" ht="15.75" thickTop="1">
      <c r="A76" s="533"/>
      <c r="B76" s="545" t="s">
        <v>2690</v>
      </c>
      <c r="C76" s="659" t="s">
        <v>2676</v>
      </c>
      <c r="D76" s="659" t="s">
        <v>2677</v>
      </c>
      <c r="E76" s="659" t="s">
        <v>2678</v>
      </c>
      <c r="F76" s="659" t="s">
        <v>2679</v>
      </c>
      <c r="G76" s="659" t="s">
        <v>2680</v>
      </c>
      <c r="H76" s="538"/>
      <c r="I76" s="538"/>
      <c r="J76" s="538"/>
      <c r="K76" s="538"/>
      <c r="L76" s="538"/>
      <c r="M76" s="1382"/>
      <c r="N76" s="1153"/>
      <c r="O76" s="1153"/>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3"/>
      <c r="O77" s="1153"/>
      <c r="P77" s="45"/>
      <c r="Q77" s="503"/>
    </row>
    <row r="78" spans="1:17" ht="15.75" thickTop="1">
      <c r="A78" s="533"/>
      <c r="B78" s="537" t="s">
        <v>2699</v>
      </c>
      <c r="C78" s="577" t="s">
        <v>2598</v>
      </c>
      <c r="D78" s="577" t="s">
        <v>2599</v>
      </c>
      <c r="E78" s="577" t="s">
        <v>2600</v>
      </c>
      <c r="F78" s="577" t="s">
        <v>2601</v>
      </c>
      <c r="G78" s="577" t="s">
        <v>2602</v>
      </c>
      <c r="H78" s="538"/>
      <c r="I78" s="538"/>
      <c r="J78" s="538"/>
      <c r="K78" s="539"/>
      <c r="L78" s="540"/>
      <c r="M78" s="541"/>
      <c r="N78" s="1152"/>
      <c r="O78" s="1152"/>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3"/>
      <c r="O79" s="1153"/>
      <c r="P79" s="45"/>
      <c r="Q79" s="503"/>
    </row>
    <row r="80" spans="1:17" s="116" customFormat="1" ht="15.75" thickTop="1">
      <c r="A80" s="578"/>
      <c r="B80" s="537">
        <f>B25</f>
        <v>111</v>
      </c>
      <c r="C80" s="553"/>
      <c r="D80" s="553"/>
      <c r="E80" s="553"/>
      <c r="F80" s="553"/>
      <c r="G80" s="553"/>
      <c r="H80" s="553"/>
      <c r="I80" s="553"/>
      <c r="J80" s="553"/>
      <c r="K80" s="553"/>
      <c r="L80" s="579"/>
      <c r="M80" s="580"/>
      <c r="N80" s="1151"/>
      <c r="O80" s="1151"/>
      <c r="P80" s="45"/>
      <c r="Q80" s="503"/>
    </row>
    <row r="81" spans="1:17" s="116" customFormat="1" ht="15.75" thickBot="1">
      <c r="A81" s="578"/>
      <c r="B81" s="542"/>
      <c r="C81" s="559"/>
      <c r="D81" s="535"/>
      <c r="E81" s="535"/>
      <c r="F81" s="535"/>
      <c r="G81" s="535"/>
      <c r="H81" s="535"/>
      <c r="I81" s="535"/>
      <c r="J81" s="535"/>
      <c r="K81" s="535"/>
      <c r="L81" s="535"/>
      <c r="M81" s="536"/>
      <c r="N81" s="1153"/>
      <c r="O81" s="1153"/>
      <c r="P81" s="45"/>
      <c r="Q81" s="503"/>
    </row>
    <row r="82" spans="1:17" s="116" customFormat="1" ht="15.75" thickTop="1">
      <c r="A82" s="578"/>
      <c r="B82" s="537">
        <f>B26</f>
        <v>111</v>
      </c>
      <c r="C82" s="553"/>
      <c r="D82" s="553"/>
      <c r="E82" s="553"/>
      <c r="F82" s="553"/>
      <c r="G82" s="553"/>
      <c r="H82" s="553"/>
      <c r="I82" s="553"/>
      <c r="J82" s="553"/>
      <c r="K82" s="553"/>
      <c r="L82" s="579"/>
      <c r="M82" s="580"/>
      <c r="N82" s="1151"/>
      <c r="O82" s="1151"/>
      <c r="P82" s="45"/>
      <c r="Q82" s="503"/>
    </row>
    <row r="83" spans="1:17" s="116" customFormat="1" ht="15.75" thickBot="1">
      <c r="A83" s="578"/>
      <c r="B83" s="542"/>
      <c r="C83" s="559"/>
      <c r="D83" s="535"/>
      <c r="E83" s="535"/>
      <c r="F83" s="535"/>
      <c r="G83" s="535"/>
      <c r="H83" s="535"/>
      <c r="I83" s="535"/>
      <c r="J83" s="535"/>
      <c r="K83" s="535"/>
      <c r="L83" s="535"/>
      <c r="M83" s="536"/>
      <c r="N83" s="1153"/>
      <c r="O83" s="1153"/>
      <c r="P83" s="45"/>
      <c r="Q83" s="503"/>
    </row>
    <row r="84" spans="1:17" s="470" customFormat="1" ht="15.75" thickTop="1">
      <c r="A84" s="552"/>
      <c r="B84" s="537">
        <f>B27</f>
        <v>111</v>
      </c>
      <c r="C84" s="553"/>
      <c r="D84" s="553"/>
      <c r="E84" s="553"/>
      <c r="F84" s="553"/>
      <c r="G84" s="553"/>
      <c r="H84" s="553"/>
      <c r="I84" s="553"/>
      <c r="J84" s="553"/>
      <c r="K84" s="553"/>
      <c r="L84" s="579"/>
      <c r="M84" s="580"/>
      <c r="N84" s="1154"/>
      <c r="O84" s="1154"/>
      <c r="P84" s="557"/>
      <c r="Q84" s="558"/>
    </row>
    <row r="85" spans="1:17" s="470" customFormat="1" ht="15.75" thickBot="1">
      <c r="A85" s="552"/>
      <c r="B85" s="542"/>
      <c r="C85" s="559"/>
      <c r="D85" s="535"/>
      <c r="E85" s="535"/>
      <c r="F85" s="535"/>
      <c r="G85" s="535"/>
      <c r="H85" s="535"/>
      <c r="I85" s="535"/>
      <c r="J85" s="535"/>
      <c r="K85" s="535"/>
      <c r="L85" s="535"/>
      <c r="M85" s="536"/>
      <c r="N85" s="1154"/>
      <c r="O85" s="1154"/>
      <c r="P85" s="557"/>
      <c r="Q85" s="558"/>
    </row>
    <row r="86" spans="1:17" ht="15.75" thickTop="1">
      <c r="A86" s="533"/>
      <c r="B86" s="545">
        <f>B28</f>
        <v>111</v>
      </c>
      <c r="C86" s="522"/>
      <c r="D86" s="522"/>
      <c r="E86" s="522"/>
      <c r="F86" s="522"/>
      <c r="G86" s="586"/>
      <c r="H86" s="586"/>
      <c r="I86" s="586"/>
      <c r="J86" s="586"/>
      <c r="K86" s="587"/>
      <c r="L86" s="588"/>
      <c r="M86" s="589"/>
      <c r="N86" s="1152"/>
      <c r="O86" s="1152"/>
      <c r="P86" s="45"/>
      <c r="Q86" s="503"/>
    </row>
    <row r="87" spans="1:17" ht="15.75" thickBot="1">
      <c r="A87" s="2635"/>
      <c r="B87" s="568"/>
      <c r="C87" s="569"/>
      <c r="D87" s="569"/>
      <c r="E87" s="569"/>
      <c r="F87" s="569"/>
      <c r="G87" s="590"/>
      <c r="H87" s="590"/>
      <c r="I87" s="590"/>
      <c r="J87" s="590"/>
      <c r="K87" s="590"/>
      <c r="L87" s="590"/>
      <c r="M87" s="591"/>
      <c r="N87" s="1153"/>
      <c r="O87" s="1153"/>
      <c r="P87" s="45"/>
      <c r="Q87" s="503"/>
    </row>
    <row r="88" spans="1:17">
      <c r="A88" s="526" t="s">
        <v>2564</v>
      </c>
      <c r="B88" s="527" t="s">
        <v>2613</v>
      </c>
      <c r="C88" s="529"/>
      <c r="D88" s="529"/>
      <c r="E88" s="529"/>
      <c r="F88" s="529"/>
      <c r="G88" s="529"/>
      <c r="H88" s="529"/>
      <c r="I88" s="529"/>
      <c r="J88" s="529"/>
      <c r="K88" s="530"/>
      <c r="L88" s="531"/>
      <c r="M88" s="532"/>
      <c r="N88" s="1152"/>
      <c r="O88" s="1152"/>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3"/>
      <c r="O89" s="1153"/>
      <c r="P89" s="45"/>
      <c r="Q89" s="503"/>
    </row>
    <row r="90" spans="1:17" ht="15.75" thickTop="1">
      <c r="A90" s="533"/>
      <c r="B90" s="537" t="s">
        <v>2614</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1"/>
      <c r="O90" s="1151"/>
      <c r="P90" s="45"/>
      <c r="Q90" s="503"/>
    </row>
    <row r="91" spans="1:17" s="470" customFormat="1">
      <c r="A91" s="592"/>
      <c r="B91" s="593"/>
      <c r="C91" s="594"/>
      <c r="D91" s="594"/>
      <c r="E91" s="594"/>
      <c r="F91" s="594"/>
      <c r="G91" s="594"/>
      <c r="H91" s="594"/>
      <c r="I91" s="594"/>
      <c r="J91" s="595"/>
      <c r="K91" s="595"/>
      <c r="L91" s="596"/>
      <c r="M91" s="597"/>
      <c r="N91" s="1154"/>
      <c r="O91" s="1154"/>
      <c r="P91" s="557"/>
      <c r="Q91" s="558"/>
    </row>
    <row r="92" spans="1:17" s="470" customFormat="1" ht="15.75" thickBot="1">
      <c r="A92" s="552"/>
      <c r="B92" s="542"/>
      <c r="C92" s="559"/>
      <c r="D92" s="535"/>
      <c r="E92" s="535"/>
      <c r="F92" s="535"/>
      <c r="G92" s="535"/>
      <c r="H92" s="535"/>
      <c r="I92" s="535"/>
      <c r="J92" s="535"/>
      <c r="K92" s="535"/>
      <c r="L92" s="535"/>
      <c r="M92" s="536"/>
      <c r="N92" s="1153"/>
      <c r="O92" s="1153"/>
      <c r="P92" s="557"/>
      <c r="Q92" s="558"/>
    </row>
    <row r="93" spans="1:17" ht="15" thickTop="1">
      <c r="A93" s="598"/>
      <c r="B93" s="537" t="s">
        <v>2615</v>
      </c>
      <c r="C93" s="553"/>
      <c r="D93" s="553"/>
      <c r="E93" s="582"/>
      <c r="F93" s="582"/>
      <c r="G93" s="582"/>
      <c r="H93" s="582"/>
      <c r="I93" s="582"/>
      <c r="J93" s="582"/>
      <c r="K93" s="583"/>
      <c r="L93" s="584"/>
      <c r="M93" s="585"/>
      <c r="N93" s="1152"/>
      <c r="O93" s="1152"/>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3"/>
      <c r="O94" s="1153"/>
      <c r="P94" s="45"/>
      <c r="Q94" s="503"/>
    </row>
    <row r="95" spans="1:17" ht="15" thickTop="1">
      <c r="A95" s="598"/>
      <c r="B95" s="537" t="s">
        <v>2617</v>
      </c>
      <c r="C95" s="553"/>
      <c r="D95" s="553"/>
      <c r="E95" s="553"/>
      <c r="F95" s="582"/>
      <c r="G95" s="582"/>
      <c r="H95" s="582"/>
      <c r="I95" s="582"/>
      <c r="J95" s="582"/>
      <c r="K95" s="583"/>
      <c r="L95" s="584"/>
      <c r="M95" s="585"/>
      <c r="N95" s="1152"/>
      <c r="O95" s="1152"/>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3"/>
      <c r="O96" s="1153"/>
      <c r="P96" s="45"/>
      <c r="Q96" s="503"/>
    </row>
    <row r="97" spans="1:17" ht="15" thickTop="1">
      <c r="A97" s="598"/>
      <c r="B97" s="537" t="s">
        <v>1997</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2"/>
      <c r="O97" s="1152"/>
      <c r="P97" s="45"/>
      <c r="Q97" s="503"/>
    </row>
    <row r="98" spans="1:17">
      <c r="A98" s="598"/>
      <c r="B98" s="545"/>
      <c r="C98" s="602">
        <v>0.5</v>
      </c>
      <c r="D98" s="602">
        <v>0.6</v>
      </c>
      <c r="E98" s="602">
        <v>0.7</v>
      </c>
      <c r="F98" s="602">
        <v>0.8</v>
      </c>
      <c r="G98" s="602">
        <v>0.9</v>
      </c>
      <c r="H98" s="602">
        <v>1.0001</v>
      </c>
      <c r="I98" s="622"/>
      <c r="J98" s="622"/>
      <c r="K98" s="623"/>
      <c r="L98" s="624"/>
      <c r="M98" s="625"/>
      <c r="N98" s="1152"/>
      <c r="O98" s="1152"/>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3"/>
      <c r="O99" s="1153"/>
      <c r="P99" s="45"/>
      <c r="Q99" s="503"/>
    </row>
    <row r="100" spans="1:17" s="470" customFormat="1" ht="15" thickTop="1">
      <c r="A100" s="592"/>
      <c r="B100" s="537" t="s">
        <v>2618</v>
      </c>
      <c r="C100" s="553"/>
      <c r="D100" s="553"/>
      <c r="E100" s="553"/>
      <c r="F100" s="553"/>
      <c r="G100" s="553"/>
      <c r="H100" s="582"/>
      <c r="I100" s="582"/>
      <c r="J100" s="582"/>
      <c r="K100" s="583"/>
      <c r="L100" s="584"/>
      <c r="M100" s="585"/>
      <c r="N100" s="1154"/>
      <c r="O100" s="1154"/>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4"/>
      <c r="O101" s="1154"/>
      <c r="P101" s="557"/>
      <c r="Q101" s="558"/>
    </row>
    <row r="102" spans="1:17" ht="15" thickTop="1">
      <c r="A102" s="598"/>
      <c r="B102" s="537" t="s">
        <v>2619</v>
      </c>
      <c r="C102" s="553"/>
      <c r="D102" s="553"/>
      <c r="E102" s="553"/>
      <c r="F102" s="553"/>
      <c r="G102" s="553"/>
      <c r="H102" s="582"/>
      <c r="I102" s="582"/>
      <c r="J102" s="582"/>
      <c r="K102" s="583"/>
      <c r="L102" s="584"/>
      <c r="M102" s="585"/>
      <c r="N102" s="1152"/>
      <c r="O102" s="1152"/>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3"/>
      <c r="O103" s="1153"/>
      <c r="P103" s="45"/>
      <c r="Q103" s="503"/>
    </row>
    <row r="104" spans="1:17" ht="15" thickTop="1">
      <c r="A104" s="598"/>
      <c r="B104" s="537" t="s">
        <v>2621</v>
      </c>
      <c r="C104" s="553"/>
      <c r="D104" s="553"/>
      <c r="E104" s="553"/>
      <c r="F104" s="553"/>
      <c r="G104" s="553"/>
      <c r="H104" s="582"/>
      <c r="I104" s="582"/>
      <c r="J104" s="582"/>
      <c r="K104" s="583"/>
      <c r="L104" s="584"/>
      <c r="M104" s="585"/>
      <c r="N104" s="1152"/>
      <c r="O104" s="1152"/>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3"/>
      <c r="O105" s="1153"/>
      <c r="P105" s="45"/>
      <c r="Q105" s="503"/>
    </row>
    <row r="106" spans="1:17" ht="15" thickTop="1">
      <c r="A106" s="598"/>
      <c r="B106" s="635" t="s">
        <v>2707</v>
      </c>
      <c r="C106" s="577" t="s">
        <v>2598</v>
      </c>
      <c r="D106" s="577" t="s">
        <v>2599</v>
      </c>
      <c r="E106" s="577" t="s">
        <v>2600</v>
      </c>
      <c r="F106" s="577" t="s">
        <v>2601</v>
      </c>
      <c r="G106" s="577" t="s">
        <v>2602</v>
      </c>
      <c r="H106" s="538"/>
      <c r="I106" s="538"/>
      <c r="J106" s="538"/>
      <c r="K106" s="539"/>
      <c r="L106" s="540"/>
      <c r="M106" s="541"/>
      <c r="N106" s="1153"/>
      <c r="O106" s="1153"/>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3"/>
      <c r="O107" s="1153"/>
      <c r="P107" s="45"/>
      <c r="Q107" s="503"/>
    </row>
    <row r="108" spans="1:17" s="470" customFormat="1" ht="15" thickTop="1">
      <c r="A108" s="592"/>
      <c r="B108" s="537">
        <f>B38</f>
        <v>111</v>
      </c>
      <c r="C108" s="553"/>
      <c r="D108" s="553"/>
      <c r="E108" s="553"/>
      <c r="F108" s="553"/>
      <c r="G108" s="553"/>
      <c r="H108" s="554"/>
      <c r="I108" s="554"/>
      <c r="J108" s="554"/>
      <c r="K108" s="554"/>
      <c r="L108" s="555"/>
      <c r="M108" s="556"/>
      <c r="N108" s="1154"/>
      <c r="O108" s="1154"/>
      <c r="P108" s="557"/>
      <c r="Q108" s="558"/>
    </row>
    <row r="109" spans="1:17" s="470" customFormat="1" ht="15.75" thickBot="1">
      <c r="A109" s="552"/>
      <c r="B109" s="534"/>
      <c r="C109" s="559"/>
      <c r="D109" s="535"/>
      <c r="E109" s="535"/>
      <c r="F109" s="535"/>
      <c r="G109" s="559"/>
      <c r="H109" s="561"/>
      <c r="I109" s="561"/>
      <c r="J109" s="561"/>
      <c r="K109" s="561"/>
      <c r="L109" s="561"/>
      <c r="M109" s="562"/>
      <c r="N109" s="1154"/>
      <c r="O109" s="1154"/>
      <c r="P109" s="557"/>
      <c r="Q109" s="558"/>
    </row>
    <row r="110" spans="1:17" ht="15" thickTop="1">
      <c r="A110" s="598"/>
      <c r="B110" s="537">
        <f>B39</f>
        <v>111</v>
      </c>
      <c r="C110" s="553"/>
      <c r="D110" s="553"/>
      <c r="E110" s="553"/>
      <c r="F110" s="553"/>
      <c r="G110" s="553"/>
      <c r="H110" s="554"/>
      <c r="I110" s="554"/>
      <c r="J110" s="554"/>
      <c r="K110" s="554"/>
      <c r="L110" s="555"/>
      <c r="M110" s="556"/>
      <c r="N110" s="1152"/>
      <c r="O110" s="1152"/>
      <c r="P110" s="45"/>
      <c r="Q110" s="503"/>
    </row>
    <row r="111" spans="1:17" ht="15.75" thickBot="1">
      <c r="A111" s="533"/>
      <c r="B111" s="542"/>
      <c r="C111" s="559"/>
      <c r="D111" s="535"/>
      <c r="E111" s="535"/>
      <c r="F111" s="535"/>
      <c r="G111" s="559"/>
      <c r="H111" s="561"/>
      <c r="I111" s="561"/>
      <c r="J111" s="561"/>
      <c r="K111" s="561"/>
      <c r="L111" s="561"/>
      <c r="M111" s="562"/>
      <c r="N111" s="1153"/>
      <c r="O111" s="1153"/>
      <c r="P111" s="45"/>
      <c r="Q111" s="503"/>
    </row>
    <row r="112" spans="1:17" ht="15" thickTop="1">
      <c r="A112" s="598"/>
      <c r="B112" s="545">
        <f>B40</f>
        <v>111</v>
      </c>
      <c r="C112" s="522"/>
      <c r="D112" s="522"/>
      <c r="E112" s="522"/>
      <c r="F112" s="522"/>
      <c r="G112" s="586"/>
      <c r="H112" s="586"/>
      <c r="I112" s="586"/>
      <c r="J112" s="586"/>
      <c r="K112" s="522"/>
      <c r="L112" s="523"/>
      <c r="M112" s="589"/>
      <c r="N112" s="1152"/>
      <c r="O112" s="1152"/>
      <c r="P112" s="45"/>
      <c r="Q112" s="503"/>
    </row>
    <row r="113" spans="1:17" ht="15.75" thickBot="1">
      <c r="A113" s="2635"/>
      <c r="B113" s="568"/>
      <c r="C113" s="569"/>
      <c r="D113" s="569"/>
      <c r="E113" s="569"/>
      <c r="F113" s="569"/>
      <c r="G113" s="590"/>
      <c r="H113" s="590"/>
      <c r="I113" s="590"/>
      <c r="J113" s="590"/>
      <c r="K113" s="590"/>
      <c r="L113" s="590"/>
      <c r="M113" s="591"/>
      <c r="N113" s="1153"/>
      <c r="O113" s="1153"/>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10" zoomScale="85" zoomScaleNormal="85" workbookViewId="0">
      <selection activeCell="N16" sqref="N16"/>
    </sheetView>
  </sheetViews>
  <sheetFormatPr defaultRowHeight="14.25"/>
  <cols>
    <col min="1" max="1" width="10.5" style="402" customWidth="1"/>
    <col min="2" max="2" width="15.75" style="402" customWidth="1"/>
    <col min="3" max="3" width="16.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2708</v>
      </c>
      <c r="B1" s="1620" t="s">
        <v>3079</v>
      </c>
      <c r="C1" s="1621" t="s">
        <v>2531</v>
      </c>
      <c r="D1" s="1622" t="s">
        <v>3093</v>
      </c>
      <c r="E1" s="1623"/>
      <c r="F1" s="2583" t="s">
        <v>3184</v>
      </c>
      <c r="G1" s="1624" t="s">
        <v>2644</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7" customFormat="1" ht="28.5" customHeight="1" thickTop="1">
      <c r="A2" s="1618" t="s">
        <v>2331</v>
      </c>
      <c r="B2" s="1418">
        <f>IF(C2="——",IF(B37="元/平方米",ROUND(C39*D3/10000,0),ROUND(F3*C39/10000,0)),IF(B37="元/平方米",ROUND(C39*D3/10000,0),ROUND(F3*C39/10000,0))-D2)</f>
        <v>0</v>
      </c>
      <c r="C2" s="2585" t="s">
        <v>70</v>
      </c>
      <c r="D2" s="1124" t="e">
        <f ca="1">SUMIF(INDIRECT("'"&amp;F2&amp;"'"&amp;"!A:A"),"承租人权益价值",INDIRECT("'"&amp;F2&amp;"'"&amp;"!c:c"))</f>
        <v>#REF!</v>
      </c>
      <c r="E2" s="2586" t="s">
        <v>2332</v>
      </c>
      <c r="F2" s="2587"/>
      <c r="G2" s="1125"/>
      <c r="H2" s="1125"/>
      <c r="I2" s="1125"/>
      <c r="J2" s="1125"/>
      <c r="K2" s="1127"/>
      <c r="L2" s="1128"/>
      <c r="M2" s="1129"/>
      <c r="N2" s="1129"/>
      <c r="O2" s="1129"/>
      <c r="P2" s="1419"/>
      <c r="Q2" s="767"/>
      <c r="R2" s="767"/>
      <c r="S2" s="767"/>
      <c r="T2" s="767"/>
      <c r="U2" s="767"/>
      <c r="V2" s="767"/>
      <c r="W2" s="767"/>
      <c r="X2" s="767"/>
      <c r="Y2" s="767"/>
      <c r="Z2" s="767"/>
      <c r="AA2" s="767"/>
      <c r="AB2" s="767"/>
      <c r="AC2" s="768"/>
    </row>
    <row r="3" spans="1:29" s="397" customFormat="1" ht="28.5" customHeight="1" thickBot="1">
      <c r="A3" s="246" t="s">
        <v>2333</v>
      </c>
      <c r="B3" s="608">
        <f>IF(AND(C2="——",B37="元/平方米"),C39,ROUND(B2*10000/D3,0))</f>
        <v>0</v>
      </c>
      <c r="C3" s="399" t="s">
        <v>2645</v>
      </c>
      <c r="D3" s="398">
        <f>SUMIF('数据-汇总表'!$C19:$C33,D1,'数据-汇总表'!$E19:$E33)</f>
        <v>24825.22</v>
      </c>
      <c r="E3" s="399" t="s">
        <v>2709</v>
      </c>
      <c r="F3" s="398">
        <f>SUMIF('数据-取费表'!A5:A15,D1,'数据-取费表'!AH5:AH15)</f>
        <v>0</v>
      </c>
      <c r="G3" s="1125"/>
      <c r="H3" s="1125"/>
      <c r="I3" s="1125"/>
      <c r="J3" s="1125"/>
      <c r="K3" s="1127"/>
      <c r="L3" s="1128"/>
      <c r="M3" s="1129"/>
      <c r="N3" s="1129"/>
      <c r="O3" s="1129"/>
      <c r="P3" s="1419"/>
      <c r="Q3" s="767"/>
      <c r="R3" s="767"/>
      <c r="S3" s="767"/>
      <c r="T3" s="767"/>
      <c r="U3" s="767"/>
      <c r="V3" s="767"/>
      <c r="W3" s="767"/>
      <c r="X3" s="767"/>
      <c r="Y3" s="767"/>
      <c r="Z3" s="767"/>
      <c r="AA3" s="767"/>
      <c r="AB3" s="785"/>
      <c r="AC3" s="781"/>
    </row>
    <row r="4" spans="1:29" ht="15">
      <c r="A4" s="400" t="s">
        <v>2646</v>
      </c>
      <c r="B4" s="401"/>
      <c r="C4" s="3139" t="s">
        <v>2647</v>
      </c>
      <c r="D4" s="3152"/>
      <c r="E4" s="3153" t="s">
        <v>2648</v>
      </c>
      <c r="F4" s="3154"/>
      <c r="G4" s="3139" t="s">
        <v>2649</v>
      </c>
      <c r="H4" s="3152"/>
      <c r="I4" s="3139" t="s">
        <v>2650</v>
      </c>
      <c r="J4" s="3152"/>
      <c r="K4" s="609" t="s">
        <v>2651</v>
      </c>
      <c r="L4" s="1130"/>
      <c r="M4" s="1131"/>
      <c r="N4" s="1131"/>
      <c r="O4" s="1131"/>
      <c r="P4" s="3155" t="s">
        <v>2652</v>
      </c>
      <c r="Q4" s="3156"/>
      <c r="R4" s="3161" t="s">
        <v>2648</v>
      </c>
      <c r="S4" s="3162"/>
      <c r="T4" s="3161" t="s">
        <v>2649</v>
      </c>
      <c r="U4" s="3162"/>
      <c r="V4" s="3148" t="s">
        <v>2650</v>
      </c>
      <c r="W4" s="3148"/>
      <c r="X4" s="1814"/>
      <c r="Y4" s="3161" t="s">
        <v>2652</v>
      </c>
      <c r="Z4" s="3162"/>
      <c r="AA4" s="3149" t="s">
        <v>2648</v>
      </c>
      <c r="AB4" s="3150" t="s">
        <v>2649</v>
      </c>
      <c r="AC4" s="3149" t="s">
        <v>2650</v>
      </c>
    </row>
    <row r="5" spans="1:29" ht="15">
      <c r="A5" s="403"/>
      <c r="B5" s="404"/>
      <c r="C5" s="3213" t="str">
        <f>'土地比较法-住宅、综合'!C5:D5</f>
        <v>陕西省西安市新城区华清西路以南、金花北路以西</v>
      </c>
      <c r="D5" s="3170"/>
      <c r="E5" s="3176" t="s">
        <v>3148</v>
      </c>
      <c r="F5" s="3177"/>
      <c r="G5" s="3169" t="s">
        <v>3201</v>
      </c>
      <c r="H5" s="3170"/>
      <c r="I5" s="3169" t="s">
        <v>3203</v>
      </c>
      <c r="J5" s="3170"/>
      <c r="K5" s="609"/>
      <c r="L5" s="1130"/>
      <c r="M5" s="1131"/>
      <c r="N5" s="1131"/>
      <c r="O5" s="1131"/>
      <c r="P5" s="3157"/>
      <c r="Q5" s="3158"/>
      <c r="R5" s="3163"/>
      <c r="S5" s="3164"/>
      <c r="T5" s="3163"/>
      <c r="U5" s="3164"/>
      <c r="V5" s="3148"/>
      <c r="W5" s="3148"/>
      <c r="X5" s="1814"/>
      <c r="Y5" s="3163"/>
      <c r="Z5" s="3164"/>
      <c r="AA5" s="3150"/>
      <c r="AB5" s="3150"/>
      <c r="AC5" s="3150"/>
    </row>
    <row r="6" spans="1:29" ht="30.75" customHeight="1" thickBot="1">
      <c r="A6" s="405"/>
      <c r="B6" s="406"/>
      <c r="C6" s="3214" t="str">
        <f>'土地比较法-住宅、综合'!C6:D6</f>
        <v>陕西省西安市新城区华清西路以南、金花北路以西</v>
      </c>
      <c r="D6" s="3168"/>
      <c r="E6" s="3174" t="s">
        <v>3149</v>
      </c>
      <c r="F6" s="3175"/>
      <c r="G6" s="3167" t="s">
        <v>3202</v>
      </c>
      <c r="H6" s="3168"/>
      <c r="I6" s="3167" t="s">
        <v>3204</v>
      </c>
      <c r="J6" s="3168"/>
      <c r="K6" s="609" t="s">
        <v>2548</v>
      </c>
      <c r="L6" s="1130"/>
      <c r="M6" s="1131"/>
      <c r="N6" s="1131"/>
      <c r="O6" s="1131"/>
      <c r="P6" s="3159"/>
      <c r="Q6" s="3160"/>
      <c r="R6" s="3163"/>
      <c r="S6" s="3164"/>
      <c r="T6" s="3165"/>
      <c r="U6" s="3166"/>
      <c r="V6" s="3148"/>
      <c r="W6" s="3148"/>
      <c r="X6" s="1814"/>
      <c r="Y6" s="3165"/>
      <c r="Z6" s="3166"/>
      <c r="AA6" s="3151"/>
      <c r="AB6" s="3151"/>
      <c r="AC6" s="3151"/>
    </row>
    <row r="7" spans="1:29" s="116" customFormat="1" ht="15.75" thickBot="1">
      <c r="A7" s="407" t="s">
        <v>2549</v>
      </c>
      <c r="B7" s="408"/>
      <c r="C7" s="409">
        <f>'数据-取费表'!B2</f>
        <v>43025</v>
      </c>
      <c r="D7" s="410">
        <v>100</v>
      </c>
      <c r="E7" s="411">
        <f>C7</f>
        <v>43025</v>
      </c>
      <c r="F7" s="412">
        <f>SUMIF(48:48,YEAR(E7)&amp;"-"&amp;MONTH(E7),49:49)</f>
        <v>100</v>
      </c>
      <c r="G7" s="411">
        <f>C7</f>
        <v>43025</v>
      </c>
      <c r="H7" s="410">
        <f>SUMIF(48:48,YEAR(G7)&amp;"-"&amp;MONTH(G7),49:49)</f>
        <v>100</v>
      </c>
      <c r="I7" s="411">
        <f>C7</f>
        <v>43025</v>
      </c>
      <c r="J7" s="410">
        <f>SUMIF(48:48,YEAR(I7)&amp;"-"&amp;MONTH(I7),49:49)</f>
        <v>100</v>
      </c>
      <c r="K7" s="610"/>
      <c r="L7" s="1132"/>
      <c r="M7" s="1133"/>
      <c r="N7" s="1133"/>
      <c r="O7" s="1133"/>
      <c r="P7" s="3171" t="s">
        <v>2550</v>
      </c>
      <c r="Q7" s="3173"/>
      <c r="R7" s="769" t="s">
        <v>17</v>
      </c>
      <c r="S7" s="770">
        <f t="shared" ref="S7:S14" si="0">F7</f>
        <v>100</v>
      </c>
      <c r="T7" s="769" t="s">
        <v>17</v>
      </c>
      <c r="U7" s="770">
        <f t="shared" ref="U7:U14" si="1">H7</f>
        <v>100</v>
      </c>
      <c r="V7" s="769" t="s">
        <v>17</v>
      </c>
      <c r="W7" s="770">
        <f t="shared" ref="W7:W14" si="2">J7</f>
        <v>100</v>
      </c>
      <c r="X7" s="771"/>
      <c r="Y7" s="3171" t="s">
        <v>2550</v>
      </c>
      <c r="Z7" s="3172"/>
      <c r="AA7" s="772">
        <f>D7/F7</f>
        <v>1</v>
      </c>
      <c r="AB7" s="772">
        <f>D7/H7</f>
        <v>1</v>
      </c>
      <c r="AC7" s="772">
        <f>D7/J7</f>
        <v>1</v>
      </c>
    </row>
    <row r="8" spans="1:29" s="116" customFormat="1" ht="15.75" thickBot="1">
      <c r="A8" s="407" t="s">
        <v>2551</v>
      </c>
      <c r="B8" s="408"/>
      <c r="C8" s="413" t="s">
        <v>2653</v>
      </c>
      <c r="D8" s="410">
        <v>100</v>
      </c>
      <c r="E8" s="413" t="s">
        <v>3105</v>
      </c>
      <c r="F8" s="412">
        <f>SUMIF(51:51,E8,52:52)-SUMIF(51:51,C8,52:52)+100</f>
        <v>100</v>
      </c>
      <c r="G8" s="413" t="s">
        <v>3105</v>
      </c>
      <c r="H8" s="410">
        <f>SUMIF(51:51,G8,52:52)-SUMIF(51:51,C8,52:52)+100</f>
        <v>100</v>
      </c>
      <c r="I8" s="413" t="s">
        <v>3105</v>
      </c>
      <c r="J8" s="410">
        <f>SUMIF(51:51,I8,52:52)-SUMIF(51:51,C8,52:52)+100</f>
        <v>100</v>
      </c>
      <c r="K8" s="610"/>
      <c r="L8" s="1132"/>
      <c r="M8" s="1133"/>
      <c r="N8" s="1133"/>
      <c r="O8" s="1133"/>
      <c r="P8" s="3171" t="s">
        <v>2553</v>
      </c>
      <c r="Q8" s="3172"/>
      <c r="R8" s="769" t="s">
        <v>17</v>
      </c>
      <c r="S8" s="770">
        <f t="shared" si="0"/>
        <v>100</v>
      </c>
      <c r="T8" s="769" t="s">
        <v>17</v>
      </c>
      <c r="U8" s="770">
        <f t="shared" si="1"/>
        <v>100</v>
      </c>
      <c r="V8" s="769" t="s">
        <v>17</v>
      </c>
      <c r="W8" s="770">
        <f t="shared" si="2"/>
        <v>100</v>
      </c>
      <c r="X8" s="771"/>
      <c r="Y8" s="3171" t="s">
        <v>2553</v>
      </c>
      <c r="Z8" s="3172"/>
      <c r="AA8" s="772">
        <f t="shared" ref="AA8:AA36" si="3">D8/F8</f>
        <v>1</v>
      </c>
      <c r="AB8" s="772">
        <f t="shared" ref="AB8:AB36" si="4">D8/H8</f>
        <v>1</v>
      </c>
      <c r="AC8" s="772">
        <f t="shared" ref="AC8:AC36" si="5">D8/J8</f>
        <v>1</v>
      </c>
    </row>
    <row r="9" spans="1:29" s="116" customFormat="1">
      <c r="A9" s="67" t="s">
        <v>2554</v>
      </c>
      <c r="B9" s="639" t="s">
        <v>2555</v>
      </c>
      <c r="C9" s="2940" t="s">
        <v>3185</v>
      </c>
      <c r="D9" s="133">
        <v>100</v>
      </c>
      <c r="E9" s="418" t="s">
        <v>48</v>
      </c>
      <c r="F9" s="133">
        <f>SUMIF(53:53,E9,54:54)-SUMIF(53:53,C9,54:54)+100</f>
        <v>100</v>
      </c>
      <c r="G9" s="416" t="s">
        <v>48</v>
      </c>
      <c r="H9" s="133">
        <f>SUMIF(53:53,G9,54:54)-SUMIF(53:53,C9,54:54)+100</f>
        <v>100</v>
      </c>
      <c r="I9" s="416" t="s">
        <v>48</v>
      </c>
      <c r="J9" s="133">
        <f>SUMIF(53:53,I9,54:54)-SUMIF(53:53,C9,54:54)+100</f>
        <v>100</v>
      </c>
      <c r="K9" s="610"/>
      <c r="L9" s="1132"/>
      <c r="M9" s="1133"/>
      <c r="N9" s="1133"/>
      <c r="O9" s="1133"/>
      <c r="P9" s="3142" t="s">
        <v>2556</v>
      </c>
      <c r="Q9" s="1796" t="str">
        <f t="shared" ref="Q9:Q14" si="6">B9</f>
        <v>用途</v>
      </c>
      <c r="R9" s="769" t="s">
        <v>17</v>
      </c>
      <c r="S9" s="770">
        <f t="shared" si="0"/>
        <v>100</v>
      </c>
      <c r="T9" s="769" t="s">
        <v>17</v>
      </c>
      <c r="U9" s="770">
        <f t="shared" si="1"/>
        <v>100</v>
      </c>
      <c r="V9" s="769" t="s">
        <v>17</v>
      </c>
      <c r="W9" s="770">
        <f t="shared" si="2"/>
        <v>100</v>
      </c>
      <c r="X9" s="771"/>
      <c r="Y9" s="2990" t="s">
        <v>2557</v>
      </c>
      <c r="Z9" s="55" t="str">
        <f t="shared" ref="Z9:Z14" si="7">Q9</f>
        <v>用途</v>
      </c>
      <c r="AA9" s="772">
        <f t="shared" si="3"/>
        <v>1</v>
      </c>
      <c r="AB9" s="772">
        <f t="shared" si="4"/>
        <v>1</v>
      </c>
      <c r="AC9" s="772">
        <f t="shared" si="5"/>
        <v>1</v>
      </c>
    </row>
    <row r="10" spans="1:29" s="426" customFormat="1" ht="27.75" thickBot="1">
      <c r="A10" s="640"/>
      <c r="B10" s="641" t="s">
        <v>2558</v>
      </c>
      <c r="C10" s="422" t="s">
        <v>3186</v>
      </c>
      <c r="D10" s="134">
        <v>100</v>
      </c>
      <c r="E10" s="422" t="s">
        <v>3186</v>
      </c>
      <c r="F10" s="134">
        <f>SUMIF(55:55,E10,56:56)-SUMIF(55:55,C10,56:56)+100</f>
        <v>100</v>
      </c>
      <c r="G10" s="423" t="s">
        <v>3186</v>
      </c>
      <c r="H10" s="134">
        <f>SUMIF(55:55,G10,56:56)-SUMIF(55:55,C10,56:56)+100</f>
        <v>100</v>
      </c>
      <c r="I10" s="422" t="s">
        <v>3186</v>
      </c>
      <c r="J10" s="134">
        <f>SUMIF(55:55,I10,56:56)-SUMIF(55:55,C10,56:56)+100</f>
        <v>100</v>
      </c>
      <c r="K10" s="611"/>
      <c r="L10" s="1135"/>
      <c r="M10" s="1136"/>
      <c r="N10" s="1136"/>
      <c r="O10" s="1136"/>
      <c r="P10" s="3142"/>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29" ht="15" hidden="1">
      <c r="A11" s="642"/>
      <c r="B11" s="643">
        <v>111</v>
      </c>
      <c r="C11" s="431"/>
      <c r="D11" s="134">
        <v>100</v>
      </c>
      <c r="E11" s="431"/>
      <c r="F11" s="134">
        <f>SUMIF(57:57,E11,58:58)-SUMIF(57:57,C11,58:58)+100</f>
        <v>100</v>
      </c>
      <c r="G11" s="431"/>
      <c r="H11" s="134">
        <f>SUMIF(57:57,G11,58:58)-SUMIF(57:57,C11,58:58)+100</f>
        <v>100</v>
      </c>
      <c r="I11" s="431"/>
      <c r="J11" s="134">
        <f>SUMIF(57:57,I11,58:58)-SUMIF(57:57,C11,58:58)+100</f>
        <v>100</v>
      </c>
      <c r="K11" s="612"/>
      <c r="L11" s="1138"/>
      <c r="M11" s="1131"/>
      <c r="N11" s="1131"/>
      <c r="O11" s="1131"/>
      <c r="P11" s="3142"/>
      <c r="Q11" s="1796">
        <f t="shared" si="6"/>
        <v>111</v>
      </c>
      <c r="R11" s="769" t="s">
        <v>17</v>
      </c>
      <c r="S11" s="770">
        <f t="shared" si="0"/>
        <v>100</v>
      </c>
      <c r="T11" s="769" t="s">
        <v>17</v>
      </c>
      <c r="U11" s="770">
        <f t="shared" si="1"/>
        <v>100</v>
      </c>
      <c r="V11" s="769" t="s">
        <v>17</v>
      </c>
      <c r="W11" s="770">
        <f t="shared" si="2"/>
        <v>100</v>
      </c>
      <c r="X11" s="771"/>
      <c r="Y11" s="2990"/>
      <c r="Z11" s="55">
        <f t="shared" si="7"/>
        <v>111</v>
      </c>
      <c r="AA11" s="772">
        <f t="shared" si="3"/>
        <v>1</v>
      </c>
      <c r="AB11" s="772">
        <f t="shared" si="4"/>
        <v>1</v>
      </c>
      <c r="AC11" s="772">
        <f t="shared" si="5"/>
        <v>1</v>
      </c>
    </row>
    <row r="12" spans="1:29" s="116" customFormat="1" ht="15" hidden="1">
      <c r="A12" s="644"/>
      <c r="B12" s="643">
        <v>111</v>
      </c>
      <c r="C12" s="431"/>
      <c r="D12" s="432">
        <v>100</v>
      </c>
      <c r="E12" s="431"/>
      <c r="F12" s="134">
        <f>SUMIF(59:59,E12,60:60)-SUMIF(59:59,C12,60:60)+100</f>
        <v>100</v>
      </c>
      <c r="G12" s="431"/>
      <c r="H12" s="134">
        <f>SUMIF(59:59,G12,60:60)-SUMIF(59:59,C12,60:60)+100</f>
        <v>100</v>
      </c>
      <c r="I12" s="431"/>
      <c r="J12" s="134">
        <f>SUMIF(59:59,I12,60:60)-SUMIF(59:59,C12,60:60)+100</f>
        <v>100</v>
      </c>
      <c r="K12" s="612"/>
      <c r="L12" s="1132"/>
      <c r="M12" s="1133"/>
      <c r="N12" s="1133"/>
      <c r="O12" s="1133"/>
      <c r="P12" s="3142"/>
      <c r="Q12" s="1796">
        <f t="shared" si="6"/>
        <v>111</v>
      </c>
      <c r="R12" s="769" t="s">
        <v>17</v>
      </c>
      <c r="S12" s="770">
        <f t="shared" si="0"/>
        <v>100</v>
      </c>
      <c r="T12" s="769" t="s">
        <v>17</v>
      </c>
      <c r="U12" s="770">
        <f t="shared" si="1"/>
        <v>100</v>
      </c>
      <c r="V12" s="769" t="s">
        <v>17</v>
      </c>
      <c r="W12" s="770">
        <f t="shared" si="2"/>
        <v>100</v>
      </c>
      <c r="X12" s="771"/>
      <c r="Y12" s="2990"/>
      <c r="Z12" s="55">
        <f t="shared" si="7"/>
        <v>111</v>
      </c>
      <c r="AA12" s="772">
        <f>D12/F12</f>
        <v>1</v>
      </c>
      <c r="AB12" s="772">
        <f>D12/H12</f>
        <v>1</v>
      </c>
      <c r="AC12" s="772">
        <f>D12/J12</f>
        <v>1</v>
      </c>
    </row>
    <row r="13" spans="1:29" ht="15.75" hidden="1" thickBot="1">
      <c r="A13" s="645"/>
      <c r="B13" s="643">
        <v>111</v>
      </c>
      <c r="C13" s="433"/>
      <c r="D13" s="434">
        <v>100</v>
      </c>
      <c r="E13" s="431"/>
      <c r="F13" s="134">
        <f>SUMIF(61:61,E13,62:62)-SUMIF(61:61,C13,62:62)+100</f>
        <v>100</v>
      </c>
      <c r="G13" s="431"/>
      <c r="H13" s="434">
        <f>SUMIF(61:61,G13,62:62)-SUMIF(61:61,C13,62:62)+100</f>
        <v>100</v>
      </c>
      <c r="I13" s="431"/>
      <c r="J13" s="434">
        <f>SUMIF(61:61,I13,62:62)-SUMIF(61:61,C13,62:62)+100</f>
        <v>100</v>
      </c>
      <c r="K13" s="612"/>
      <c r="L13" s="1140"/>
      <c r="M13" s="1131"/>
      <c r="N13" s="1131"/>
      <c r="O13" s="1131"/>
      <c r="P13" s="3142"/>
      <c r="Q13" s="1796">
        <f t="shared" si="6"/>
        <v>111</v>
      </c>
      <c r="R13" s="769" t="s">
        <v>17</v>
      </c>
      <c r="S13" s="770">
        <f t="shared" si="0"/>
        <v>100</v>
      </c>
      <c r="T13" s="769" t="s">
        <v>17</v>
      </c>
      <c r="U13" s="770">
        <f t="shared" si="1"/>
        <v>100</v>
      </c>
      <c r="V13" s="769" t="s">
        <v>17</v>
      </c>
      <c r="W13" s="770">
        <f t="shared" si="2"/>
        <v>100</v>
      </c>
      <c r="X13" s="771"/>
      <c r="Y13" s="2990"/>
      <c r="Z13" s="55">
        <f t="shared" si="7"/>
        <v>111</v>
      </c>
      <c r="AA13" s="772">
        <f t="shared" si="3"/>
        <v>1</v>
      </c>
      <c r="AB13" s="772">
        <f t="shared" si="4"/>
        <v>1</v>
      </c>
      <c r="AC13" s="772">
        <f t="shared" si="5"/>
        <v>1</v>
      </c>
    </row>
    <row r="14" spans="1:29" ht="71.25">
      <c r="A14" s="400" t="s">
        <v>2560</v>
      </c>
      <c r="B14" s="628" t="s">
        <v>2710</v>
      </c>
      <c r="C14" s="2692"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0"/>
      <c r="M14" s="1131"/>
      <c r="N14" s="1131"/>
      <c r="O14" s="1131"/>
      <c r="P14" s="3144" t="s">
        <v>2561</v>
      </c>
      <c r="Q14" s="1811" t="str">
        <f t="shared" si="6"/>
        <v>交通便捷度</v>
      </c>
      <c r="R14" s="773" t="s">
        <v>17</v>
      </c>
      <c r="S14" s="774">
        <f t="shared" si="0"/>
        <v>100</v>
      </c>
      <c r="T14" s="773" t="s">
        <v>17</v>
      </c>
      <c r="U14" s="774">
        <f t="shared" si="1"/>
        <v>100</v>
      </c>
      <c r="V14" s="773" t="s">
        <v>17</v>
      </c>
      <c r="W14" s="774">
        <f t="shared" si="2"/>
        <v>100</v>
      </c>
      <c r="X14" s="1814"/>
      <c r="Y14" s="3144" t="s">
        <v>2561</v>
      </c>
      <c r="Z14" s="1815" t="str">
        <f t="shared" si="7"/>
        <v>交通便捷度</v>
      </c>
      <c r="AA14" s="1812">
        <f t="shared" si="3"/>
        <v>1</v>
      </c>
      <c r="AB14" s="1812">
        <f t="shared" si="4"/>
        <v>1</v>
      </c>
      <c r="AC14" s="1812">
        <f t="shared" si="5"/>
        <v>1</v>
      </c>
    </row>
    <row r="15" spans="1:29" ht="15">
      <c r="A15" s="403"/>
      <c r="B15" s="646"/>
      <c r="C15" s="446" t="s">
        <v>3109</v>
      </c>
      <c r="D15" s="447"/>
      <c r="E15" s="446" t="s">
        <v>3109</v>
      </c>
      <c r="F15" s="448"/>
      <c r="G15" s="446" t="s">
        <v>3109</v>
      </c>
      <c r="H15" s="449"/>
      <c r="I15" s="446" t="s">
        <v>3109</v>
      </c>
      <c r="J15" s="447"/>
      <c r="K15" s="614"/>
      <c r="L15" s="1140"/>
      <c r="M15" s="1131"/>
      <c r="N15" s="1131"/>
      <c r="O15" s="1131"/>
      <c r="P15" s="3145"/>
      <c r="Q15" s="1811"/>
      <c r="R15" s="773"/>
      <c r="S15" s="774"/>
      <c r="T15" s="773"/>
      <c r="U15" s="774"/>
      <c r="V15" s="773"/>
      <c r="W15" s="774"/>
      <c r="X15" s="1814"/>
      <c r="Y15" s="3145"/>
      <c r="Z15" s="1815"/>
      <c r="AA15" s="1812">
        <v>1</v>
      </c>
      <c r="AB15" s="1812">
        <v>1</v>
      </c>
      <c r="AC15" s="1812">
        <v>1</v>
      </c>
    </row>
    <row r="16" spans="1:29" ht="42.75">
      <c r="A16" s="403"/>
      <c r="B16" s="630" t="s">
        <v>2689</v>
      </c>
      <c r="C16" s="2606"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v>2</v>
      </c>
      <c r="L16" s="1140"/>
      <c r="M16" s="1131"/>
      <c r="N16" s="1131"/>
      <c r="O16" s="1131"/>
      <c r="P16" s="3145"/>
      <c r="Q16" s="1811" t="str">
        <f>B16</f>
        <v>公共配套设施</v>
      </c>
      <c r="R16" s="773" t="s">
        <v>17</v>
      </c>
      <c r="S16" s="774">
        <f>F16</f>
        <v>100</v>
      </c>
      <c r="T16" s="773" t="s">
        <v>17</v>
      </c>
      <c r="U16" s="774">
        <f>H16</f>
        <v>100</v>
      </c>
      <c r="V16" s="773" t="s">
        <v>17</v>
      </c>
      <c r="W16" s="774">
        <f>J16</f>
        <v>100</v>
      </c>
      <c r="X16" s="1814"/>
      <c r="Y16" s="3145"/>
      <c r="Z16" s="1815" t="str">
        <f>Q16</f>
        <v>公共配套设施</v>
      </c>
      <c r="AA16" s="1812">
        <f t="shared" si="3"/>
        <v>1</v>
      </c>
      <c r="AB16" s="1812">
        <f t="shared" si="4"/>
        <v>1</v>
      </c>
      <c r="AC16" s="1812">
        <f t="shared" si="5"/>
        <v>1</v>
      </c>
    </row>
    <row r="17" spans="1:29" ht="15">
      <c r="A17" s="403"/>
      <c r="B17" s="631"/>
      <c r="C17" s="2607" t="s">
        <v>3108</v>
      </c>
      <c r="D17" s="447"/>
      <c r="E17" s="446" t="s">
        <v>3108</v>
      </c>
      <c r="F17" s="448"/>
      <c r="G17" s="446" t="s">
        <v>3108</v>
      </c>
      <c r="H17" s="447"/>
      <c r="I17" s="446" t="s">
        <v>3108</v>
      </c>
      <c r="J17" s="447"/>
      <c r="K17" s="614"/>
      <c r="L17" s="1140"/>
      <c r="M17" s="1131"/>
      <c r="N17" s="1131"/>
      <c r="O17" s="1131"/>
      <c r="P17" s="3145"/>
      <c r="Q17" s="1811"/>
      <c r="R17" s="773"/>
      <c r="S17" s="774"/>
      <c r="T17" s="773"/>
      <c r="U17" s="774"/>
      <c r="V17" s="773"/>
      <c r="W17" s="774"/>
      <c r="X17" s="1814"/>
      <c r="Y17" s="3145"/>
      <c r="Z17" s="1815"/>
      <c r="AA17" s="1812">
        <v>1</v>
      </c>
      <c r="AB17" s="1812">
        <v>1</v>
      </c>
      <c r="AC17" s="1812">
        <v>1</v>
      </c>
    </row>
    <row r="18" spans="1:29" ht="28.5">
      <c r="A18" s="403"/>
      <c r="B18" s="632" t="s">
        <v>2690</v>
      </c>
      <c r="C18" s="2606"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0"/>
      <c r="M18" s="1131"/>
      <c r="N18" s="1131"/>
      <c r="O18" s="1131"/>
      <c r="P18" s="3145"/>
      <c r="Q18" s="1811" t="str">
        <f>B18</f>
        <v>基础设施水平</v>
      </c>
      <c r="R18" s="773" t="s">
        <v>17</v>
      </c>
      <c r="S18" s="774">
        <f>F18</f>
        <v>100</v>
      </c>
      <c r="T18" s="773" t="s">
        <v>17</v>
      </c>
      <c r="U18" s="774">
        <f>H18</f>
        <v>100</v>
      </c>
      <c r="V18" s="773" t="s">
        <v>17</v>
      </c>
      <c r="W18" s="774">
        <f>J18</f>
        <v>100</v>
      </c>
      <c r="X18" s="1814"/>
      <c r="Y18" s="3145"/>
      <c r="Z18" s="1815" t="str">
        <f>Q18</f>
        <v>基础设施水平</v>
      </c>
      <c r="AA18" s="1812">
        <f t="shared" ref="AA18" si="8">D18/F18</f>
        <v>1</v>
      </c>
      <c r="AB18" s="1812">
        <f t="shared" ref="AB18" si="9">D18/H18</f>
        <v>1</v>
      </c>
      <c r="AC18" s="1812">
        <f t="shared" ref="AC18" si="10">D18/J18</f>
        <v>1</v>
      </c>
    </row>
    <row r="19" spans="1:29" ht="15">
      <c r="A19" s="403"/>
      <c r="B19" s="632"/>
      <c r="C19" s="2607" t="s">
        <v>3110</v>
      </c>
      <c r="D19" s="449"/>
      <c r="E19" s="2607" t="s">
        <v>3110</v>
      </c>
      <c r="F19" s="452"/>
      <c r="G19" s="2607" t="s">
        <v>3110</v>
      </c>
      <c r="H19" s="447"/>
      <c r="I19" s="446" t="s">
        <v>3110</v>
      </c>
      <c r="J19" s="447"/>
      <c r="K19" s="1383"/>
      <c r="L19" s="1140"/>
      <c r="M19" s="1131"/>
      <c r="N19" s="1131"/>
      <c r="O19" s="1131"/>
      <c r="P19" s="3145"/>
      <c r="Q19" s="1811"/>
      <c r="R19" s="773"/>
      <c r="S19" s="774"/>
      <c r="T19" s="773"/>
      <c r="U19" s="774"/>
      <c r="V19" s="773"/>
      <c r="W19" s="774"/>
      <c r="X19" s="1814"/>
      <c r="Y19" s="3145"/>
      <c r="Z19" s="1815"/>
      <c r="AA19" s="1812">
        <v>1</v>
      </c>
      <c r="AB19" s="1812">
        <v>1</v>
      </c>
      <c r="AC19" s="1812">
        <v>1</v>
      </c>
    </row>
    <row r="20" spans="1:29" ht="42.75">
      <c r="A20" s="403"/>
      <c r="B20" s="630" t="s">
        <v>2711</v>
      </c>
      <c r="C20" s="2606"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97</v>
      </c>
      <c r="K20" s="613">
        <v>3</v>
      </c>
      <c r="L20" s="1140"/>
      <c r="M20" s="1131"/>
      <c r="N20" s="1131"/>
      <c r="O20" s="1131"/>
      <c r="P20" s="3145"/>
      <c r="Q20" s="1811" t="str">
        <f>B20</f>
        <v>自然及人文环境</v>
      </c>
      <c r="R20" s="773" t="s">
        <v>17</v>
      </c>
      <c r="S20" s="774">
        <f>F20</f>
        <v>100</v>
      </c>
      <c r="T20" s="773" t="s">
        <v>17</v>
      </c>
      <c r="U20" s="774">
        <f>H20</f>
        <v>100</v>
      </c>
      <c r="V20" s="773" t="s">
        <v>17</v>
      </c>
      <c r="W20" s="774">
        <f>J20</f>
        <v>97</v>
      </c>
      <c r="X20" s="1814"/>
      <c r="Y20" s="3145"/>
      <c r="Z20" s="1815" t="str">
        <f>Q20</f>
        <v>自然及人文环境</v>
      </c>
      <c r="AA20" s="1812">
        <f t="shared" si="3"/>
        <v>1</v>
      </c>
      <c r="AB20" s="1812">
        <f t="shared" si="4"/>
        <v>1</v>
      </c>
      <c r="AC20" s="1812">
        <f t="shared" si="5"/>
        <v>1.0309278350515463</v>
      </c>
    </row>
    <row r="21" spans="1:29" ht="15.75" thickBot="1">
      <c r="A21" s="403"/>
      <c r="B21" s="631"/>
      <c r="C21" s="446" t="s">
        <v>3109</v>
      </c>
      <c r="D21" s="447"/>
      <c r="E21" s="446" t="s">
        <v>3109</v>
      </c>
      <c r="F21" s="448"/>
      <c r="G21" s="446" t="s">
        <v>3109</v>
      </c>
      <c r="H21" s="447"/>
      <c r="I21" s="446" t="s">
        <v>3108</v>
      </c>
      <c r="J21" s="447"/>
      <c r="K21" s="614"/>
      <c r="L21" s="1140"/>
      <c r="M21" s="1131"/>
      <c r="N21" s="1131"/>
      <c r="O21" s="1131"/>
      <c r="P21" s="3145"/>
      <c r="Q21" s="1811"/>
      <c r="R21" s="773"/>
      <c r="S21" s="774"/>
      <c r="T21" s="773"/>
      <c r="U21" s="774"/>
      <c r="V21" s="773"/>
      <c r="W21" s="774"/>
      <c r="X21" s="1814"/>
      <c r="Y21" s="3145"/>
      <c r="Z21" s="1815"/>
      <c r="AA21" s="1812">
        <v>1</v>
      </c>
      <c r="AB21" s="1812">
        <v>1</v>
      </c>
      <c r="AC21" s="1812">
        <v>1</v>
      </c>
    </row>
    <row r="22" spans="1:29" ht="15.75" hidden="1" thickBot="1">
      <c r="A22" s="403"/>
      <c r="B22" s="630" t="s">
        <v>2712</v>
      </c>
      <c r="C22" s="615"/>
      <c r="D22" s="449">
        <v>100</v>
      </c>
      <c r="E22" s="615"/>
      <c r="F22" s="460">
        <f>SUMIF(71:71,E22,72:72)-SUMIF(71:71,C22,72:72)+100</f>
        <v>100</v>
      </c>
      <c r="G22" s="615"/>
      <c r="H22" s="434">
        <f>SUMIF(71:71,G22,72:72)-SUMIF(71:71,C22,72:72)+100</f>
        <v>100</v>
      </c>
      <c r="I22" s="615"/>
      <c r="J22" s="434">
        <f>SUMIF(71:71,I22,72:72)-SUMIF(71:71,C22,72:72)+100</f>
        <v>100</v>
      </c>
      <c r="K22" s="611"/>
      <c r="L22" s="1140"/>
      <c r="M22" s="1131"/>
      <c r="N22" s="1131"/>
      <c r="O22" s="1131"/>
      <c r="P22" s="3145"/>
      <c r="Q22" s="1811" t="str">
        <f>B22</f>
        <v>楼层</v>
      </c>
      <c r="R22" s="773" t="s">
        <v>17</v>
      </c>
      <c r="S22" s="774">
        <f>F22</f>
        <v>100</v>
      </c>
      <c r="T22" s="773" t="s">
        <v>17</v>
      </c>
      <c r="U22" s="774">
        <f>H22</f>
        <v>100</v>
      </c>
      <c r="V22" s="773" t="s">
        <v>17</v>
      </c>
      <c r="W22" s="774">
        <f>J22</f>
        <v>100</v>
      </c>
      <c r="X22" s="1814"/>
      <c r="Y22" s="3145"/>
      <c r="Z22" s="1815" t="str">
        <f>Q22</f>
        <v>楼层</v>
      </c>
      <c r="AA22" s="1812">
        <f t="shared" si="3"/>
        <v>1</v>
      </c>
      <c r="AB22" s="1812">
        <f t="shared" si="4"/>
        <v>1</v>
      </c>
      <c r="AC22" s="1812">
        <f t="shared" si="5"/>
        <v>1</v>
      </c>
    </row>
    <row r="23" spans="1:29" ht="15" hidden="1">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0"/>
      <c r="M23" s="1131"/>
      <c r="N23" s="1131"/>
      <c r="O23" s="1131"/>
      <c r="P23" s="3145"/>
      <c r="Q23" s="1811">
        <f>B23</f>
        <v>111</v>
      </c>
      <c r="R23" s="773" t="s">
        <v>17</v>
      </c>
      <c r="S23" s="774">
        <f>F23</f>
        <v>100</v>
      </c>
      <c r="T23" s="773" t="s">
        <v>17</v>
      </c>
      <c r="U23" s="774">
        <f>H23</f>
        <v>100</v>
      </c>
      <c r="V23" s="773" t="s">
        <v>17</v>
      </c>
      <c r="W23" s="774">
        <f>J23</f>
        <v>100</v>
      </c>
      <c r="X23" s="1814"/>
      <c r="Y23" s="3145"/>
      <c r="Z23" s="1815">
        <f>Q23</f>
        <v>111</v>
      </c>
      <c r="AA23" s="1812">
        <f t="shared" si="3"/>
        <v>1</v>
      </c>
      <c r="AB23" s="1812">
        <f t="shared" si="4"/>
        <v>1</v>
      </c>
      <c r="AC23" s="1812">
        <f t="shared" si="5"/>
        <v>1</v>
      </c>
    </row>
    <row r="24" spans="1:29" ht="15" hidden="1">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0"/>
      <c r="M24" s="1131"/>
      <c r="N24" s="1131"/>
      <c r="O24" s="1131"/>
      <c r="P24" s="3145"/>
      <c r="Q24" s="1811">
        <f t="shared" ref="Q24:Q36" si="11">B24</f>
        <v>111</v>
      </c>
      <c r="R24" s="773" t="s">
        <v>17</v>
      </c>
      <c r="S24" s="774">
        <f>F24</f>
        <v>100</v>
      </c>
      <c r="T24" s="773" t="s">
        <v>17</v>
      </c>
      <c r="U24" s="774">
        <f>H24</f>
        <v>100</v>
      </c>
      <c r="V24" s="773" t="s">
        <v>17</v>
      </c>
      <c r="W24" s="774">
        <f>J24</f>
        <v>100</v>
      </c>
      <c r="X24" s="1814"/>
      <c r="Y24" s="3145"/>
      <c r="Z24" s="1815">
        <f>Q24</f>
        <v>111</v>
      </c>
      <c r="AA24" s="1812">
        <f t="shared" si="3"/>
        <v>1</v>
      </c>
      <c r="AB24" s="1812">
        <f t="shared" si="4"/>
        <v>1</v>
      </c>
      <c r="AC24" s="1812">
        <f t="shared" si="5"/>
        <v>1</v>
      </c>
    </row>
    <row r="25" spans="1:29" s="116" customFormat="1" ht="15.75" hidden="1"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2"/>
      <c r="M25" s="1133"/>
      <c r="N25" s="1133"/>
      <c r="O25" s="1133"/>
      <c r="P25" s="3145"/>
      <c r="Q25" s="1796">
        <f t="shared" si="11"/>
        <v>111</v>
      </c>
      <c r="R25" s="769" t="s">
        <v>17</v>
      </c>
      <c r="S25" s="770">
        <f>F25</f>
        <v>100</v>
      </c>
      <c r="T25" s="769" t="s">
        <v>17</v>
      </c>
      <c r="U25" s="770">
        <f>H25</f>
        <v>100</v>
      </c>
      <c r="V25" s="769" t="s">
        <v>17</v>
      </c>
      <c r="W25" s="770">
        <f>J25</f>
        <v>100</v>
      </c>
      <c r="X25" s="771"/>
      <c r="Y25" s="3145"/>
      <c r="Z25" s="55">
        <f>Q25</f>
        <v>111</v>
      </c>
      <c r="AA25" s="1812">
        <f>D25/F25</f>
        <v>1</v>
      </c>
      <c r="AB25" s="1812">
        <f>D25/H25</f>
        <v>1</v>
      </c>
      <c r="AC25" s="1812">
        <f>D25/J25</f>
        <v>1</v>
      </c>
    </row>
    <row r="26" spans="1:29" ht="15">
      <c r="A26" s="651" t="s">
        <v>2564</v>
      </c>
      <c r="B26" s="69" t="s">
        <v>2713</v>
      </c>
      <c r="C26" s="2693" t="str">
        <f>B1</f>
        <v>车库</v>
      </c>
      <c r="D26" s="447">
        <v>100</v>
      </c>
      <c r="E26" s="446" t="s">
        <v>3076</v>
      </c>
      <c r="F26" s="448">
        <f>SUMIF(79:79,E26,80:80)-SUMIF(79:79,C26,80:80)+100</f>
        <v>100</v>
      </c>
      <c r="G26" s="446" t="s">
        <v>3076</v>
      </c>
      <c r="H26" s="447">
        <f>SUMIF(79:79,G26,80:80)-SUMIF(79:79,C26,80:80)+100</f>
        <v>100</v>
      </c>
      <c r="I26" s="446" t="s">
        <v>3076</v>
      </c>
      <c r="J26" s="447">
        <f>SUMIF(79:79,I26,80:80)-SUMIF(79:79,C26,80:80)+100</f>
        <v>100</v>
      </c>
      <c r="K26" s="611"/>
      <c r="L26" s="1140"/>
      <c r="M26" s="1131"/>
      <c r="N26" s="1131"/>
      <c r="O26" s="1131"/>
      <c r="P26" s="3146" t="s">
        <v>2566</v>
      </c>
      <c r="Q26" s="1811" t="str">
        <f t="shared" si="11"/>
        <v>配套类型</v>
      </c>
      <c r="R26" s="773" t="s">
        <v>17</v>
      </c>
      <c r="S26" s="774">
        <f t="shared" ref="S26:S36" si="12">F26</f>
        <v>100</v>
      </c>
      <c r="T26" s="773" t="s">
        <v>17</v>
      </c>
      <c r="U26" s="774">
        <f t="shared" ref="U26:U36" si="13">H26</f>
        <v>100</v>
      </c>
      <c r="V26" s="773" t="s">
        <v>17</v>
      </c>
      <c r="W26" s="774">
        <f t="shared" ref="W26:W36" si="14">J26</f>
        <v>100</v>
      </c>
      <c r="X26" s="1814"/>
      <c r="Y26" s="3147" t="s">
        <v>2566</v>
      </c>
      <c r="Z26" s="1815" t="str">
        <f t="shared" ref="Z26:Z36" si="15">Q26</f>
        <v>配套类型</v>
      </c>
      <c r="AA26" s="1812">
        <f t="shared" si="3"/>
        <v>1</v>
      </c>
      <c r="AB26" s="1812">
        <f t="shared" si="4"/>
        <v>1</v>
      </c>
      <c r="AC26" s="1812">
        <f t="shared" si="5"/>
        <v>1</v>
      </c>
    </row>
    <row r="27" spans="1:29" s="470" customFormat="1" ht="15">
      <c r="A27" s="652"/>
      <c r="B27" s="653" t="s">
        <v>2714</v>
      </c>
      <c r="C27" s="654" t="s">
        <v>3190</v>
      </c>
      <c r="D27" s="134">
        <v>100</v>
      </c>
      <c r="E27" s="654" t="s">
        <v>3205</v>
      </c>
      <c r="F27" s="460">
        <f>SUMIF(81:81,E27,82:82)-SUMIF(81:81,C27,82:82)+100</f>
        <v>98</v>
      </c>
      <c r="G27" s="654" t="s">
        <v>3190</v>
      </c>
      <c r="H27" s="434">
        <f>SUMIF(81:81,G27,82:82)-SUMIF(81:81,C27,82:82)+100</f>
        <v>100</v>
      </c>
      <c r="I27" s="654" t="s">
        <v>3206</v>
      </c>
      <c r="J27" s="434">
        <f>SUMIF(81:81,I27,82:82)-SUMIF(81:81,C27,82:82)+100</f>
        <v>99</v>
      </c>
      <c r="K27" s="612"/>
      <c r="L27" s="1138"/>
      <c r="M27" s="1141"/>
      <c r="N27" s="1141"/>
      <c r="O27" s="1141"/>
      <c r="P27" s="3147"/>
      <c r="Q27" s="775" t="str">
        <f t="shared" si="11"/>
        <v>项目停车位配比</v>
      </c>
      <c r="R27" s="776" t="s">
        <v>17</v>
      </c>
      <c r="S27" s="777">
        <f t="shared" si="12"/>
        <v>98</v>
      </c>
      <c r="T27" s="776" t="s">
        <v>17</v>
      </c>
      <c r="U27" s="777">
        <f t="shared" si="13"/>
        <v>100</v>
      </c>
      <c r="V27" s="776" t="s">
        <v>17</v>
      </c>
      <c r="W27" s="777">
        <f t="shared" si="14"/>
        <v>99</v>
      </c>
      <c r="X27" s="778"/>
      <c r="Y27" s="3147"/>
      <c r="Z27" s="779" t="str">
        <f t="shared" si="15"/>
        <v>项目停车位配比</v>
      </c>
      <c r="AA27" s="1812">
        <f t="shared" si="3"/>
        <v>1.0204081632653061</v>
      </c>
      <c r="AB27" s="1812">
        <f t="shared" si="4"/>
        <v>1</v>
      </c>
      <c r="AC27" s="1812">
        <f t="shared" si="5"/>
        <v>1.0101010101010102</v>
      </c>
    </row>
    <row r="28" spans="1:29" ht="15">
      <c r="A28" s="655"/>
      <c r="B28" s="653" t="s">
        <v>2715</v>
      </c>
      <c r="C28" s="459" t="s">
        <v>3170</v>
      </c>
      <c r="D28" s="434">
        <v>100</v>
      </c>
      <c r="E28" s="459" t="s">
        <v>3170</v>
      </c>
      <c r="F28" s="460">
        <f>SUMIF(83:83,E28,84:84)-SUMIF(83:83,C28,84:84)+100</f>
        <v>100</v>
      </c>
      <c r="G28" s="459" t="s">
        <v>3170</v>
      </c>
      <c r="H28" s="434">
        <f>SUMIF(83:83,G28,84:84)-SUMIF(83:83,C28,84:84)+100</f>
        <v>100</v>
      </c>
      <c r="I28" s="459" t="s">
        <v>3170</v>
      </c>
      <c r="J28" s="434">
        <f>SUMIF(83:83,I28,84:84)-SUMIF(83:83,C28,84:84)+100</f>
        <v>100</v>
      </c>
      <c r="K28" s="611">
        <v>3</v>
      </c>
      <c r="L28" s="1140"/>
      <c r="M28" s="1131"/>
      <c r="N28" s="1131"/>
      <c r="O28" s="1131"/>
      <c r="P28" s="3147"/>
      <c r="Q28" s="1811" t="str">
        <f t="shared" si="11"/>
        <v>公共部分装修</v>
      </c>
      <c r="R28" s="773" t="s">
        <v>17</v>
      </c>
      <c r="S28" s="774">
        <f t="shared" si="12"/>
        <v>100</v>
      </c>
      <c r="T28" s="773" t="s">
        <v>17</v>
      </c>
      <c r="U28" s="774">
        <f t="shared" si="13"/>
        <v>100</v>
      </c>
      <c r="V28" s="773" t="s">
        <v>17</v>
      </c>
      <c r="W28" s="774">
        <f t="shared" si="14"/>
        <v>100</v>
      </c>
      <c r="X28" s="1814"/>
      <c r="Y28" s="3147"/>
      <c r="Z28" s="1815" t="str">
        <f t="shared" si="15"/>
        <v>公共部分装修</v>
      </c>
      <c r="AA28" s="1812">
        <f t="shared" si="3"/>
        <v>1</v>
      </c>
      <c r="AB28" s="1812">
        <f t="shared" si="4"/>
        <v>1</v>
      </c>
      <c r="AC28" s="1812">
        <f t="shared" si="5"/>
        <v>1</v>
      </c>
    </row>
    <row r="29" spans="1:29" ht="15" hidden="1">
      <c r="A29" s="655"/>
      <c r="B29" s="653" t="s">
        <v>2716</v>
      </c>
      <c r="C29" s="468">
        <v>100</v>
      </c>
      <c r="D29" s="434">
        <v>100</v>
      </c>
      <c r="E29" s="473">
        <v>1</v>
      </c>
      <c r="F29" s="460">
        <f>LOOKUP(E29,86:86,87:87)-LOOKUP(C29,86:86,87:87)+100</f>
        <v>100</v>
      </c>
      <c r="G29" s="473">
        <v>1</v>
      </c>
      <c r="H29" s="460">
        <f>LOOKUP(G29,86:86,87:87)-LOOKUP(C29,86:86,87:87)+100</f>
        <v>100</v>
      </c>
      <c r="I29" s="473">
        <v>1</v>
      </c>
      <c r="J29" s="434">
        <f>LOOKUP(I29,86:86,87:87)-LOOKUP(C29,86:86,87:87)+100</f>
        <v>100</v>
      </c>
      <c r="K29" s="611"/>
      <c r="L29" s="1140"/>
      <c r="M29" s="1131"/>
      <c r="N29" s="1131"/>
      <c r="O29" s="1131"/>
      <c r="P29" s="3147"/>
      <c r="Q29" s="1811" t="str">
        <f t="shared" si="11"/>
        <v>成新率</v>
      </c>
      <c r="R29" s="773" t="s">
        <v>17</v>
      </c>
      <c r="S29" s="774">
        <f t="shared" si="12"/>
        <v>100</v>
      </c>
      <c r="T29" s="773" t="s">
        <v>17</v>
      </c>
      <c r="U29" s="774">
        <f t="shared" si="13"/>
        <v>100</v>
      </c>
      <c r="V29" s="773" t="s">
        <v>17</v>
      </c>
      <c r="W29" s="774">
        <f t="shared" si="14"/>
        <v>100</v>
      </c>
      <c r="X29" s="1814"/>
      <c r="Y29" s="3147"/>
      <c r="Z29" s="1815" t="str">
        <f t="shared" si="15"/>
        <v>成新率</v>
      </c>
      <c r="AA29" s="1812">
        <f t="shared" si="3"/>
        <v>1</v>
      </c>
      <c r="AB29" s="1812">
        <f t="shared" si="4"/>
        <v>1</v>
      </c>
      <c r="AC29" s="1812">
        <f t="shared" si="5"/>
        <v>1</v>
      </c>
    </row>
    <row r="30" spans="1:29" ht="15">
      <c r="A30" s="655"/>
      <c r="B30" s="653" t="s">
        <v>2717</v>
      </c>
      <c r="C30" s="656" t="s">
        <v>3173</v>
      </c>
      <c r="D30" s="434">
        <v>100</v>
      </c>
      <c r="E30" s="656" t="s">
        <v>3173</v>
      </c>
      <c r="F30" s="460">
        <f>SUMIF(88:88,E30,89:89)-SUMIF(88:88,C30,89:89)+100</f>
        <v>100</v>
      </c>
      <c r="G30" s="656" t="s">
        <v>3173</v>
      </c>
      <c r="H30" s="434">
        <f>SUMIF(88:88,E30,89:89)-SUMIF(88:88,C30,89:89)+100</f>
        <v>100</v>
      </c>
      <c r="I30" s="656" t="s">
        <v>3173</v>
      </c>
      <c r="J30" s="434">
        <f>SUMIF(88:88,E30,89:89)-SUMIF(88:88,C30,89:89)+100</f>
        <v>100</v>
      </c>
      <c r="K30" s="611"/>
      <c r="L30" s="1140"/>
      <c r="M30" s="1131"/>
      <c r="N30" s="1131"/>
      <c r="O30" s="1131"/>
      <c r="P30" s="3147"/>
      <c r="Q30" s="1811" t="str">
        <f t="shared" si="11"/>
        <v>物业等级</v>
      </c>
      <c r="R30" s="773" t="s">
        <v>17</v>
      </c>
      <c r="S30" s="774">
        <f t="shared" si="12"/>
        <v>100</v>
      </c>
      <c r="T30" s="773" t="s">
        <v>17</v>
      </c>
      <c r="U30" s="774">
        <f t="shared" si="13"/>
        <v>100</v>
      </c>
      <c r="V30" s="773" t="s">
        <v>17</v>
      </c>
      <c r="W30" s="774">
        <f t="shared" si="14"/>
        <v>100</v>
      </c>
      <c r="X30" s="1814"/>
      <c r="Y30" s="3147"/>
      <c r="Z30" s="1815" t="str">
        <f t="shared" si="15"/>
        <v>物业等级</v>
      </c>
      <c r="AA30" s="1812">
        <f t="shared" si="3"/>
        <v>1</v>
      </c>
      <c r="AB30" s="1812">
        <f t="shared" si="4"/>
        <v>1</v>
      </c>
      <c r="AC30" s="1812">
        <f t="shared" si="5"/>
        <v>1</v>
      </c>
    </row>
    <row r="31" spans="1:29" s="116" customFormat="1" ht="15">
      <c r="A31" s="657"/>
      <c r="B31" s="653" t="s">
        <v>2718</v>
      </c>
      <c r="C31" s="468">
        <v>50</v>
      </c>
      <c r="D31" s="134">
        <v>100</v>
      </c>
      <c r="E31" s="468">
        <v>30</v>
      </c>
      <c r="F31" s="460">
        <f>LOOKUP(E31,91:91,92:92)-LOOKUP(C31,91:91,92:92)+100</f>
        <v>95</v>
      </c>
      <c r="G31" s="468">
        <v>30</v>
      </c>
      <c r="H31" s="434">
        <f>LOOKUP(G31,91:91,92:92)-LOOKUP(C31,91:91,92:92)+100</f>
        <v>95</v>
      </c>
      <c r="I31" s="468">
        <v>30</v>
      </c>
      <c r="J31" s="434">
        <f>LOOKUP(I31,91:91,92:92)-LOOKUP(C31,91:91,92:92)+100</f>
        <v>95</v>
      </c>
      <c r="K31" s="611"/>
      <c r="L31" s="1132"/>
      <c r="M31" s="1133"/>
      <c r="N31" s="1133"/>
      <c r="O31" s="1133"/>
      <c r="P31" s="3147"/>
      <c r="Q31" s="1796" t="str">
        <f t="shared" si="11"/>
        <v>停车位面积</v>
      </c>
      <c r="R31" s="769" t="s">
        <v>17</v>
      </c>
      <c r="S31" s="770">
        <f t="shared" si="12"/>
        <v>95</v>
      </c>
      <c r="T31" s="769" t="s">
        <v>17</v>
      </c>
      <c r="U31" s="770">
        <f t="shared" si="13"/>
        <v>95</v>
      </c>
      <c r="V31" s="769" t="s">
        <v>17</v>
      </c>
      <c r="W31" s="770">
        <f t="shared" si="14"/>
        <v>95</v>
      </c>
      <c r="X31" s="771"/>
      <c r="Y31" s="3147"/>
      <c r="Z31" s="55" t="str">
        <f t="shared" si="15"/>
        <v>停车位面积</v>
      </c>
      <c r="AA31" s="772">
        <f t="shared" si="3"/>
        <v>1.0526315789473684</v>
      </c>
      <c r="AB31" s="772">
        <f t="shared" si="4"/>
        <v>1.0526315789473684</v>
      </c>
      <c r="AC31" s="772">
        <f t="shared" si="5"/>
        <v>1.0526315789473684</v>
      </c>
    </row>
    <row r="32" spans="1:29" ht="15">
      <c r="A32" s="655"/>
      <c r="B32" s="653" t="s">
        <v>2719</v>
      </c>
      <c r="C32" s="459" t="s">
        <v>3196</v>
      </c>
      <c r="D32" s="434">
        <v>100</v>
      </c>
      <c r="E32" s="459" t="s">
        <v>3196</v>
      </c>
      <c r="F32" s="460">
        <f>SUMIF(93:93,E32,94:94)-SUMIF(93:93,C32,94:94)+100</f>
        <v>100</v>
      </c>
      <c r="G32" s="459" t="s">
        <v>3196</v>
      </c>
      <c r="H32" s="434">
        <f>SUMIF(93:93,G32,94:94)-SUMIF(93:93,C32,94:94)+100</f>
        <v>100</v>
      </c>
      <c r="I32" s="459" t="s">
        <v>3196</v>
      </c>
      <c r="J32" s="434">
        <f>SUMIF(93:93,I32,94:94)-SUMIF(93:93,C32,94:94)+100</f>
        <v>100</v>
      </c>
      <c r="K32" s="611"/>
      <c r="L32" s="1140"/>
      <c r="M32" s="1131"/>
      <c r="N32" s="1131"/>
      <c r="O32" s="1131"/>
      <c r="P32" s="3147" t="s">
        <v>2566</v>
      </c>
      <c r="Q32" s="1811" t="str">
        <f t="shared" si="11"/>
        <v>车位类型</v>
      </c>
      <c r="R32" s="773" t="s">
        <v>17</v>
      </c>
      <c r="S32" s="774">
        <f t="shared" si="12"/>
        <v>100</v>
      </c>
      <c r="T32" s="773" t="s">
        <v>17</v>
      </c>
      <c r="U32" s="774">
        <f t="shared" si="13"/>
        <v>100</v>
      </c>
      <c r="V32" s="773" t="s">
        <v>17</v>
      </c>
      <c r="W32" s="774">
        <f t="shared" si="14"/>
        <v>100</v>
      </c>
      <c r="X32" s="1814"/>
      <c r="Y32" s="3147" t="s">
        <v>2566</v>
      </c>
      <c r="Z32" s="1815" t="str">
        <f t="shared" si="15"/>
        <v>车位类型</v>
      </c>
      <c r="AA32" s="1812">
        <f t="shared" si="3"/>
        <v>1</v>
      </c>
      <c r="AB32" s="1812">
        <f t="shared" si="4"/>
        <v>1</v>
      </c>
      <c r="AC32" s="1812">
        <f t="shared" si="5"/>
        <v>1</v>
      </c>
    </row>
    <row r="33" spans="1:29" ht="15.75" thickBot="1">
      <c r="A33" s="655"/>
      <c r="B33" s="653" t="s">
        <v>2720</v>
      </c>
      <c r="C33" s="459" t="s">
        <v>3061</v>
      </c>
      <c r="D33" s="434">
        <v>100</v>
      </c>
      <c r="E33" s="459" t="s">
        <v>3061</v>
      </c>
      <c r="F33" s="460">
        <f>SUMIF(95:95,E33,96:96)-SUMIF(95:95,C33,96:96)+100</f>
        <v>100</v>
      </c>
      <c r="G33" s="459" t="s">
        <v>3061</v>
      </c>
      <c r="H33" s="434">
        <f>SUMIF(95:95,G33,96:96)-SUMIF(95:95,C33,96:96)+100</f>
        <v>100</v>
      </c>
      <c r="I33" s="459" t="s">
        <v>3061</v>
      </c>
      <c r="J33" s="434">
        <f>SUMIF(95:95,I33,96:96)-SUMIF(95:95,C33,96:96)+100</f>
        <v>100</v>
      </c>
      <c r="K33" s="611"/>
      <c r="L33" s="1140"/>
      <c r="M33" s="1131"/>
      <c r="N33" s="1131"/>
      <c r="O33" s="1131"/>
      <c r="P33" s="3147"/>
      <c r="Q33" s="1811" t="str">
        <f t="shared" si="11"/>
        <v>是否直接入户</v>
      </c>
      <c r="R33" s="773" t="s">
        <v>17</v>
      </c>
      <c r="S33" s="774">
        <f t="shared" si="12"/>
        <v>100</v>
      </c>
      <c r="T33" s="773" t="s">
        <v>17</v>
      </c>
      <c r="U33" s="774">
        <f t="shared" si="13"/>
        <v>100</v>
      </c>
      <c r="V33" s="773" t="s">
        <v>17</v>
      </c>
      <c r="W33" s="774">
        <f t="shared" si="14"/>
        <v>100</v>
      </c>
      <c r="X33" s="1814"/>
      <c r="Y33" s="3147"/>
      <c r="Z33" s="1815" t="str">
        <f t="shared" si="15"/>
        <v>是否直接入户</v>
      </c>
      <c r="AA33" s="1812">
        <f t="shared" si="3"/>
        <v>1</v>
      </c>
      <c r="AB33" s="1812">
        <f t="shared" si="4"/>
        <v>1</v>
      </c>
      <c r="AC33" s="1812">
        <f t="shared" si="5"/>
        <v>1</v>
      </c>
    </row>
    <row r="34" spans="1:29" ht="15" hidden="1">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0"/>
      <c r="M34" s="1131"/>
      <c r="N34" s="1131"/>
      <c r="O34" s="1131"/>
      <c r="P34" s="3147"/>
      <c r="Q34" s="1811">
        <f t="shared" si="11"/>
        <v>111</v>
      </c>
      <c r="R34" s="773" t="s">
        <v>17</v>
      </c>
      <c r="S34" s="774">
        <f t="shared" si="12"/>
        <v>100</v>
      </c>
      <c r="T34" s="773" t="s">
        <v>17</v>
      </c>
      <c r="U34" s="774">
        <f t="shared" si="13"/>
        <v>100</v>
      </c>
      <c r="V34" s="773" t="s">
        <v>17</v>
      </c>
      <c r="W34" s="774">
        <f t="shared" si="14"/>
        <v>100</v>
      </c>
      <c r="X34" s="1814"/>
      <c r="Y34" s="3147"/>
      <c r="Z34" s="1815">
        <f t="shared" si="15"/>
        <v>111</v>
      </c>
      <c r="AA34" s="1812">
        <f t="shared" si="3"/>
        <v>1</v>
      </c>
      <c r="AB34" s="1812">
        <f t="shared" si="4"/>
        <v>1</v>
      </c>
      <c r="AC34" s="1812">
        <f t="shared" si="5"/>
        <v>1</v>
      </c>
    </row>
    <row r="35" spans="1:29" s="470" customFormat="1" ht="15" hidden="1">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8"/>
      <c r="M35" s="1141"/>
      <c r="N35" s="1141"/>
      <c r="O35" s="1141"/>
      <c r="P35" s="3147"/>
      <c r="Q35" s="775">
        <f t="shared" si="11"/>
        <v>111</v>
      </c>
      <c r="R35" s="776" t="s">
        <v>17</v>
      </c>
      <c r="S35" s="777">
        <f t="shared" si="12"/>
        <v>100</v>
      </c>
      <c r="T35" s="776" t="s">
        <v>17</v>
      </c>
      <c r="U35" s="777">
        <f t="shared" si="13"/>
        <v>100</v>
      </c>
      <c r="V35" s="776" t="s">
        <v>17</v>
      </c>
      <c r="W35" s="777">
        <f t="shared" si="14"/>
        <v>100</v>
      </c>
      <c r="X35" s="778"/>
      <c r="Y35" s="3147"/>
      <c r="Z35" s="779">
        <f t="shared" si="15"/>
        <v>111</v>
      </c>
      <c r="AA35" s="1812">
        <f t="shared" si="3"/>
        <v>1</v>
      </c>
      <c r="AB35" s="1812">
        <f t="shared" si="4"/>
        <v>1</v>
      </c>
      <c r="AC35" s="1812">
        <f t="shared" si="5"/>
        <v>1</v>
      </c>
    </row>
    <row r="36" spans="1:29" ht="15.75" hidden="1"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0"/>
      <c r="M36" s="1131"/>
      <c r="N36" s="1131"/>
      <c r="O36" s="1131"/>
      <c r="P36" s="3147"/>
      <c r="Q36" s="1811">
        <f t="shared" si="11"/>
        <v>111</v>
      </c>
      <c r="R36" s="773" t="s">
        <v>17</v>
      </c>
      <c r="S36" s="774">
        <f t="shared" si="12"/>
        <v>100</v>
      </c>
      <c r="T36" s="773" t="s">
        <v>17</v>
      </c>
      <c r="U36" s="774">
        <f t="shared" si="13"/>
        <v>100</v>
      </c>
      <c r="V36" s="773" t="s">
        <v>17</v>
      </c>
      <c r="W36" s="774">
        <f t="shared" si="14"/>
        <v>100</v>
      </c>
      <c r="X36" s="1814"/>
      <c r="Y36" s="3147"/>
      <c r="Z36" s="1815">
        <f t="shared" si="15"/>
        <v>111</v>
      </c>
      <c r="AA36" s="1812">
        <f t="shared" si="3"/>
        <v>1</v>
      </c>
      <c r="AB36" s="1812">
        <f t="shared" si="4"/>
        <v>1</v>
      </c>
      <c r="AC36" s="1812">
        <f t="shared" si="5"/>
        <v>1</v>
      </c>
    </row>
    <row r="37" spans="1:29" ht="15">
      <c r="A37" s="478" t="s">
        <v>2721</v>
      </c>
      <c r="B37" s="2694" t="s">
        <v>2722</v>
      </c>
      <c r="C37" s="1407" t="s">
        <v>1</v>
      </c>
      <c r="D37" s="1408"/>
      <c r="E37" s="1409">
        <f>ROUND(150000*0.98,0)</f>
        <v>147000</v>
      </c>
      <c r="F37" s="1410"/>
      <c r="G37" s="1411">
        <f>ROUND(152000*0.98,0)</f>
        <v>148960</v>
      </c>
      <c r="H37" s="1412"/>
      <c r="I37" s="1409">
        <f>ROUND(145000*0.99,0)</f>
        <v>143550</v>
      </c>
      <c r="J37" s="1412"/>
      <c r="K37" s="618"/>
      <c r="L37" s="1143"/>
      <c r="M37" s="1144"/>
      <c r="N37" s="1131"/>
      <c r="O37" s="1144"/>
      <c r="P37" s="3142" t="str">
        <f>A37</f>
        <v>成交单价</v>
      </c>
      <c r="Q37" s="3142"/>
      <c r="R37" s="3206">
        <f>E37</f>
        <v>147000</v>
      </c>
      <c r="S37" s="3206"/>
      <c r="T37" s="3206">
        <f>G37</f>
        <v>148960</v>
      </c>
      <c r="U37" s="3206"/>
      <c r="V37" s="3206">
        <f>I37</f>
        <v>143550</v>
      </c>
      <c r="W37" s="3206"/>
      <c r="X37" s="758"/>
      <c r="Y37" s="780"/>
      <c r="Z37" s="758"/>
      <c r="AA37" s="758"/>
      <c r="AB37" s="758"/>
      <c r="AC37" s="758"/>
    </row>
    <row r="38" spans="1:29" ht="15.75" thickBot="1">
      <c r="A38" s="485" t="s">
        <v>2723</v>
      </c>
      <c r="B38" s="486" t="str">
        <f>B37</f>
        <v>元/车位</v>
      </c>
      <c r="C38" s="1413">
        <f>R39</f>
        <v>157349</v>
      </c>
      <c r="D38" s="1414"/>
      <c r="E38" s="1415">
        <f>R38</f>
        <v>157895</v>
      </c>
      <c r="F38" s="1415"/>
      <c r="G38" s="1413">
        <f>T38</f>
        <v>156800</v>
      </c>
      <c r="H38" s="1414"/>
      <c r="I38" s="1415">
        <f>V38</f>
        <v>157352</v>
      </c>
      <c r="J38" s="1414"/>
      <c r="K38" s="619"/>
      <c r="L38" s="1143"/>
      <c r="M38" s="1144"/>
      <c r="N38" s="1144"/>
      <c r="O38" s="1144"/>
      <c r="P38" s="3142" t="str">
        <f>A38</f>
        <v>比较价值（元/平方米）</v>
      </c>
      <c r="Q38" s="3142"/>
      <c r="R38" s="3206">
        <f>IF(F1="售价",ROUND(PRODUCT(R37,AA7:AA36),0),ROUND(PRODUCT(R37,AA7:AA36),1))</f>
        <v>157895</v>
      </c>
      <c r="S38" s="3206"/>
      <c r="T38" s="3206">
        <f>IF(F1="售价",ROUND(PRODUCT(T37,AB7:AB36),0),ROUND(PRODUCT(T37,AB7:AB36),1))</f>
        <v>156800</v>
      </c>
      <c r="U38" s="3206"/>
      <c r="V38" s="3206">
        <f>IF(F1="售价",ROUND(PRODUCT(V37,AC7:AC36),0),ROUND(PRODUCT(V37,AC7:AC36),1))</f>
        <v>157352</v>
      </c>
      <c r="W38" s="3206"/>
      <c r="X38" s="758"/>
      <c r="Y38" s="758"/>
      <c r="Z38" s="758"/>
      <c r="AA38" s="758"/>
      <c r="AB38" s="758"/>
      <c r="AC38" s="758"/>
    </row>
    <row r="39" spans="1:29" ht="15.75" thickBot="1">
      <c r="A39" s="491" t="s">
        <v>2724</v>
      </c>
      <c r="B39" s="492"/>
      <c r="C39" s="1417">
        <f>R39</f>
        <v>157349</v>
      </c>
      <c r="D39" s="1417"/>
      <c r="E39" s="1417"/>
      <c r="F39" s="1417"/>
      <c r="G39" s="1417"/>
      <c r="H39" s="1417"/>
      <c r="I39" s="1417"/>
      <c r="J39" s="1417"/>
      <c r="K39" s="620"/>
      <c r="L39" s="1143"/>
      <c r="M39" s="1144"/>
      <c r="N39" s="1144"/>
      <c r="O39" s="1144"/>
      <c r="P39" s="3136" t="str">
        <f>A39</f>
        <v>估价对象XX用房的比较价值（楼面单价，元/平方米）</v>
      </c>
      <c r="Q39" s="3137"/>
      <c r="R39" s="3205">
        <f>IF(F1="售价",ROUND(AVERAGE(R38:V38),0),ROUND(AVERAGE(R38:V38),1))</f>
        <v>157349</v>
      </c>
      <c r="S39" s="3205"/>
      <c r="T39" s="3205"/>
      <c r="U39" s="3205"/>
      <c r="V39" s="3205"/>
      <c r="W39" s="3205"/>
      <c r="X39" s="758"/>
      <c r="Y39" s="758"/>
      <c r="Z39" s="758"/>
      <c r="AA39" s="758"/>
      <c r="AB39" s="758"/>
      <c r="AC39" s="758"/>
    </row>
    <row r="40" spans="1:29">
      <c r="A40" s="1144"/>
      <c r="B40" s="1144"/>
      <c r="C40" s="1144"/>
      <c r="D40" s="1144"/>
      <c r="E40" s="1144"/>
      <c r="F40" s="1144"/>
      <c r="G40" s="1147"/>
      <c r="H40" s="1144"/>
      <c r="I40" s="1144"/>
      <c r="J40" s="1144"/>
      <c r="K40" s="1106"/>
      <c r="L40" s="1107"/>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6"/>
      <c r="L41" s="1107"/>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6" t="s">
        <v>2725</v>
      </c>
      <c r="D42" s="497"/>
      <c r="E42" s="498">
        <f>IF(E37&lt;E38,E38/E37-1,E37/E38-1)</f>
        <v>7.4115646258503309E-2</v>
      </c>
      <c r="F42" s="499" t="str">
        <f>IF(OR(E42&gt;=0.3,E42&lt;=-0.3),"超过30%","")</f>
        <v/>
      </c>
      <c r="G42" s="498">
        <f>IF(G37&lt;G38,G38/G37-1,G37/G38-1)</f>
        <v>5.2631578947368363E-2</v>
      </c>
      <c r="H42" s="499" t="str">
        <f>IF(OR(G42&gt;=0.3,G42&lt;=-0.3),"超过30%","")</f>
        <v/>
      </c>
      <c r="I42" s="498">
        <f>IF(I37&lt;I38,I38/I37-1,I37/I38-1)</f>
        <v>9.6147683733890599E-2</v>
      </c>
      <c r="J42" s="499" t="str">
        <f>IF(OR(I42&gt;=0.3,I42&lt;=-0.3),"超过30%","")</f>
        <v/>
      </c>
      <c r="K42" s="1106"/>
      <c r="L42" s="1107"/>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6" t="s">
        <v>2726</v>
      </c>
      <c r="D43" s="500"/>
      <c r="E43" s="498">
        <f>IF(E38&lt;G38,G38/E38-1,E38/G38-1)</f>
        <v>6.9834183673469497E-3</v>
      </c>
      <c r="F43" s="499" t="str">
        <f>IF(OR(E43&gt;=0.2,E43&lt;=-0.2),"超过20%","")</f>
        <v/>
      </c>
      <c r="G43" s="498">
        <f>IF(G38&lt;I38,I38/G38-1,G38/I38-1)</f>
        <v>3.5204081632653761E-3</v>
      </c>
      <c r="H43" s="499" t="str">
        <f>IF(OR(G43&gt;=0.2,G43&lt;=-0.2),"超过20%","")</f>
        <v/>
      </c>
      <c r="I43" s="498">
        <f>IF(I38&lt;E38,E38/I38-1,I38/E38-1)</f>
        <v>3.4508617621638038E-3</v>
      </c>
      <c r="J43" s="499" t="str">
        <f>IF(OR(I43&gt;=0.2,I43&lt;=-0.2),"超过20%","")</f>
        <v/>
      </c>
      <c r="K43" s="1106"/>
      <c r="L43" s="1107"/>
      <c r="M43" s="1144"/>
      <c r="N43" s="1144"/>
      <c r="O43" s="1144"/>
      <c r="P43" s="1420"/>
      <c r="Q43" s="1144"/>
      <c r="R43" s="1144"/>
      <c r="S43" s="1144"/>
      <c r="T43" s="1144"/>
      <c r="U43" s="1144"/>
      <c r="V43" s="1144"/>
      <c r="W43" s="1144"/>
      <c r="X43" s="1144"/>
      <c r="Y43" s="1144"/>
      <c r="Z43" s="1144"/>
      <c r="AA43" s="1144"/>
      <c r="AB43" s="1144"/>
      <c r="AC43" s="1144"/>
    </row>
    <row r="44" spans="1:29" s="501" customFormat="1" ht="13.5" customHeight="1">
      <c r="A44" s="1145"/>
      <c r="B44" s="1145"/>
      <c r="C44" s="496" t="s">
        <v>2727</v>
      </c>
      <c r="D44" s="500"/>
      <c r="E44" s="498">
        <f>IF(E37&lt;G37,G37/E37-1,E37/G37-1)</f>
        <v>1.3333333333333419E-2</v>
      </c>
      <c r="F44" s="499" t="str">
        <f>IF(OR(E44&gt;=0.3,E44&lt;=-0.3),"超过30%","")</f>
        <v/>
      </c>
      <c r="G44" s="498">
        <f>IF(G37&lt;I37,I37/G37-1,G37/I37-1)</f>
        <v>3.7687216997561723E-2</v>
      </c>
      <c r="H44" s="499" t="str">
        <f>IF(OR(G44&gt;=0.3,G44&lt;=-0.3),"超过30%","")</f>
        <v/>
      </c>
      <c r="I44" s="498">
        <f>IF(I37&lt;E37,E37/I37-1,I37/E37-1)</f>
        <v>2.4033437826541215E-2</v>
      </c>
      <c r="J44" s="499" t="str">
        <f>IF(OR(I44&gt;=0.3,I44&lt;=-0.3),"超过30%","")</f>
        <v/>
      </c>
      <c r="K44" s="1148"/>
      <c r="L44" s="1149"/>
      <c r="M44" s="1145"/>
      <c r="N44" s="1145"/>
      <c r="O44" s="1145"/>
      <c r="P44" s="1421"/>
      <c r="Q44" s="1145"/>
      <c r="R44" s="1145"/>
      <c r="S44" s="1145"/>
      <c r="T44" s="1145"/>
      <c r="U44" s="1145"/>
      <c r="V44" s="1145"/>
      <c r="W44" s="1145"/>
      <c r="X44" s="1145"/>
      <c r="Y44" s="1145"/>
      <c r="Z44" s="1145"/>
      <c r="AA44" s="1145"/>
      <c r="AB44" s="1145"/>
      <c r="AC44" s="1145"/>
    </row>
    <row r="45" spans="1:29" s="501"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6"/>
      <c r="L46" s="1107"/>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2728</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7" customFormat="1" ht="15">
      <c r="A48" s="504" t="s">
        <v>2729</v>
      </c>
      <c r="B48" s="505"/>
      <c r="C48" s="1575" t="str">
        <f>YEAR(C7)&amp;"-"&amp;MONTH(C7)</f>
        <v>2017-10</v>
      </c>
      <c r="D48" s="1576">
        <f>EDATE(C48,-1)</f>
        <v>42979</v>
      </c>
      <c r="E48" s="1576">
        <f t="shared" ref="E48:O48" si="16">EDATE(D48,-1)</f>
        <v>42948</v>
      </c>
      <c r="F48" s="1576">
        <f t="shared" si="16"/>
        <v>42917</v>
      </c>
      <c r="G48" s="1576">
        <f t="shared" si="16"/>
        <v>42887</v>
      </c>
      <c r="H48" s="1576">
        <f t="shared" si="16"/>
        <v>42856</v>
      </c>
      <c r="I48" s="1576">
        <f t="shared" si="16"/>
        <v>42826</v>
      </c>
      <c r="J48" s="1576">
        <f t="shared" si="16"/>
        <v>42795</v>
      </c>
      <c r="K48" s="1576">
        <f t="shared" si="16"/>
        <v>42767</v>
      </c>
      <c r="L48" s="1576">
        <f t="shared" si="16"/>
        <v>42736</v>
      </c>
      <c r="M48" s="1576">
        <f t="shared" si="16"/>
        <v>42705</v>
      </c>
      <c r="N48" s="1576">
        <f t="shared" si="16"/>
        <v>42675</v>
      </c>
      <c r="O48" s="1576">
        <f t="shared" si="16"/>
        <v>42644</v>
      </c>
      <c r="P48" s="1438"/>
      <c r="Q48" s="1439"/>
      <c r="R48" s="1439"/>
      <c r="S48" s="1439"/>
      <c r="T48" s="1439"/>
      <c r="U48" s="1439"/>
      <c r="V48" s="1439"/>
      <c r="W48" s="1439"/>
      <c r="X48" s="1439"/>
      <c r="Y48" s="1439"/>
      <c r="Z48" s="1439"/>
      <c r="AA48" s="1439"/>
      <c r="AB48" s="1439"/>
      <c r="AC48" s="1439"/>
    </row>
    <row r="49" spans="1:29" s="116" customFormat="1" ht="15">
      <c r="A49" s="508"/>
      <c r="B49" s="509"/>
      <c r="C49" s="1567">
        <v>100</v>
      </c>
      <c r="D49" s="511"/>
      <c r="E49" s="511"/>
      <c r="F49" s="511"/>
      <c r="G49" s="511"/>
      <c r="H49" s="511"/>
      <c r="I49" s="511"/>
      <c r="J49" s="511"/>
      <c r="K49" s="511"/>
      <c r="L49" s="511"/>
      <c r="M49" s="512"/>
      <c r="N49" s="511"/>
      <c r="O49" s="512"/>
      <c r="P49" s="1428"/>
      <c r="Q49" s="1427"/>
      <c r="R49" s="1427"/>
      <c r="S49" s="1427"/>
      <c r="T49" s="1427"/>
      <c r="U49" s="1427"/>
      <c r="V49" s="1427"/>
      <c r="W49" s="1427"/>
      <c r="X49" s="1427"/>
      <c r="Y49" s="1427"/>
      <c r="Z49" s="1427"/>
      <c r="AA49" s="1427"/>
      <c r="AB49" s="1427"/>
      <c r="AC49" s="1427"/>
    </row>
    <row r="50" spans="1:29" s="116" customFormat="1" ht="15.75" thickBot="1">
      <c r="A50" s="514" t="s">
        <v>2586</v>
      </c>
      <c r="B50" s="515"/>
      <c r="C50" s="516"/>
      <c r="D50" s="517"/>
      <c r="E50" s="517"/>
      <c r="F50" s="517"/>
      <c r="G50" s="517"/>
      <c r="H50" s="517"/>
      <c r="I50" s="517"/>
      <c r="J50" s="517"/>
      <c r="K50" s="517"/>
      <c r="L50" s="517"/>
      <c r="M50" s="518"/>
      <c r="N50" s="517"/>
      <c r="O50" s="518"/>
      <c r="P50" s="1428"/>
      <c r="Q50" s="1423"/>
      <c r="R50" s="1427"/>
      <c r="S50" s="1427"/>
      <c r="T50" s="1427"/>
      <c r="U50" s="1427"/>
      <c r="V50" s="1427"/>
      <c r="W50" s="1427"/>
      <c r="X50" s="1427"/>
      <c r="Y50" s="1427"/>
      <c r="Z50" s="1427"/>
      <c r="AA50" s="1427"/>
      <c r="AB50" s="1427"/>
      <c r="AC50" s="1427"/>
    </row>
    <row r="51" spans="1:29" s="116" customFormat="1" ht="15">
      <c r="A51" s="520" t="s">
        <v>2551</v>
      </c>
      <c r="B51" s="509"/>
      <c r="C51" s="521" t="s">
        <v>2653</v>
      </c>
      <c r="D51" s="522"/>
      <c r="E51" s="522"/>
      <c r="F51" s="522"/>
      <c r="G51" s="522"/>
      <c r="H51" s="522"/>
      <c r="I51" s="522"/>
      <c r="J51" s="522"/>
      <c r="K51" s="522"/>
      <c r="L51" s="523"/>
      <c r="M51" s="524"/>
      <c r="N51" s="1151"/>
      <c r="O51" s="1151"/>
      <c r="P51" s="1426"/>
      <c r="Q51" s="1423"/>
      <c r="R51" s="1427"/>
      <c r="S51" s="1427"/>
      <c r="T51" s="1427"/>
      <c r="U51" s="1427"/>
      <c r="V51" s="1427"/>
      <c r="W51" s="1427"/>
      <c r="X51" s="1427"/>
      <c r="Y51" s="1427"/>
      <c r="Z51" s="1427"/>
      <c r="AA51" s="1427"/>
      <c r="AB51" s="1427"/>
      <c r="AC51" s="1427"/>
    </row>
    <row r="52" spans="1:29" s="116" customFormat="1" ht="15.75" thickBot="1">
      <c r="A52" s="520"/>
      <c r="B52" s="509"/>
      <c r="C52" s="638">
        <v>100</v>
      </c>
      <c r="D52" s="511"/>
      <c r="E52" s="511"/>
      <c r="F52" s="511"/>
      <c r="G52" s="511"/>
      <c r="H52" s="511"/>
      <c r="I52" s="511"/>
      <c r="J52" s="511"/>
      <c r="K52" s="511"/>
      <c r="L52" s="511"/>
      <c r="M52" s="513"/>
      <c r="N52" s="1151"/>
      <c r="O52" s="1151"/>
      <c r="P52" s="1428"/>
      <c r="Q52" s="1423"/>
      <c r="R52" s="1427"/>
      <c r="S52" s="1427"/>
      <c r="T52" s="1427"/>
      <c r="U52" s="1427"/>
      <c r="V52" s="1427"/>
      <c r="W52" s="1427"/>
      <c r="X52" s="1427"/>
      <c r="Y52" s="1427"/>
      <c r="Z52" s="1427"/>
      <c r="AA52" s="1427"/>
      <c r="AB52" s="1427"/>
      <c r="AC52" s="1427"/>
    </row>
    <row r="53" spans="1:29">
      <c r="A53" s="526" t="s">
        <v>2589</v>
      </c>
      <c r="B53" s="527" t="s">
        <v>2555</v>
      </c>
      <c r="C53" s="528" t="str">
        <f>C9</f>
        <v>地下车库</v>
      </c>
      <c r="D53" s="529"/>
      <c r="E53" s="529"/>
      <c r="F53" s="529"/>
      <c r="G53" s="529"/>
      <c r="H53" s="529"/>
      <c r="I53" s="529"/>
      <c r="J53" s="529"/>
      <c r="K53" s="530"/>
      <c r="L53" s="531"/>
      <c r="M53" s="532"/>
      <c r="N53" s="1152"/>
      <c r="O53" s="1152"/>
      <c r="P53" s="1429"/>
      <c r="Q53" s="1423"/>
      <c r="R53" s="1144"/>
      <c r="S53" s="1144"/>
      <c r="T53" s="1144"/>
      <c r="U53" s="1144"/>
      <c r="V53" s="1144"/>
      <c r="W53" s="1144"/>
      <c r="X53" s="1144"/>
      <c r="Y53" s="1144"/>
      <c r="Z53" s="1144"/>
      <c r="AA53" s="1144"/>
      <c r="AB53" s="1144"/>
      <c r="AC53" s="1144"/>
    </row>
    <row r="54" spans="1:29" ht="15.75" thickBot="1">
      <c r="A54" s="533"/>
      <c r="B54" s="534"/>
      <c r="C54" s="535">
        <v>100</v>
      </c>
      <c r="D54" s="535"/>
      <c r="E54" s="535"/>
      <c r="F54" s="535"/>
      <c r="G54" s="535"/>
      <c r="H54" s="535"/>
      <c r="I54" s="535"/>
      <c r="J54" s="535"/>
      <c r="K54" s="535"/>
      <c r="L54" s="535"/>
      <c r="M54" s="536"/>
      <c r="N54" s="1153"/>
      <c r="O54" s="1153"/>
      <c r="P54" s="1429"/>
      <c r="Q54" s="1423"/>
      <c r="R54" s="1144"/>
      <c r="S54" s="1144"/>
      <c r="T54" s="1144"/>
      <c r="U54" s="1144"/>
      <c r="V54" s="1144"/>
      <c r="W54" s="1144"/>
      <c r="X54" s="1144"/>
      <c r="Y54" s="1144"/>
      <c r="Z54" s="1144"/>
      <c r="AA54" s="1144"/>
      <c r="AB54" s="1144"/>
      <c r="AC54" s="1144"/>
    </row>
    <row r="55" spans="1:29" ht="27.75" thickTop="1">
      <c r="A55" s="533"/>
      <c r="B55" s="537" t="s">
        <v>2558</v>
      </c>
      <c r="C55" s="538" t="s">
        <v>2590</v>
      </c>
      <c r="D55" s="538" t="s">
        <v>2591</v>
      </c>
      <c r="E55" s="538" t="s">
        <v>2592</v>
      </c>
      <c r="F55" s="538" t="s">
        <v>2593</v>
      </c>
      <c r="G55" s="538" t="s">
        <v>2594</v>
      </c>
      <c r="H55" s="538" t="s">
        <v>2595</v>
      </c>
      <c r="I55" s="538" t="s">
        <v>2596</v>
      </c>
      <c r="J55" s="538"/>
      <c r="K55" s="539"/>
      <c r="L55" s="540"/>
      <c r="M55" s="541"/>
      <c r="N55" s="1152"/>
      <c r="O55" s="1152"/>
      <c r="P55" s="1429"/>
      <c r="Q55" s="1423"/>
      <c r="R55" s="1144"/>
      <c r="S55" s="1144"/>
      <c r="T55" s="1144"/>
      <c r="U55" s="1144"/>
      <c r="V55" s="1144"/>
      <c r="W55" s="1144"/>
      <c r="X55" s="1144"/>
      <c r="Y55" s="1144"/>
      <c r="Z55" s="1144"/>
      <c r="AA55" s="1144"/>
      <c r="AB55" s="1144"/>
      <c r="AC55" s="1144"/>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3"/>
      <c r="O56" s="1153"/>
      <c r="P56" s="1429"/>
      <c r="Q56" s="1423"/>
      <c r="R56" s="1144"/>
      <c r="S56" s="1144"/>
      <c r="T56" s="1144"/>
      <c r="U56" s="1144"/>
      <c r="V56" s="1144"/>
      <c r="W56" s="1144"/>
      <c r="X56" s="1144"/>
      <c r="Y56" s="1144"/>
      <c r="Z56" s="1144"/>
      <c r="AA56" s="1144"/>
      <c r="AB56" s="1144"/>
      <c r="AC56" s="1144"/>
    </row>
    <row r="57" spans="1:29" ht="15.75" hidden="1" thickTop="1">
      <c r="A57" s="533"/>
      <c r="B57" s="659">
        <f>B11</f>
        <v>111</v>
      </c>
      <c r="C57" s="548"/>
      <c r="D57" s="548"/>
      <c r="E57" s="548"/>
      <c r="F57" s="548"/>
      <c r="G57" s="548"/>
      <c r="H57" s="548"/>
      <c r="I57" s="548"/>
      <c r="J57" s="548"/>
      <c r="K57" s="549"/>
      <c r="L57" s="550"/>
      <c r="M57" s="551"/>
      <c r="N57" s="1152"/>
      <c r="O57" s="1152"/>
      <c r="P57" s="1429"/>
      <c r="Q57" s="1423"/>
      <c r="R57" s="1144"/>
      <c r="S57" s="1144"/>
      <c r="T57" s="1144"/>
      <c r="U57" s="1144"/>
      <c r="V57" s="1144"/>
      <c r="W57" s="1144"/>
      <c r="X57" s="1144"/>
      <c r="Y57" s="1144"/>
      <c r="Z57" s="1144"/>
      <c r="AA57" s="1144"/>
      <c r="AB57" s="1144"/>
      <c r="AC57" s="1144"/>
    </row>
    <row r="58" spans="1:29" ht="15.75" hidden="1" thickBot="1">
      <c r="A58" s="533"/>
      <c r="B58" s="534"/>
      <c r="C58" s="559"/>
      <c r="D58" s="535"/>
      <c r="E58" s="535"/>
      <c r="F58" s="535"/>
      <c r="G58" s="535"/>
      <c r="H58" s="535"/>
      <c r="I58" s="535"/>
      <c r="J58" s="535"/>
      <c r="K58" s="535"/>
      <c r="L58" s="535"/>
      <c r="M58" s="536"/>
      <c r="N58" s="1153"/>
      <c r="O58" s="1153"/>
      <c r="P58" s="1429"/>
      <c r="Q58" s="1423"/>
      <c r="R58" s="1144"/>
      <c r="S58" s="1144"/>
      <c r="T58" s="1144"/>
      <c r="U58" s="1144"/>
      <c r="V58" s="1144"/>
      <c r="W58" s="1144"/>
      <c r="X58" s="1144"/>
      <c r="Y58" s="1144"/>
      <c r="Z58" s="1144"/>
      <c r="AA58" s="1144"/>
      <c r="AB58" s="1144"/>
      <c r="AC58" s="1144"/>
    </row>
    <row r="59" spans="1:29" s="470" customFormat="1" ht="15.75" hidden="1" thickTop="1">
      <c r="A59" s="552"/>
      <c r="B59" s="537">
        <f>B12</f>
        <v>111</v>
      </c>
      <c r="C59" s="548"/>
      <c r="D59" s="548"/>
      <c r="E59" s="548"/>
      <c r="F59" s="548"/>
      <c r="G59" s="553"/>
      <c r="H59" s="554"/>
      <c r="I59" s="554"/>
      <c r="J59" s="554"/>
      <c r="K59" s="554"/>
      <c r="L59" s="555"/>
      <c r="M59" s="556"/>
      <c r="N59" s="1154"/>
      <c r="O59" s="1154"/>
      <c r="P59" s="1430"/>
      <c r="Q59" s="1431"/>
      <c r="R59" s="1432"/>
      <c r="S59" s="1432"/>
      <c r="T59" s="1432"/>
      <c r="U59" s="1432"/>
      <c r="V59" s="1432"/>
      <c r="W59" s="1432"/>
      <c r="X59" s="1432"/>
      <c r="Y59" s="1432"/>
      <c r="Z59" s="1432"/>
      <c r="AA59" s="1432"/>
      <c r="AB59" s="1432"/>
      <c r="AC59" s="1432"/>
    </row>
    <row r="60" spans="1:29" s="470" customFormat="1" ht="15.75" hidden="1" thickBot="1">
      <c r="A60" s="552"/>
      <c r="B60" s="542"/>
      <c r="C60" s="559"/>
      <c r="D60" s="535"/>
      <c r="E60" s="535"/>
      <c r="F60" s="535"/>
      <c r="G60" s="535"/>
      <c r="H60" s="535"/>
      <c r="I60" s="535"/>
      <c r="J60" s="535"/>
      <c r="K60" s="535"/>
      <c r="L60" s="535"/>
      <c r="M60" s="536"/>
      <c r="N60" s="1153"/>
      <c r="O60" s="1153"/>
      <c r="P60" s="1430"/>
      <c r="Q60" s="1431"/>
      <c r="R60" s="1432"/>
      <c r="S60" s="1432"/>
      <c r="T60" s="1432"/>
      <c r="U60" s="1432"/>
      <c r="V60" s="1432"/>
      <c r="W60" s="1432"/>
      <c r="X60" s="1432"/>
      <c r="Y60" s="1432"/>
      <c r="Z60" s="1432"/>
      <c r="AA60" s="1432"/>
      <c r="AB60" s="1432"/>
      <c r="AC60" s="1432"/>
    </row>
    <row r="61" spans="1:29" s="470" customFormat="1" ht="15.75" hidden="1" thickTop="1">
      <c r="A61" s="552"/>
      <c r="B61" s="537">
        <f>B13</f>
        <v>111</v>
      </c>
      <c r="C61" s="553"/>
      <c r="D61" s="553"/>
      <c r="E61" s="553"/>
      <c r="F61" s="553"/>
      <c r="G61" s="553"/>
      <c r="H61" s="554"/>
      <c r="I61" s="554"/>
      <c r="J61" s="554"/>
      <c r="K61" s="554"/>
      <c r="L61" s="555"/>
      <c r="M61" s="556"/>
      <c r="N61" s="1154"/>
      <c r="O61" s="1154"/>
      <c r="P61" s="1433"/>
      <c r="Q61" s="1434"/>
      <c r="R61" s="1432"/>
      <c r="S61" s="1432"/>
      <c r="T61" s="1432"/>
      <c r="U61" s="1432"/>
      <c r="V61" s="1432"/>
      <c r="W61" s="1432"/>
      <c r="X61" s="1432"/>
      <c r="Y61" s="1432"/>
      <c r="Z61" s="1432"/>
      <c r="AA61" s="1432"/>
      <c r="AB61" s="1432"/>
      <c r="AC61" s="1432"/>
    </row>
    <row r="62" spans="1:29" s="470" customFormat="1" ht="15.75" hidden="1" thickBot="1">
      <c r="A62" s="552"/>
      <c r="B62" s="542"/>
      <c r="C62" s="559"/>
      <c r="D62" s="559"/>
      <c r="E62" s="559"/>
      <c r="F62" s="559"/>
      <c r="G62" s="559"/>
      <c r="H62" s="561"/>
      <c r="I62" s="561"/>
      <c r="J62" s="561"/>
      <c r="K62" s="561"/>
      <c r="L62" s="561"/>
      <c r="M62" s="562"/>
      <c r="N62" s="1154"/>
      <c r="O62" s="1154"/>
      <c r="P62" s="1430"/>
      <c r="Q62" s="1431"/>
      <c r="R62" s="1432"/>
      <c r="S62" s="1432"/>
      <c r="T62" s="1432"/>
      <c r="U62" s="1432"/>
      <c r="V62" s="1432"/>
      <c r="W62" s="1432"/>
      <c r="X62" s="1432"/>
      <c r="Y62" s="1432"/>
      <c r="Z62" s="1432"/>
      <c r="AA62" s="1432"/>
      <c r="AB62" s="1432"/>
      <c r="AC62" s="1432"/>
    </row>
    <row r="63" spans="1:29" ht="15" thickTop="1">
      <c r="A63" s="526" t="s">
        <v>2560</v>
      </c>
      <c r="B63" s="527" t="s">
        <v>2603</v>
      </c>
      <c r="C63" s="572" t="s">
        <v>2598</v>
      </c>
      <c r="D63" s="572" t="s">
        <v>2599</v>
      </c>
      <c r="E63" s="572" t="s">
        <v>2600</v>
      </c>
      <c r="F63" s="572" t="s">
        <v>2601</v>
      </c>
      <c r="G63" s="572" t="s">
        <v>2602</v>
      </c>
      <c r="H63" s="528"/>
      <c r="I63" s="528"/>
      <c r="J63" s="528"/>
      <c r="K63" s="573"/>
      <c r="L63" s="574"/>
      <c r="M63" s="575"/>
      <c r="N63" s="1152"/>
      <c r="O63" s="1152"/>
      <c r="P63" s="1435"/>
      <c r="Q63" s="1423"/>
      <c r="R63" s="1144"/>
      <c r="S63" s="1144"/>
      <c r="T63" s="1144"/>
      <c r="U63" s="1144"/>
      <c r="V63" s="1144"/>
      <c r="W63" s="1144"/>
      <c r="X63" s="1144"/>
      <c r="Y63" s="1144"/>
      <c r="Z63" s="1144"/>
      <c r="AA63" s="1144"/>
      <c r="AB63" s="1144"/>
      <c r="AC63" s="1144"/>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3"/>
      <c r="O64" s="1153"/>
      <c r="P64" s="1429"/>
      <c r="Q64" s="1423"/>
      <c r="R64" s="1144"/>
      <c r="S64" s="1144"/>
      <c r="T64" s="1144"/>
      <c r="U64" s="1144"/>
      <c r="V64" s="1144"/>
      <c r="W64" s="1144"/>
      <c r="X64" s="1144"/>
      <c r="Y64" s="1144"/>
      <c r="Z64" s="1144"/>
      <c r="AA64" s="1144"/>
      <c r="AB64" s="1144"/>
      <c r="AC64" s="1144"/>
    </row>
    <row r="65" spans="1:29" ht="15.75" thickTop="1">
      <c r="A65" s="533"/>
      <c r="B65" s="537" t="s">
        <v>2604</v>
      </c>
      <c r="C65" s="577" t="s">
        <v>2598</v>
      </c>
      <c r="D65" s="577" t="s">
        <v>2599</v>
      </c>
      <c r="E65" s="577" t="s">
        <v>2600</v>
      </c>
      <c r="F65" s="577" t="s">
        <v>2601</v>
      </c>
      <c r="G65" s="577" t="s">
        <v>2602</v>
      </c>
      <c r="H65" s="538"/>
      <c r="I65" s="538"/>
      <c r="J65" s="538"/>
      <c r="K65" s="539"/>
      <c r="L65" s="540"/>
      <c r="M65" s="541"/>
      <c r="N65" s="1152"/>
      <c r="O65" s="1152"/>
      <c r="P65" s="1429"/>
      <c r="Q65" s="1423"/>
      <c r="R65" s="1144"/>
      <c r="S65" s="1144"/>
      <c r="T65" s="1144"/>
      <c r="U65" s="1144"/>
      <c r="V65" s="1144"/>
      <c r="W65" s="1144"/>
      <c r="X65" s="1144"/>
      <c r="Y65" s="1144"/>
      <c r="Z65" s="1144"/>
      <c r="AA65" s="1144"/>
      <c r="AB65" s="1144"/>
      <c r="AC65" s="1144"/>
    </row>
    <row r="66" spans="1:29" ht="15.75" thickBot="1">
      <c r="A66" s="533"/>
      <c r="B66" s="542"/>
      <c r="C66" s="543">
        <v>100</v>
      </c>
      <c r="D66" s="543">
        <f>C66-$K16</f>
        <v>98</v>
      </c>
      <c r="E66" s="543">
        <f>D66-$K16</f>
        <v>96</v>
      </c>
      <c r="F66" s="543">
        <f>E66-$K16</f>
        <v>94</v>
      </c>
      <c r="G66" s="543">
        <f>F66-$K16</f>
        <v>92</v>
      </c>
      <c r="H66" s="543"/>
      <c r="I66" s="543"/>
      <c r="J66" s="543"/>
      <c r="K66" s="543"/>
      <c r="L66" s="543"/>
      <c r="M66" s="544"/>
      <c r="N66" s="1153"/>
      <c r="O66" s="1153"/>
      <c r="P66" s="1429"/>
      <c r="Q66" s="1423"/>
      <c r="R66" s="1144"/>
      <c r="S66" s="1144"/>
      <c r="T66" s="1144"/>
      <c r="U66" s="1144"/>
      <c r="V66" s="1144"/>
      <c r="W66" s="1144"/>
      <c r="X66" s="1144"/>
      <c r="Y66" s="1144"/>
      <c r="Z66" s="1144"/>
      <c r="AA66" s="1144"/>
      <c r="AB66" s="1144"/>
      <c r="AC66" s="1144"/>
    </row>
    <row r="67" spans="1:29" ht="15.75" thickTop="1">
      <c r="A67" s="533"/>
      <c r="B67" s="545" t="s">
        <v>2690</v>
      </c>
      <c r="C67" s="659" t="s">
        <v>2676</v>
      </c>
      <c r="D67" s="659" t="s">
        <v>2677</v>
      </c>
      <c r="E67" s="659" t="s">
        <v>2678</v>
      </c>
      <c r="F67" s="659" t="s">
        <v>2679</v>
      </c>
      <c r="G67" s="659" t="s">
        <v>2680</v>
      </c>
      <c r="H67" s="538"/>
      <c r="I67" s="538"/>
      <c r="J67" s="538"/>
      <c r="K67" s="538"/>
      <c r="L67" s="538"/>
      <c r="M67" s="1382"/>
      <c r="N67" s="1153"/>
      <c r="O67" s="1153"/>
      <c r="P67" s="1429"/>
      <c r="Q67" s="1423"/>
      <c r="R67" s="1144"/>
      <c r="S67" s="1144"/>
      <c r="T67" s="1144"/>
      <c r="U67" s="1144"/>
      <c r="V67" s="1144"/>
      <c r="W67" s="1144"/>
      <c r="X67" s="1144"/>
      <c r="Y67" s="1144"/>
      <c r="Z67" s="1144"/>
      <c r="AA67" s="1144"/>
      <c r="AB67" s="1144"/>
      <c r="AC67" s="1144"/>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3"/>
      <c r="O68" s="1153"/>
      <c r="P68" s="1429"/>
      <c r="Q68" s="1423"/>
      <c r="R68" s="1144"/>
      <c r="S68" s="1144"/>
      <c r="T68" s="1144"/>
      <c r="U68" s="1144"/>
      <c r="V68" s="1144"/>
      <c r="W68" s="1144"/>
      <c r="X68" s="1144"/>
      <c r="Y68" s="1144"/>
      <c r="Z68" s="1144"/>
      <c r="AA68" s="1144"/>
      <c r="AB68" s="1144"/>
      <c r="AC68" s="1144"/>
    </row>
    <row r="69" spans="1:29" ht="15.75" thickTop="1">
      <c r="A69" s="533"/>
      <c r="B69" s="537" t="s">
        <v>2610</v>
      </c>
      <c r="C69" s="577" t="s">
        <v>2598</v>
      </c>
      <c r="D69" s="577" t="s">
        <v>2599</v>
      </c>
      <c r="E69" s="577" t="s">
        <v>2600</v>
      </c>
      <c r="F69" s="577" t="s">
        <v>2601</v>
      </c>
      <c r="G69" s="577" t="s">
        <v>2602</v>
      </c>
      <c r="H69" s="538"/>
      <c r="I69" s="538"/>
      <c r="J69" s="538"/>
      <c r="K69" s="539"/>
      <c r="L69" s="540"/>
      <c r="M69" s="541"/>
      <c r="N69" s="1152"/>
      <c r="O69" s="1152"/>
      <c r="P69" s="1429"/>
      <c r="Q69" s="1423"/>
      <c r="R69" s="1144"/>
      <c r="S69" s="1144"/>
      <c r="T69" s="1144"/>
      <c r="U69" s="1144"/>
      <c r="V69" s="1144"/>
      <c r="W69" s="1144"/>
      <c r="X69" s="1144"/>
      <c r="Y69" s="1144"/>
      <c r="Z69" s="1144"/>
      <c r="AA69" s="1144"/>
      <c r="AB69" s="1144"/>
      <c r="AC69" s="1144"/>
    </row>
    <row r="70" spans="1:29" ht="15.75" thickBot="1">
      <c r="A70" s="533"/>
      <c r="B70" s="542"/>
      <c r="C70" s="543">
        <v>100</v>
      </c>
      <c r="D70" s="543">
        <f>C70-$K20</f>
        <v>97</v>
      </c>
      <c r="E70" s="543">
        <f>D70-$K20</f>
        <v>94</v>
      </c>
      <c r="F70" s="543">
        <f>E70-$K20</f>
        <v>91</v>
      </c>
      <c r="G70" s="543">
        <f>F70-$K20</f>
        <v>88</v>
      </c>
      <c r="H70" s="543"/>
      <c r="I70" s="543"/>
      <c r="J70" s="543"/>
      <c r="K70" s="543"/>
      <c r="L70" s="543"/>
      <c r="M70" s="544"/>
      <c r="N70" s="1153"/>
      <c r="O70" s="1153"/>
      <c r="P70" s="1429"/>
      <c r="Q70" s="1423"/>
      <c r="R70" s="1144"/>
      <c r="S70" s="1144"/>
      <c r="T70" s="1144"/>
      <c r="U70" s="1144"/>
      <c r="V70" s="1144"/>
      <c r="W70" s="1144"/>
      <c r="X70" s="1144"/>
      <c r="Y70" s="1144"/>
      <c r="Z70" s="1144"/>
      <c r="AA70" s="1144"/>
      <c r="AB70" s="1144"/>
      <c r="AC70" s="1144"/>
    </row>
    <row r="71" spans="1:29" ht="15.75" hidden="1" thickTop="1">
      <c r="A71" s="533"/>
      <c r="B71" s="537" t="s">
        <v>2730</v>
      </c>
      <c r="C71" s="553"/>
      <c r="D71" s="553"/>
      <c r="E71" s="553"/>
      <c r="F71" s="553"/>
      <c r="G71" s="553"/>
      <c r="H71" s="582"/>
      <c r="I71" s="582"/>
      <c r="J71" s="582"/>
      <c r="K71" s="583"/>
      <c r="L71" s="584"/>
      <c r="M71" s="585"/>
      <c r="N71" s="1152"/>
      <c r="O71" s="1152"/>
      <c r="P71" s="1429"/>
      <c r="Q71" s="1423"/>
      <c r="R71" s="1144"/>
      <c r="S71" s="1144"/>
      <c r="T71" s="1144"/>
      <c r="U71" s="1144"/>
      <c r="V71" s="1144"/>
      <c r="W71" s="1144"/>
      <c r="X71" s="1144"/>
      <c r="Y71" s="1144"/>
      <c r="Z71" s="1144"/>
      <c r="AA71" s="1144"/>
      <c r="AB71" s="1144"/>
      <c r="AC71" s="1144"/>
    </row>
    <row r="72" spans="1:29" ht="15.75" hidden="1" thickBot="1">
      <c r="A72" s="533"/>
      <c r="B72" s="542"/>
      <c r="C72" s="543">
        <v>100</v>
      </c>
      <c r="D72" s="543">
        <f>C72-$K22</f>
        <v>100</v>
      </c>
      <c r="E72" s="543">
        <f>D72-$K22</f>
        <v>100</v>
      </c>
      <c r="F72" s="543">
        <f>E72-$K22</f>
        <v>100</v>
      </c>
      <c r="G72" s="543">
        <f>F72-$K22</f>
        <v>100</v>
      </c>
      <c r="H72" s="543"/>
      <c r="I72" s="543"/>
      <c r="J72" s="543"/>
      <c r="K72" s="543"/>
      <c r="L72" s="543"/>
      <c r="M72" s="544"/>
      <c r="N72" s="1153"/>
      <c r="O72" s="1153"/>
      <c r="P72" s="1429"/>
      <c r="Q72" s="1423"/>
      <c r="R72" s="1144"/>
      <c r="S72" s="1144"/>
      <c r="T72" s="1144"/>
      <c r="U72" s="1144"/>
      <c r="V72" s="1144"/>
      <c r="W72" s="1144"/>
      <c r="X72" s="1144"/>
      <c r="Y72" s="1144"/>
      <c r="Z72" s="1144"/>
      <c r="AA72" s="1144"/>
      <c r="AB72" s="1144"/>
      <c r="AC72" s="1144"/>
    </row>
    <row r="73" spans="1:29" s="116" customFormat="1" ht="15.75" hidden="1" thickTop="1">
      <c r="A73" s="578"/>
      <c r="B73" s="537">
        <f>B23</f>
        <v>111</v>
      </c>
      <c r="C73" s="548"/>
      <c r="D73" s="548"/>
      <c r="E73" s="548"/>
      <c r="F73" s="548"/>
      <c r="G73" s="553"/>
      <c r="H73" s="553"/>
      <c r="I73" s="553"/>
      <c r="J73" s="553"/>
      <c r="K73" s="553"/>
      <c r="L73" s="579"/>
      <c r="M73" s="580"/>
      <c r="N73" s="1151"/>
      <c r="O73" s="1151"/>
      <c r="P73" s="1429"/>
      <c r="Q73" s="1423"/>
      <c r="R73" s="1427"/>
      <c r="S73" s="1427"/>
      <c r="T73" s="1427"/>
      <c r="U73" s="1427"/>
      <c r="V73" s="1427"/>
      <c r="W73" s="1427"/>
      <c r="X73" s="1427"/>
      <c r="Y73" s="1427"/>
      <c r="Z73" s="1427"/>
      <c r="AA73" s="1427"/>
      <c r="AB73" s="1427"/>
      <c r="AC73" s="1427"/>
    </row>
    <row r="74" spans="1:29" s="116" customFormat="1" ht="15.75" hidden="1" thickBot="1">
      <c r="A74" s="578"/>
      <c r="B74" s="542"/>
      <c r="C74" s="559"/>
      <c r="D74" s="535"/>
      <c r="E74" s="535"/>
      <c r="F74" s="535"/>
      <c r="G74" s="535"/>
      <c r="H74" s="535"/>
      <c r="I74" s="535"/>
      <c r="J74" s="535"/>
      <c r="K74" s="535"/>
      <c r="L74" s="535"/>
      <c r="M74" s="536"/>
      <c r="N74" s="1153"/>
      <c r="O74" s="1153"/>
      <c r="P74" s="1429"/>
      <c r="Q74" s="1423"/>
      <c r="R74" s="1427"/>
      <c r="S74" s="1427"/>
      <c r="T74" s="1427"/>
      <c r="U74" s="1427"/>
      <c r="V74" s="1427"/>
      <c r="W74" s="1427"/>
      <c r="X74" s="1427"/>
      <c r="Y74" s="1427"/>
      <c r="Z74" s="1427"/>
      <c r="AA74" s="1427"/>
      <c r="AB74" s="1427"/>
      <c r="AC74" s="1427"/>
    </row>
    <row r="75" spans="1:29" s="116" customFormat="1" ht="15.75" hidden="1" thickTop="1">
      <c r="A75" s="578"/>
      <c r="B75" s="537">
        <f>B24</f>
        <v>111</v>
      </c>
      <c r="C75" s="548"/>
      <c r="D75" s="548"/>
      <c r="E75" s="548"/>
      <c r="F75" s="548"/>
      <c r="G75" s="553"/>
      <c r="H75" s="553"/>
      <c r="I75" s="553"/>
      <c r="J75" s="553"/>
      <c r="K75" s="553"/>
      <c r="L75" s="553"/>
      <c r="M75" s="580"/>
      <c r="N75" s="1151"/>
      <c r="O75" s="1151"/>
      <c r="P75" s="1429"/>
      <c r="Q75" s="1423"/>
      <c r="R75" s="1427"/>
      <c r="S75" s="1427"/>
      <c r="T75" s="1427"/>
      <c r="U75" s="1427"/>
      <c r="V75" s="1427"/>
      <c r="W75" s="1427"/>
      <c r="X75" s="1427"/>
      <c r="Y75" s="1427"/>
      <c r="Z75" s="1427"/>
      <c r="AA75" s="1427"/>
      <c r="AB75" s="1427"/>
      <c r="AC75" s="1427"/>
    </row>
    <row r="76" spans="1:29" s="116" customFormat="1" ht="15.75" hidden="1" thickBot="1">
      <c r="A76" s="578"/>
      <c r="B76" s="542"/>
      <c r="C76" s="559"/>
      <c r="D76" s="535"/>
      <c r="E76" s="535"/>
      <c r="F76" s="535"/>
      <c r="G76" s="535"/>
      <c r="H76" s="535"/>
      <c r="I76" s="535"/>
      <c r="J76" s="535"/>
      <c r="K76" s="535"/>
      <c r="L76" s="535"/>
      <c r="M76" s="536"/>
      <c r="N76" s="1153"/>
      <c r="O76" s="1153"/>
      <c r="P76" s="1429"/>
      <c r="Q76" s="1423"/>
      <c r="R76" s="1427"/>
      <c r="S76" s="1427"/>
      <c r="T76" s="1427"/>
      <c r="U76" s="1427"/>
      <c r="V76" s="1427"/>
      <c r="W76" s="1427"/>
      <c r="X76" s="1427"/>
      <c r="Y76" s="1427"/>
      <c r="Z76" s="1427"/>
      <c r="AA76" s="1427"/>
      <c r="AB76" s="1427"/>
      <c r="AC76" s="1427"/>
    </row>
    <row r="77" spans="1:29" s="470" customFormat="1" ht="15.75" hidden="1" thickTop="1">
      <c r="A77" s="552"/>
      <c r="B77" s="537">
        <f>B25</f>
        <v>111</v>
      </c>
      <c r="C77" s="553"/>
      <c r="D77" s="553"/>
      <c r="E77" s="553"/>
      <c r="F77" s="553"/>
      <c r="G77" s="553"/>
      <c r="H77" s="554"/>
      <c r="I77" s="554"/>
      <c r="J77" s="554"/>
      <c r="K77" s="554"/>
      <c r="L77" s="555"/>
      <c r="M77" s="556"/>
      <c r="N77" s="1154"/>
      <c r="O77" s="1154"/>
      <c r="P77" s="1430"/>
      <c r="Q77" s="1431"/>
      <c r="R77" s="1432"/>
      <c r="S77" s="1432"/>
      <c r="T77" s="1432"/>
      <c r="U77" s="1432"/>
      <c r="V77" s="1432"/>
      <c r="W77" s="1432"/>
      <c r="X77" s="1432"/>
      <c r="Y77" s="1432"/>
      <c r="Z77" s="1432"/>
      <c r="AA77" s="1432"/>
      <c r="AB77" s="1432"/>
      <c r="AC77" s="1432"/>
    </row>
    <row r="78" spans="1:29" s="470" customFormat="1" ht="15.75" hidden="1" thickBot="1">
      <c r="A78" s="552"/>
      <c r="B78" s="542"/>
      <c r="C78" s="559"/>
      <c r="D78" s="559"/>
      <c r="E78" s="559"/>
      <c r="F78" s="559"/>
      <c r="G78" s="535"/>
      <c r="H78" s="535"/>
      <c r="I78" s="535"/>
      <c r="J78" s="535"/>
      <c r="K78" s="535"/>
      <c r="L78" s="535"/>
      <c r="M78" s="536"/>
      <c r="N78" s="1154"/>
      <c r="O78" s="1154"/>
      <c r="P78" s="1430"/>
      <c r="Q78" s="1431"/>
      <c r="R78" s="1432"/>
      <c r="S78" s="1432"/>
      <c r="T78" s="1432"/>
      <c r="U78" s="1432"/>
      <c r="V78" s="1432"/>
      <c r="W78" s="1432"/>
      <c r="X78" s="1432"/>
      <c r="Y78" s="1432"/>
      <c r="Z78" s="1432"/>
      <c r="AA78" s="1432"/>
      <c r="AB78" s="1432"/>
      <c r="AC78" s="1432"/>
    </row>
    <row r="79" spans="1:29" ht="27.75" thickTop="1">
      <c r="A79" s="526" t="s">
        <v>2564</v>
      </c>
      <c r="B79" s="527" t="s">
        <v>2731</v>
      </c>
      <c r="C79" s="528" t="str">
        <f>C26</f>
        <v>车库</v>
      </c>
      <c r="D79" s="2935" t="s">
        <v>3187</v>
      </c>
      <c r="E79" s="2935" t="s">
        <v>3188</v>
      </c>
      <c r="F79" s="2935" t="s">
        <v>3189</v>
      </c>
      <c r="G79" s="529"/>
      <c r="H79" s="529"/>
      <c r="I79" s="529"/>
      <c r="J79" s="529"/>
      <c r="K79" s="530"/>
      <c r="L79" s="531"/>
      <c r="M79" s="532"/>
      <c r="N79" s="1152"/>
      <c r="O79" s="1152"/>
      <c r="P79" s="1429"/>
      <c r="Q79" s="1423"/>
      <c r="R79" s="1144"/>
      <c r="S79" s="1144"/>
      <c r="T79" s="1144"/>
      <c r="U79" s="1144"/>
      <c r="V79" s="1144"/>
      <c r="W79" s="1144"/>
      <c r="X79" s="1144"/>
      <c r="Y79" s="1144"/>
      <c r="Z79" s="1144"/>
      <c r="AA79" s="1144"/>
      <c r="AB79" s="1144"/>
      <c r="AC79" s="1144"/>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3"/>
      <c r="B81" s="537" t="s">
        <v>2732</v>
      </c>
      <c r="C81" s="660" t="s">
        <v>3190</v>
      </c>
      <c r="D81" s="660" t="s">
        <v>3206</v>
      </c>
      <c r="E81" s="660" t="s">
        <v>3205</v>
      </c>
      <c r="F81" s="660"/>
      <c r="G81" s="660"/>
      <c r="H81" s="660"/>
      <c r="I81" s="660"/>
      <c r="J81" s="660"/>
      <c r="K81" s="661"/>
      <c r="L81" s="662"/>
      <c r="M81" s="663"/>
      <c r="N81" s="1151"/>
      <c r="O81" s="1151"/>
      <c r="P81" s="1429"/>
      <c r="Q81" s="1423"/>
      <c r="R81" s="1144"/>
      <c r="S81" s="1144"/>
      <c r="T81" s="1144"/>
      <c r="U81" s="1144"/>
      <c r="V81" s="1144"/>
      <c r="W81" s="1144"/>
      <c r="X81" s="1144"/>
      <c r="Y81" s="1144"/>
      <c r="Z81" s="1144"/>
      <c r="AA81" s="1144"/>
      <c r="AB81" s="1144"/>
      <c r="AC81" s="1144"/>
    </row>
    <row r="82" spans="1:29" s="470" customFormat="1" ht="15.75" thickBot="1">
      <c r="A82" s="552"/>
      <c r="B82" s="542"/>
      <c r="C82" s="559">
        <v>100</v>
      </c>
      <c r="D82" s="535">
        <v>99</v>
      </c>
      <c r="E82" s="535">
        <v>98</v>
      </c>
      <c r="F82" s="535"/>
      <c r="G82" s="535"/>
      <c r="H82" s="535"/>
      <c r="I82" s="535"/>
      <c r="J82" s="535"/>
      <c r="K82" s="535"/>
      <c r="L82" s="535"/>
      <c r="M82" s="536"/>
      <c r="N82" s="1153"/>
      <c r="O82" s="1153"/>
      <c r="P82" s="1430"/>
      <c r="Q82" s="1431"/>
      <c r="R82" s="1432"/>
      <c r="S82" s="1432"/>
      <c r="T82" s="1432"/>
      <c r="U82" s="1432"/>
      <c r="V82" s="1432"/>
      <c r="W82" s="1432"/>
      <c r="X82" s="1432"/>
      <c r="Y82" s="1432"/>
      <c r="Z82" s="1432"/>
      <c r="AA82" s="1432"/>
      <c r="AB82" s="1432"/>
      <c r="AC82" s="1432"/>
    </row>
    <row r="83" spans="1:29" ht="15" thickTop="1">
      <c r="A83" s="598"/>
      <c r="B83" s="537" t="s">
        <v>2617</v>
      </c>
      <c r="C83" s="2936" t="s">
        <v>3191</v>
      </c>
      <c r="D83" s="2936" t="s">
        <v>3192</v>
      </c>
      <c r="E83" s="2937" t="s">
        <v>3193</v>
      </c>
      <c r="F83" s="582"/>
      <c r="G83" s="582"/>
      <c r="H83" s="582"/>
      <c r="I83" s="582"/>
      <c r="J83" s="582"/>
      <c r="K83" s="583"/>
      <c r="L83" s="584"/>
      <c r="M83" s="585"/>
      <c r="N83" s="1152"/>
      <c r="O83" s="1152"/>
      <c r="P83" s="1429"/>
      <c r="Q83" s="1423"/>
      <c r="R83" s="1144"/>
      <c r="S83" s="1144"/>
      <c r="T83" s="1144"/>
      <c r="U83" s="1144"/>
      <c r="V83" s="1144"/>
      <c r="W83" s="1144"/>
      <c r="X83" s="1144"/>
      <c r="Y83" s="1144"/>
      <c r="Z83" s="1144"/>
      <c r="AA83" s="1144"/>
      <c r="AB83" s="1144"/>
      <c r="AC83" s="1144"/>
    </row>
    <row r="84" spans="1:29" ht="15.75" thickBot="1">
      <c r="A84" s="533"/>
      <c r="B84" s="542"/>
      <c r="C84" s="543">
        <v>100</v>
      </c>
      <c r="D84" s="543">
        <f t="shared" ref="D84:M84" si="18">C84-$K28</f>
        <v>97</v>
      </c>
      <c r="E84" s="543">
        <f t="shared" si="18"/>
        <v>94</v>
      </c>
      <c r="F84" s="543">
        <f t="shared" si="18"/>
        <v>91</v>
      </c>
      <c r="G84" s="543">
        <f t="shared" si="18"/>
        <v>88</v>
      </c>
      <c r="H84" s="543">
        <f t="shared" si="18"/>
        <v>85</v>
      </c>
      <c r="I84" s="543">
        <f t="shared" si="18"/>
        <v>82</v>
      </c>
      <c r="J84" s="543">
        <f t="shared" si="18"/>
        <v>79</v>
      </c>
      <c r="K84" s="543">
        <f t="shared" si="18"/>
        <v>76</v>
      </c>
      <c r="L84" s="543">
        <f t="shared" si="18"/>
        <v>73</v>
      </c>
      <c r="M84" s="544">
        <f t="shared" si="18"/>
        <v>70</v>
      </c>
      <c r="N84" s="1153"/>
      <c r="O84" s="1153"/>
      <c r="P84" s="1429"/>
      <c r="Q84" s="1423"/>
      <c r="R84" s="1144"/>
      <c r="S84" s="1144"/>
      <c r="T84" s="1144"/>
      <c r="U84" s="1144"/>
      <c r="V84" s="1144"/>
      <c r="W84" s="1144"/>
      <c r="X84" s="1144"/>
      <c r="Y84" s="1144"/>
      <c r="Z84" s="1144"/>
      <c r="AA84" s="1144"/>
      <c r="AB84" s="1144"/>
      <c r="AC84" s="1144"/>
    </row>
    <row r="85" spans="1:29" ht="15" thickTop="1">
      <c r="A85" s="598"/>
      <c r="B85" s="537" t="s">
        <v>2733</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2"/>
      <c r="O85" s="1152"/>
      <c r="P85" s="1429"/>
      <c r="Q85" s="1423"/>
      <c r="R85" s="1144"/>
      <c r="S85" s="1144"/>
      <c r="T85" s="1144"/>
      <c r="U85" s="1144"/>
      <c r="V85" s="1144"/>
      <c r="W85" s="1144"/>
      <c r="X85" s="1144"/>
      <c r="Y85" s="1144"/>
      <c r="Z85" s="1144"/>
      <c r="AA85" s="1144"/>
      <c r="AB85" s="1144"/>
      <c r="AC85" s="1144"/>
    </row>
    <row r="86" spans="1:29">
      <c r="A86" s="598"/>
      <c r="B86" s="545"/>
      <c r="C86" s="602">
        <v>0.5</v>
      </c>
      <c r="D86" s="602">
        <v>0.6</v>
      </c>
      <c r="E86" s="602">
        <v>0.7</v>
      </c>
      <c r="F86" s="602">
        <v>0.8</v>
      </c>
      <c r="G86" s="602">
        <v>0.9</v>
      </c>
      <c r="H86" s="602">
        <v>1.0001</v>
      </c>
      <c r="I86" s="622"/>
      <c r="J86" s="622"/>
      <c r="K86" s="623"/>
      <c r="L86" s="624"/>
      <c r="M86" s="625"/>
      <c r="N86" s="1152"/>
      <c r="O86" s="1152"/>
      <c r="P86" s="1429"/>
      <c r="Q86" s="1423"/>
      <c r="R86" s="1144"/>
      <c r="S86" s="1144"/>
      <c r="T86" s="1144"/>
      <c r="U86" s="1144"/>
      <c r="V86" s="1144"/>
      <c r="W86" s="1144"/>
      <c r="X86" s="1144"/>
      <c r="Y86" s="1144"/>
      <c r="Z86" s="1144"/>
      <c r="AA86" s="1144"/>
      <c r="AB86" s="1144"/>
      <c r="AC86" s="1144"/>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8"/>
      <c r="B88" s="545" t="s">
        <v>2734</v>
      </c>
      <c r="C88" s="2935" t="s">
        <v>3194</v>
      </c>
      <c r="D88" s="2935" t="s">
        <v>3195</v>
      </c>
      <c r="E88" s="529"/>
      <c r="F88" s="529"/>
      <c r="G88" s="529"/>
      <c r="H88" s="529"/>
      <c r="I88" s="529"/>
      <c r="J88" s="529"/>
      <c r="K88" s="530"/>
      <c r="L88" s="531"/>
      <c r="M88" s="532"/>
      <c r="N88" s="1152"/>
      <c r="O88" s="1152"/>
      <c r="P88" s="1429"/>
      <c r="Q88" s="1423"/>
      <c r="R88" s="1144"/>
      <c r="S88" s="1144"/>
      <c r="T88" s="1144"/>
      <c r="U88" s="1144"/>
      <c r="V88" s="1144"/>
      <c r="W88" s="1144"/>
      <c r="X88" s="1144"/>
      <c r="Y88" s="1144"/>
      <c r="Z88" s="1144"/>
      <c r="AA88" s="1144"/>
      <c r="AB88" s="1144"/>
      <c r="AC88" s="1144"/>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3"/>
      <c r="O89" s="1153"/>
      <c r="P89" s="1429"/>
      <c r="Q89" s="1423"/>
      <c r="R89" s="1144"/>
      <c r="S89" s="1144"/>
      <c r="T89" s="1144"/>
      <c r="U89" s="1144"/>
      <c r="V89" s="1144"/>
      <c r="W89" s="1144"/>
      <c r="X89" s="1144"/>
      <c r="Y89" s="1144"/>
      <c r="Z89" s="1144"/>
      <c r="AA89" s="1144"/>
      <c r="AB89" s="1144"/>
      <c r="AC89" s="1144"/>
    </row>
    <row r="90" spans="1:29" s="470" customFormat="1" ht="15" thickTop="1">
      <c r="A90" s="592"/>
      <c r="B90" s="537" t="s">
        <v>2735</v>
      </c>
      <c r="C90" s="577" t="str">
        <f>C91&amp;"(含)"&amp;"-"&amp;D91</f>
        <v>0(含)-30</v>
      </c>
      <c r="D90" s="577" t="str">
        <f t="shared" ref="D90:L90" si="21">D91&amp;"(含)"&amp;"-"&amp;E91</f>
        <v>30(含)-50</v>
      </c>
      <c r="E90" s="577" t="str">
        <f t="shared" si="21"/>
        <v>50(含)-80</v>
      </c>
      <c r="F90" s="577" t="str">
        <f t="shared" si="21"/>
        <v>80(含)-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4"/>
      <c r="O90" s="1154"/>
      <c r="P90" s="1430"/>
      <c r="Q90" s="1431"/>
      <c r="R90" s="1432"/>
      <c r="S90" s="1432"/>
      <c r="T90" s="1432"/>
      <c r="U90" s="1432"/>
      <c r="V90" s="1432"/>
      <c r="W90" s="1432"/>
      <c r="X90" s="1432"/>
      <c r="Y90" s="1432"/>
      <c r="Z90" s="1432"/>
      <c r="AA90" s="1432"/>
      <c r="AB90" s="1432"/>
      <c r="AC90" s="1432"/>
    </row>
    <row r="91" spans="1:29" s="470" customFormat="1">
      <c r="A91" s="592"/>
      <c r="B91" s="545"/>
      <c r="C91" s="594">
        <v>0</v>
      </c>
      <c r="D91" s="594">
        <v>30</v>
      </c>
      <c r="E91" s="594">
        <v>50</v>
      </c>
      <c r="F91" s="594">
        <v>80</v>
      </c>
      <c r="G91" s="594"/>
      <c r="H91" s="594"/>
      <c r="I91" s="594"/>
      <c r="J91" s="595"/>
      <c r="K91" s="595"/>
      <c r="L91" s="596"/>
      <c r="M91" s="597"/>
      <c r="N91" s="1154"/>
      <c r="O91" s="1154"/>
      <c r="P91" s="1430"/>
      <c r="Q91" s="1431"/>
      <c r="R91" s="1432"/>
      <c r="S91" s="1432"/>
      <c r="T91" s="1432"/>
      <c r="U91" s="1432"/>
      <c r="V91" s="1432"/>
      <c r="W91" s="1432"/>
      <c r="X91" s="1432"/>
      <c r="Y91" s="1432"/>
      <c r="Z91" s="1432"/>
      <c r="AA91" s="1432"/>
      <c r="AB91" s="1432"/>
      <c r="AC91" s="1432"/>
    </row>
    <row r="92" spans="1:29" s="470" customFormat="1" ht="15.75" thickBot="1">
      <c r="A92" s="552"/>
      <c r="B92" s="542"/>
      <c r="C92" s="559">
        <v>100</v>
      </c>
      <c r="D92" s="535">
        <v>105</v>
      </c>
      <c r="E92" s="535">
        <v>110</v>
      </c>
      <c r="F92" s="535">
        <v>115</v>
      </c>
      <c r="G92" s="535"/>
      <c r="H92" s="535"/>
      <c r="I92" s="535"/>
      <c r="J92" s="535"/>
      <c r="K92" s="535"/>
      <c r="L92" s="535"/>
      <c r="M92" s="536"/>
      <c r="N92" s="1154"/>
      <c r="O92" s="1154"/>
      <c r="P92" s="1430"/>
      <c r="Q92" s="1431"/>
      <c r="R92" s="1432"/>
      <c r="S92" s="1432"/>
      <c r="T92" s="1432"/>
      <c r="U92" s="1432"/>
      <c r="V92" s="1432"/>
      <c r="W92" s="1432"/>
      <c r="X92" s="1432"/>
      <c r="Y92" s="1432"/>
      <c r="Z92" s="1432"/>
      <c r="AA92" s="1432"/>
      <c r="AB92" s="1432"/>
      <c r="AC92" s="1432"/>
    </row>
    <row r="93" spans="1:29" ht="15" thickTop="1">
      <c r="A93" s="598"/>
      <c r="B93" s="537" t="s">
        <v>2736</v>
      </c>
      <c r="C93" s="2936" t="s">
        <v>3197</v>
      </c>
      <c r="D93" s="2936" t="s">
        <v>3198</v>
      </c>
      <c r="E93" s="582"/>
      <c r="F93" s="582"/>
      <c r="G93" s="582"/>
      <c r="H93" s="582"/>
      <c r="I93" s="582"/>
      <c r="J93" s="582"/>
      <c r="K93" s="583"/>
      <c r="L93" s="584"/>
      <c r="M93" s="585"/>
      <c r="N93" s="1152"/>
      <c r="O93" s="1152"/>
      <c r="P93" s="1429"/>
      <c r="Q93" s="1423"/>
      <c r="R93" s="1144"/>
      <c r="S93" s="1144"/>
      <c r="T93" s="1144"/>
      <c r="U93" s="1144"/>
      <c r="V93" s="1144"/>
      <c r="W93" s="1144"/>
      <c r="X93" s="1144"/>
      <c r="Y93" s="1144"/>
      <c r="Z93" s="1144"/>
      <c r="AA93" s="1144"/>
      <c r="AB93" s="1144"/>
      <c r="AC93" s="1144"/>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8"/>
      <c r="B95" s="537" t="s">
        <v>2737</v>
      </c>
      <c r="C95" s="2935" t="s">
        <v>3199</v>
      </c>
      <c r="D95" s="2935" t="s">
        <v>3200</v>
      </c>
      <c r="E95" s="529"/>
      <c r="F95" s="529"/>
      <c r="G95" s="529"/>
      <c r="H95" s="529"/>
      <c r="I95" s="529"/>
      <c r="J95" s="529"/>
      <c r="K95" s="530"/>
      <c r="L95" s="531"/>
      <c r="M95" s="532"/>
      <c r="N95" s="1152"/>
      <c r="O95" s="1152"/>
      <c r="P95" s="1429"/>
      <c r="Q95" s="1423"/>
      <c r="R95" s="1144"/>
      <c r="S95" s="1144"/>
      <c r="T95" s="1144"/>
      <c r="U95" s="1144"/>
      <c r="V95" s="1144"/>
      <c r="W95" s="1144"/>
      <c r="X95" s="1144"/>
      <c r="Y95" s="1144"/>
      <c r="Z95" s="1144"/>
      <c r="AA95" s="1144"/>
      <c r="AB95" s="1144"/>
      <c r="AC95" s="1144"/>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3"/>
      <c r="O96" s="1153"/>
      <c r="P96" s="1429"/>
      <c r="Q96" s="1423"/>
      <c r="R96" s="1144"/>
      <c r="S96" s="1144"/>
      <c r="T96" s="1144"/>
      <c r="U96" s="1144"/>
      <c r="V96" s="1144"/>
      <c r="W96" s="1144"/>
      <c r="X96" s="1144"/>
      <c r="Y96" s="1144"/>
      <c r="Z96" s="1144"/>
      <c r="AA96" s="1144"/>
      <c r="AB96" s="1144"/>
      <c r="AC96" s="1144"/>
    </row>
    <row r="97" spans="1:29" ht="15" hidden="1" thickTop="1">
      <c r="A97" s="598"/>
      <c r="B97" s="635">
        <f>B34</f>
        <v>111</v>
      </c>
      <c r="C97" s="548"/>
      <c r="D97" s="548"/>
      <c r="E97" s="548"/>
      <c r="F97" s="548"/>
      <c r="G97" s="553"/>
      <c r="H97" s="554"/>
      <c r="I97" s="554"/>
      <c r="J97" s="554"/>
      <c r="K97" s="554"/>
      <c r="L97" s="555"/>
      <c r="M97" s="556"/>
      <c r="N97" s="1153"/>
      <c r="O97" s="1153"/>
      <c r="P97" s="1436"/>
      <c r="Q97" s="1437"/>
      <c r="R97" s="1144"/>
      <c r="S97" s="1144"/>
      <c r="T97" s="1144"/>
      <c r="U97" s="1144"/>
      <c r="V97" s="1144"/>
      <c r="W97" s="1144"/>
      <c r="X97" s="1144"/>
      <c r="Y97" s="1144"/>
      <c r="Z97" s="1144"/>
      <c r="AA97" s="1144"/>
      <c r="AB97" s="1144"/>
      <c r="AC97" s="1144"/>
    </row>
    <row r="98" spans="1:29" ht="15.75" hidden="1" thickBot="1">
      <c r="A98" s="533"/>
      <c r="B98" s="542"/>
      <c r="C98" s="559"/>
      <c r="D98" s="535"/>
      <c r="E98" s="535"/>
      <c r="F98" s="535"/>
      <c r="G98" s="559"/>
      <c r="H98" s="561"/>
      <c r="I98" s="561"/>
      <c r="J98" s="561"/>
      <c r="K98" s="561"/>
      <c r="L98" s="561"/>
      <c r="M98" s="562"/>
      <c r="N98" s="1153"/>
      <c r="O98" s="1153"/>
      <c r="P98" s="1429"/>
      <c r="Q98" s="1423"/>
      <c r="R98" s="1144"/>
      <c r="S98" s="1144"/>
      <c r="T98" s="1144"/>
      <c r="U98" s="1144"/>
      <c r="V98" s="1144"/>
      <c r="W98" s="1144"/>
      <c r="X98" s="1144"/>
      <c r="Y98" s="1144"/>
      <c r="Z98" s="1144"/>
      <c r="AA98" s="1144"/>
      <c r="AB98" s="1144"/>
      <c r="AC98" s="1144"/>
    </row>
    <row r="99" spans="1:29" s="470" customFormat="1" ht="15" hidden="1" thickTop="1">
      <c r="A99" s="592"/>
      <c r="B99" s="537">
        <f>B35</f>
        <v>111</v>
      </c>
      <c r="C99" s="548"/>
      <c r="D99" s="548"/>
      <c r="E99" s="548"/>
      <c r="F99" s="548"/>
      <c r="G99" s="553"/>
      <c r="H99" s="554"/>
      <c r="I99" s="554"/>
      <c r="J99" s="554"/>
      <c r="K99" s="554"/>
      <c r="L99" s="555"/>
      <c r="M99" s="556"/>
      <c r="N99" s="1154"/>
      <c r="O99" s="1154"/>
      <c r="P99" s="1430"/>
      <c r="Q99" s="1431"/>
      <c r="R99" s="1432"/>
      <c r="S99" s="1432"/>
      <c r="T99" s="1432"/>
      <c r="U99" s="1432"/>
      <c r="V99" s="1432"/>
      <c r="W99" s="1432"/>
      <c r="X99" s="1432"/>
      <c r="Y99" s="1432"/>
      <c r="Z99" s="1432"/>
      <c r="AA99" s="1432"/>
      <c r="AB99" s="1432"/>
      <c r="AC99" s="1432"/>
    </row>
    <row r="100" spans="1:29" s="470" customFormat="1" ht="15.75" hidden="1" thickBot="1">
      <c r="A100" s="552"/>
      <c r="B100" s="534"/>
      <c r="C100" s="559"/>
      <c r="D100" s="535"/>
      <c r="E100" s="535"/>
      <c r="F100" s="535"/>
      <c r="G100" s="559"/>
      <c r="H100" s="561"/>
      <c r="I100" s="561"/>
      <c r="J100" s="561"/>
      <c r="K100" s="561"/>
      <c r="L100" s="561"/>
      <c r="M100" s="562"/>
      <c r="N100" s="1154"/>
      <c r="O100" s="1154"/>
      <c r="P100" s="1430"/>
      <c r="Q100" s="1431"/>
      <c r="R100" s="1432"/>
      <c r="S100" s="1432"/>
      <c r="T100" s="1432"/>
      <c r="U100" s="1432"/>
      <c r="V100" s="1432"/>
      <c r="W100" s="1432"/>
      <c r="X100" s="1432"/>
      <c r="Y100" s="1432"/>
      <c r="Z100" s="1432"/>
      <c r="AA100" s="1432"/>
      <c r="AB100" s="1432"/>
      <c r="AC100" s="1432"/>
    </row>
    <row r="101" spans="1:29" ht="15" hidden="1" thickTop="1">
      <c r="A101" s="598"/>
      <c r="B101" s="537">
        <f>B36</f>
        <v>111</v>
      </c>
      <c r="C101" s="553"/>
      <c r="D101" s="553"/>
      <c r="E101" s="553"/>
      <c r="F101" s="553"/>
      <c r="G101" s="553"/>
      <c r="H101" s="554"/>
      <c r="I101" s="554"/>
      <c r="J101" s="554"/>
      <c r="K101" s="554"/>
      <c r="L101" s="555"/>
      <c r="M101" s="556"/>
      <c r="N101" s="1152"/>
      <c r="O101" s="1152"/>
      <c r="P101" s="1429"/>
      <c r="Q101" s="1423"/>
      <c r="R101" s="1144"/>
      <c r="S101" s="1144"/>
      <c r="T101" s="1144"/>
      <c r="U101" s="1144"/>
      <c r="V101" s="1144"/>
      <c r="W101" s="1144"/>
      <c r="X101" s="1144"/>
      <c r="Y101" s="1144"/>
      <c r="Z101" s="1144"/>
      <c r="AA101" s="1144"/>
      <c r="AB101" s="1144"/>
      <c r="AC101" s="1144"/>
    </row>
    <row r="102" spans="1:29" ht="15.75" hidden="1" thickBot="1">
      <c r="A102" s="533"/>
      <c r="B102" s="542"/>
      <c r="C102" s="559"/>
      <c r="D102" s="559"/>
      <c r="E102" s="559"/>
      <c r="F102" s="559"/>
      <c r="G102" s="559"/>
      <c r="H102" s="561"/>
      <c r="I102" s="561"/>
      <c r="J102" s="561"/>
      <c r="K102" s="561"/>
      <c r="L102" s="561"/>
      <c r="M102" s="562"/>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2708</v>
      </c>
      <c r="B1" s="1620"/>
      <c r="C1" s="1621" t="s">
        <v>2531</v>
      </c>
      <c r="D1" s="1622"/>
      <c r="E1" s="1631"/>
      <c r="F1" s="2583"/>
      <c r="G1" s="1632" t="s">
        <v>2644</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2331</v>
      </c>
      <c r="B2" s="1418" t="e">
        <f ca="1">IF(C2="——",ROUND(C37*D3/10000,0),ROUND(C37*D3/10000,0)-D2)</f>
        <v>#DIV/0!</v>
      </c>
      <c r="C2" s="2585"/>
      <c r="D2" s="1124" t="e">
        <f ca="1">SUMIF(INDIRECT("'"&amp;F2&amp;"'"&amp;"!A:A"),"承租人权益价值",INDIRECT("'"&amp;F2&amp;"'"&amp;"!c:c"))</f>
        <v>#REF!</v>
      </c>
      <c r="E2" s="2586" t="s">
        <v>2332</v>
      </c>
      <c r="F2" s="2587"/>
      <c r="G2" s="1125"/>
      <c r="H2" s="1125"/>
      <c r="I2" s="1125"/>
      <c r="J2" s="1125"/>
      <c r="K2" s="1127"/>
      <c r="L2" s="1128"/>
      <c r="M2" s="1129"/>
      <c r="N2" s="1129"/>
      <c r="O2" s="1129"/>
      <c r="P2" s="767"/>
      <c r="Q2" s="767"/>
      <c r="R2" s="767"/>
      <c r="S2" s="767"/>
      <c r="T2" s="767"/>
      <c r="U2" s="767"/>
      <c r="V2" s="767"/>
      <c r="W2" s="767"/>
      <c r="X2" s="767"/>
      <c r="Y2" s="767"/>
      <c r="Z2" s="767"/>
      <c r="AA2" s="767"/>
      <c r="AB2" s="767"/>
      <c r="AC2" s="768"/>
    </row>
    <row r="3" spans="1:29" s="397" customFormat="1" ht="28.5" customHeight="1" thickBot="1">
      <c r="A3" s="246" t="s">
        <v>2333</v>
      </c>
      <c r="B3" s="608" t="e">
        <f ca="1">IF(C2="——",C37,ROUND(B2*10000/D3,0))</f>
        <v>#DIV/0!</v>
      </c>
      <c r="C3" s="399" t="s">
        <v>2645</v>
      </c>
      <c r="D3" s="398">
        <f>SUMIF('数据-汇总表'!$C19:$C33,D1,'数据-汇总表'!$E19:$E33)</f>
        <v>0</v>
      </c>
      <c r="E3" s="1125"/>
      <c r="F3" s="1126"/>
      <c r="G3" s="1125"/>
      <c r="H3" s="1125"/>
      <c r="I3" s="1125"/>
      <c r="J3" s="1125"/>
      <c r="K3" s="1127"/>
      <c r="L3" s="1128"/>
      <c r="M3" s="1129"/>
      <c r="N3" s="1129"/>
      <c r="O3" s="1129"/>
      <c r="P3" s="767"/>
      <c r="Q3" s="767"/>
      <c r="R3" s="767"/>
      <c r="S3" s="767"/>
      <c r="T3" s="767"/>
      <c r="U3" s="767"/>
      <c r="V3" s="767"/>
      <c r="W3" s="767"/>
      <c r="X3" s="767"/>
      <c r="Y3" s="767"/>
      <c r="Z3" s="767"/>
      <c r="AA3" s="767"/>
      <c r="AB3" s="785"/>
      <c r="AC3" s="781"/>
    </row>
    <row r="4" spans="1:29" ht="15">
      <c r="A4" s="400" t="s">
        <v>2646</v>
      </c>
      <c r="B4" s="401"/>
      <c r="C4" s="3139" t="s">
        <v>2647</v>
      </c>
      <c r="D4" s="3152"/>
      <c r="E4" s="3153" t="s">
        <v>2648</v>
      </c>
      <c r="F4" s="3154"/>
      <c r="G4" s="3139" t="s">
        <v>2649</v>
      </c>
      <c r="H4" s="3152"/>
      <c r="I4" s="3139" t="s">
        <v>2650</v>
      </c>
      <c r="J4" s="3152"/>
      <c r="K4" s="609" t="s">
        <v>2651</v>
      </c>
      <c r="L4" s="1130"/>
      <c r="M4" s="1131"/>
      <c r="N4" s="1131"/>
      <c r="O4" s="1131"/>
      <c r="P4" s="3155" t="s">
        <v>2652</v>
      </c>
      <c r="Q4" s="3156"/>
      <c r="R4" s="3161" t="s">
        <v>2648</v>
      </c>
      <c r="S4" s="3162"/>
      <c r="T4" s="3161" t="s">
        <v>2649</v>
      </c>
      <c r="U4" s="3162"/>
      <c r="V4" s="3148" t="s">
        <v>2650</v>
      </c>
      <c r="W4" s="3148"/>
      <c r="X4" s="1814"/>
      <c r="Y4" s="3161" t="s">
        <v>2652</v>
      </c>
      <c r="Z4" s="3162"/>
      <c r="AA4" s="3149" t="s">
        <v>2648</v>
      </c>
      <c r="AB4" s="3150" t="s">
        <v>2649</v>
      </c>
      <c r="AC4" s="3149" t="s">
        <v>2650</v>
      </c>
    </row>
    <row r="5" spans="1:29" ht="15">
      <c r="A5" s="403"/>
      <c r="B5" s="404"/>
      <c r="C5" s="3213" t="s">
        <v>2543</v>
      </c>
      <c r="D5" s="3170"/>
      <c r="E5" s="3216" t="s">
        <v>2544</v>
      </c>
      <c r="F5" s="3177"/>
      <c r="G5" s="3213" t="s">
        <v>2545</v>
      </c>
      <c r="H5" s="3170"/>
      <c r="I5" s="3213" t="s">
        <v>2546</v>
      </c>
      <c r="J5" s="3170"/>
      <c r="K5" s="609"/>
      <c r="L5" s="1130"/>
      <c r="M5" s="1131"/>
      <c r="N5" s="1131"/>
      <c r="O5" s="1131"/>
      <c r="P5" s="3157"/>
      <c r="Q5" s="3158"/>
      <c r="R5" s="3163"/>
      <c r="S5" s="3164"/>
      <c r="T5" s="3163"/>
      <c r="U5" s="3164"/>
      <c r="V5" s="3148"/>
      <c r="W5" s="3148"/>
      <c r="X5" s="1814"/>
      <c r="Y5" s="3163"/>
      <c r="Z5" s="3164"/>
      <c r="AA5" s="3150"/>
      <c r="AB5" s="3150"/>
      <c r="AC5" s="3150"/>
    </row>
    <row r="6" spans="1:29" ht="15.75" thickBot="1">
      <c r="A6" s="405"/>
      <c r="B6" s="406"/>
      <c r="C6" s="3214" t="s">
        <v>2547</v>
      </c>
      <c r="D6" s="3168"/>
      <c r="E6" s="3215" t="s">
        <v>2547</v>
      </c>
      <c r="F6" s="3175"/>
      <c r="G6" s="3214" t="s">
        <v>2547</v>
      </c>
      <c r="H6" s="3168"/>
      <c r="I6" s="3214" t="s">
        <v>2547</v>
      </c>
      <c r="J6" s="3168"/>
      <c r="K6" s="609" t="s">
        <v>2548</v>
      </c>
      <c r="L6" s="1130"/>
      <c r="M6" s="1131"/>
      <c r="N6" s="1131"/>
      <c r="O6" s="1131"/>
      <c r="P6" s="3159"/>
      <c r="Q6" s="3160"/>
      <c r="R6" s="3163"/>
      <c r="S6" s="3164"/>
      <c r="T6" s="3165"/>
      <c r="U6" s="3166"/>
      <c r="V6" s="3148"/>
      <c r="W6" s="3148"/>
      <c r="X6" s="1814"/>
      <c r="Y6" s="3165"/>
      <c r="Z6" s="3166"/>
      <c r="AA6" s="3151"/>
      <c r="AB6" s="3151"/>
      <c r="AC6" s="3151"/>
    </row>
    <row r="7" spans="1:29" s="116" customFormat="1" ht="15.75" thickBot="1">
      <c r="A7" s="407" t="s">
        <v>2549</v>
      </c>
      <c r="B7" s="408"/>
      <c r="C7" s="409">
        <f>'数据-取费表'!B2</f>
        <v>43025</v>
      </c>
      <c r="D7" s="410">
        <v>100</v>
      </c>
      <c r="E7" s="411"/>
      <c r="F7" s="412">
        <f>SUMIF(46:46,YEAR(E7)&amp;"-"&amp;MONTH(E7),47:47)</f>
        <v>0</v>
      </c>
      <c r="G7" s="2695"/>
      <c r="H7" s="410">
        <f>SUMIF(46:46,YEAR(G7)&amp;"-"&amp;MONTH(G7),47:47)</f>
        <v>0</v>
      </c>
      <c r="I7" s="411"/>
      <c r="J7" s="410">
        <f>SUMIF(46:46,YEAR(I7)&amp;"-"&amp;MONTH(I7),47:47)</f>
        <v>0</v>
      </c>
      <c r="K7" s="610"/>
      <c r="L7" s="1132"/>
      <c r="M7" s="1133"/>
      <c r="N7" s="1133"/>
      <c r="O7" s="1133"/>
      <c r="P7" s="3171" t="s">
        <v>2550</v>
      </c>
      <c r="Q7" s="3173"/>
      <c r="R7" s="769" t="s">
        <v>17</v>
      </c>
      <c r="S7" s="770">
        <f t="shared" ref="S7:S14" si="0">F7</f>
        <v>0</v>
      </c>
      <c r="T7" s="769" t="s">
        <v>17</v>
      </c>
      <c r="U7" s="770">
        <f t="shared" ref="U7:U14" si="1">H7</f>
        <v>0</v>
      </c>
      <c r="V7" s="769" t="s">
        <v>17</v>
      </c>
      <c r="W7" s="770">
        <f t="shared" ref="W7:W14" si="2">J7</f>
        <v>0</v>
      </c>
      <c r="X7" s="771"/>
      <c r="Y7" s="3171" t="s">
        <v>2550</v>
      </c>
      <c r="Z7" s="3172"/>
      <c r="AA7" s="772" t="e">
        <f>D7/F7</f>
        <v>#DIV/0!</v>
      </c>
      <c r="AB7" s="772" t="e">
        <f>D7/H7</f>
        <v>#DIV/0!</v>
      </c>
      <c r="AC7" s="772" t="e">
        <f>D7/J7</f>
        <v>#DIV/0!</v>
      </c>
    </row>
    <row r="8" spans="1:29" s="116" customFormat="1" ht="15.75" thickBot="1">
      <c r="A8" s="407" t="s">
        <v>2551</v>
      </c>
      <c r="B8" s="408"/>
      <c r="C8" s="413" t="s">
        <v>2653</v>
      </c>
      <c r="D8" s="410">
        <v>100</v>
      </c>
      <c r="E8" s="413"/>
      <c r="F8" s="412">
        <f>SUMIF(49:49,E8,50:50)-SUMIF(49:49,C8,50:50)+100</f>
        <v>0</v>
      </c>
      <c r="G8" s="413"/>
      <c r="H8" s="410">
        <f>SUMIF(49:49,G8,50:50)-SUMIF(49:49,C8,50:50)+100</f>
        <v>0</v>
      </c>
      <c r="I8" s="413"/>
      <c r="J8" s="410">
        <f>SUMIF(49:49,I8,50:50)-SUMIF(49:49,C8,50:50)+100</f>
        <v>0</v>
      </c>
      <c r="K8" s="610"/>
      <c r="L8" s="1132"/>
      <c r="M8" s="1133"/>
      <c r="N8" s="1133"/>
      <c r="O8" s="1133"/>
      <c r="P8" s="3171" t="s">
        <v>2553</v>
      </c>
      <c r="Q8" s="3172"/>
      <c r="R8" s="769" t="s">
        <v>17</v>
      </c>
      <c r="S8" s="770">
        <f t="shared" si="0"/>
        <v>0</v>
      </c>
      <c r="T8" s="769" t="s">
        <v>17</v>
      </c>
      <c r="U8" s="770">
        <f t="shared" si="1"/>
        <v>0</v>
      </c>
      <c r="V8" s="769" t="s">
        <v>17</v>
      </c>
      <c r="W8" s="770">
        <f t="shared" si="2"/>
        <v>0</v>
      </c>
      <c r="X8" s="771"/>
      <c r="Y8" s="3171" t="s">
        <v>2553</v>
      </c>
      <c r="Z8" s="3172"/>
      <c r="AA8" s="772" t="e">
        <f t="shared" ref="AA8:AA34" si="3">D8/F8</f>
        <v>#DIV/0!</v>
      </c>
      <c r="AB8" s="772" t="e">
        <f t="shared" ref="AB8:AB34" si="4">D8/H8</f>
        <v>#DIV/0!</v>
      </c>
      <c r="AC8" s="772" t="e">
        <f t="shared" ref="AC8:AC34" si="5">D8/J8</f>
        <v>#DIV/0!</v>
      </c>
    </row>
    <row r="9" spans="1:29" s="116" customFormat="1">
      <c r="A9" s="414" t="s">
        <v>2554</v>
      </c>
      <c r="B9" s="70" t="s">
        <v>2555</v>
      </c>
      <c r="C9" s="415"/>
      <c r="D9" s="133">
        <v>100</v>
      </c>
      <c r="E9" s="418"/>
      <c r="F9" s="417">
        <f>SUMIF(51:51,E9,52:52)-SUMIF(51:51,C9,52:52)+100</f>
        <v>100</v>
      </c>
      <c r="G9" s="418"/>
      <c r="H9" s="133">
        <f>SUMIF(51:51,G9,52:52)-SUMIF(51:51,C9,52:52)+100</f>
        <v>100</v>
      </c>
      <c r="I9" s="418"/>
      <c r="J9" s="133">
        <f>SUMIF(51:51,I9,52:52)-SUMIF(51:51,C9,52:52)+100</f>
        <v>100</v>
      </c>
      <c r="K9" s="610"/>
      <c r="L9" s="1132"/>
      <c r="M9" s="1133"/>
      <c r="N9" s="1133"/>
      <c r="O9" s="1134"/>
      <c r="P9" s="3142" t="s">
        <v>2556</v>
      </c>
      <c r="Q9" s="1796" t="str">
        <f t="shared" ref="Q9:Q14" si="6">B9</f>
        <v>用途</v>
      </c>
      <c r="R9" s="769" t="s">
        <v>17</v>
      </c>
      <c r="S9" s="770">
        <f t="shared" si="0"/>
        <v>100</v>
      </c>
      <c r="T9" s="769" t="s">
        <v>17</v>
      </c>
      <c r="U9" s="770">
        <f t="shared" si="1"/>
        <v>100</v>
      </c>
      <c r="V9" s="769" t="s">
        <v>17</v>
      </c>
      <c r="W9" s="770">
        <f t="shared" si="2"/>
        <v>100</v>
      </c>
      <c r="X9" s="771"/>
      <c r="Y9" s="2990" t="s">
        <v>2557</v>
      </c>
      <c r="Z9" s="55" t="str">
        <f t="shared" ref="Z9:Z14" si="7">Q9</f>
        <v>用途</v>
      </c>
      <c r="AA9" s="772">
        <f t="shared" si="3"/>
        <v>1</v>
      </c>
      <c r="AB9" s="772">
        <f t="shared" si="4"/>
        <v>1</v>
      </c>
      <c r="AC9" s="772">
        <f t="shared" si="5"/>
        <v>1</v>
      </c>
    </row>
    <row r="10" spans="1:29" s="426" customFormat="1" ht="27">
      <c r="A10" s="420"/>
      <c r="B10" s="421" t="s">
        <v>2558</v>
      </c>
      <c r="C10" s="422"/>
      <c r="D10" s="134">
        <v>100</v>
      </c>
      <c r="E10" s="422"/>
      <c r="F10" s="424">
        <f>SUMIF(53:53,E10,54:54)-SUMIF(53:53,C10,54:54)+100</f>
        <v>100</v>
      </c>
      <c r="G10" s="422"/>
      <c r="H10" s="134">
        <f>SUMIF(53:53,G10,54:54)-SUMIF(53:53,C10,54:54)+100</f>
        <v>100</v>
      </c>
      <c r="I10" s="422"/>
      <c r="J10" s="134">
        <f>SUMIF(53:53,I10,54:54)-SUMIF(53:53,C10,54:54)+100</f>
        <v>100</v>
      </c>
      <c r="K10" s="611"/>
      <c r="L10" s="1135"/>
      <c r="M10" s="1136"/>
      <c r="N10" s="1136"/>
      <c r="O10" s="1137"/>
      <c r="P10" s="3142"/>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29" ht="15">
      <c r="A11" s="427"/>
      <c r="B11" s="2599">
        <v>111</v>
      </c>
      <c r="C11" s="431"/>
      <c r="D11" s="134">
        <v>100</v>
      </c>
      <c r="E11" s="468"/>
      <c r="F11" s="424">
        <f>SUMIF(55:55,E11,56:56)-SUMIF(55:55,C11,56:56)+100</f>
        <v>100</v>
      </c>
      <c r="G11" s="468"/>
      <c r="H11" s="134">
        <f>SUMIF(55:55,G11,56:56)-SUMIF(55:55,C11,56:56)+100</f>
        <v>100</v>
      </c>
      <c r="I11" s="468"/>
      <c r="J11" s="134">
        <f>SUMIF(55:55,I11,56:56)-SUMIF(55:55,C11,56:56)+100</f>
        <v>100</v>
      </c>
      <c r="K11" s="612"/>
      <c r="L11" s="1138"/>
      <c r="M11" s="1131"/>
      <c r="N11" s="1131"/>
      <c r="O11" s="1139"/>
      <c r="P11" s="3142"/>
      <c r="Q11" s="1796">
        <f t="shared" si="6"/>
        <v>111</v>
      </c>
      <c r="R11" s="769" t="s">
        <v>17</v>
      </c>
      <c r="S11" s="770">
        <f t="shared" si="0"/>
        <v>100</v>
      </c>
      <c r="T11" s="769" t="s">
        <v>17</v>
      </c>
      <c r="U11" s="770">
        <f t="shared" si="1"/>
        <v>100</v>
      </c>
      <c r="V11" s="769" t="s">
        <v>17</v>
      </c>
      <c r="W11" s="770">
        <f t="shared" si="2"/>
        <v>100</v>
      </c>
      <c r="X11" s="771"/>
      <c r="Y11" s="2990"/>
      <c r="Z11" s="55">
        <f t="shared" si="7"/>
        <v>111</v>
      </c>
      <c r="AA11" s="772">
        <f t="shared" si="3"/>
        <v>1</v>
      </c>
      <c r="AB11" s="772">
        <f t="shared" si="4"/>
        <v>1</v>
      </c>
      <c r="AC11" s="772">
        <f t="shared" si="5"/>
        <v>1</v>
      </c>
    </row>
    <row r="12" spans="1:29" s="116" customFormat="1" ht="15">
      <c r="A12" s="430"/>
      <c r="B12" s="2599">
        <v>111</v>
      </c>
      <c r="C12" s="431"/>
      <c r="D12" s="432">
        <v>100</v>
      </c>
      <c r="E12" s="468"/>
      <c r="F12" s="424">
        <f>SUMIF(57:57,E12,58:58)-SUMIF(57:57,C12,58:58)+100</f>
        <v>100</v>
      </c>
      <c r="G12" s="468"/>
      <c r="H12" s="134">
        <f>SUMIF(57:57,G12,58:58)-SUMIF(57:57,C12,58:58)+100</f>
        <v>100</v>
      </c>
      <c r="I12" s="468"/>
      <c r="J12" s="134">
        <f>SUMIF(57:57,I12,58:58)-SUMIF(57:57,C12,58:58)+100</f>
        <v>100</v>
      </c>
      <c r="K12" s="612"/>
      <c r="L12" s="1132"/>
      <c r="M12" s="1133"/>
      <c r="N12" s="1133"/>
      <c r="O12" s="1134"/>
      <c r="P12" s="3142"/>
      <c r="Q12" s="1796">
        <f t="shared" si="6"/>
        <v>111</v>
      </c>
      <c r="R12" s="769" t="s">
        <v>17</v>
      </c>
      <c r="S12" s="770">
        <f t="shared" si="0"/>
        <v>100</v>
      </c>
      <c r="T12" s="769" t="s">
        <v>17</v>
      </c>
      <c r="U12" s="770">
        <f t="shared" si="1"/>
        <v>100</v>
      </c>
      <c r="V12" s="769" t="s">
        <v>17</v>
      </c>
      <c r="W12" s="770">
        <f t="shared" si="2"/>
        <v>100</v>
      </c>
      <c r="X12" s="771"/>
      <c r="Y12" s="2990"/>
      <c r="Z12" s="55">
        <f t="shared" si="7"/>
        <v>111</v>
      </c>
      <c r="AA12" s="772">
        <f>D12/F12</f>
        <v>1</v>
      </c>
      <c r="AB12" s="772">
        <f>D12/H12</f>
        <v>1</v>
      </c>
      <c r="AC12" s="772">
        <f>D12/J12</f>
        <v>1</v>
      </c>
    </row>
    <row r="13" spans="1:29" ht="15.75" thickBot="1">
      <c r="A13" s="427"/>
      <c r="B13" s="2599">
        <v>111</v>
      </c>
      <c r="C13" s="433"/>
      <c r="D13" s="434">
        <v>100</v>
      </c>
      <c r="E13" s="468"/>
      <c r="F13" s="424">
        <f>SUMIF(59:59,E13,60:60)-SUMIF(59:59,C13,60:60)+100</f>
        <v>100</v>
      </c>
      <c r="G13" s="2696"/>
      <c r="H13" s="437">
        <f>SUMIF(59:59,G13,60:60)-SUMIF(59:59,C13,60:60)+100</f>
        <v>100</v>
      </c>
      <c r="I13" s="468"/>
      <c r="J13" s="434">
        <f>SUMIF(59:59,I13,60:60)-SUMIF(59:59,C13,60:60)+100</f>
        <v>100</v>
      </c>
      <c r="K13" s="612"/>
      <c r="L13" s="1140"/>
      <c r="M13" s="1131"/>
      <c r="N13" s="1131"/>
      <c r="O13" s="1139"/>
      <c r="P13" s="3142"/>
      <c r="Q13" s="1796">
        <f t="shared" si="6"/>
        <v>111</v>
      </c>
      <c r="R13" s="769" t="s">
        <v>17</v>
      </c>
      <c r="S13" s="770">
        <f t="shared" si="0"/>
        <v>100</v>
      </c>
      <c r="T13" s="769" t="s">
        <v>17</v>
      </c>
      <c r="U13" s="770">
        <f t="shared" si="1"/>
        <v>100</v>
      </c>
      <c r="V13" s="769" t="s">
        <v>17</v>
      </c>
      <c r="W13" s="770">
        <f t="shared" si="2"/>
        <v>100</v>
      </c>
      <c r="X13" s="771"/>
      <c r="Y13" s="2990"/>
      <c r="Z13" s="55">
        <f t="shared" si="7"/>
        <v>111</v>
      </c>
      <c r="AA13" s="772">
        <f t="shared" si="3"/>
        <v>1</v>
      </c>
      <c r="AB13" s="772">
        <f t="shared" si="4"/>
        <v>1</v>
      </c>
      <c r="AC13" s="772">
        <f t="shared" si="5"/>
        <v>1</v>
      </c>
    </row>
    <row r="14" spans="1:29" ht="85.5">
      <c r="A14" s="439" t="s">
        <v>2560</v>
      </c>
      <c r="B14" s="68" t="s">
        <v>2710</v>
      </c>
      <c r="C14" s="2692"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0"/>
      <c r="M14" s="1131"/>
      <c r="N14" s="1131"/>
      <c r="O14" s="1139"/>
      <c r="P14" s="3144" t="s">
        <v>2561</v>
      </c>
      <c r="Q14" s="1811" t="str">
        <f t="shared" si="6"/>
        <v>交通便捷度</v>
      </c>
      <c r="R14" s="773" t="s">
        <v>17</v>
      </c>
      <c r="S14" s="774">
        <f t="shared" si="0"/>
        <v>100</v>
      </c>
      <c r="T14" s="773" t="s">
        <v>17</v>
      </c>
      <c r="U14" s="774">
        <f t="shared" si="1"/>
        <v>100</v>
      </c>
      <c r="V14" s="773" t="s">
        <v>17</v>
      </c>
      <c r="W14" s="774">
        <f t="shared" si="2"/>
        <v>100</v>
      </c>
      <c r="X14" s="1814"/>
      <c r="Y14" s="3144" t="s">
        <v>2561</v>
      </c>
      <c r="Z14" s="1815" t="str">
        <f t="shared" si="7"/>
        <v>交通便捷度</v>
      </c>
      <c r="AA14" s="1812">
        <f t="shared" si="3"/>
        <v>1</v>
      </c>
      <c r="AB14" s="1812">
        <f t="shared" si="4"/>
        <v>1</v>
      </c>
      <c r="AC14" s="1812">
        <f t="shared" si="5"/>
        <v>1</v>
      </c>
    </row>
    <row r="15" spans="1:29" ht="15">
      <c r="A15" s="427"/>
      <c r="B15" s="445"/>
      <c r="C15" s="446"/>
      <c r="D15" s="447"/>
      <c r="E15" s="446"/>
      <c r="F15" s="448"/>
      <c r="G15" s="446"/>
      <c r="H15" s="449"/>
      <c r="I15" s="446"/>
      <c r="J15" s="447"/>
      <c r="K15" s="614"/>
      <c r="L15" s="1140"/>
      <c r="M15" s="1131"/>
      <c r="N15" s="1131"/>
      <c r="O15" s="1139"/>
      <c r="P15" s="3145"/>
      <c r="Q15" s="1811"/>
      <c r="R15" s="773"/>
      <c r="S15" s="774"/>
      <c r="T15" s="773"/>
      <c r="U15" s="774"/>
      <c r="V15" s="773"/>
      <c r="W15" s="774"/>
      <c r="X15" s="1814"/>
      <c r="Y15" s="3145"/>
      <c r="Z15" s="1815"/>
      <c r="AA15" s="1812">
        <v>1</v>
      </c>
      <c r="AB15" s="1812">
        <v>1</v>
      </c>
      <c r="AC15" s="1812">
        <v>1</v>
      </c>
    </row>
    <row r="16" spans="1:29" ht="42.75">
      <c r="A16" s="427"/>
      <c r="B16" s="450" t="s">
        <v>2689</v>
      </c>
      <c r="C16" s="2606"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0"/>
      <c r="M16" s="1131"/>
      <c r="N16" s="1131"/>
      <c r="O16" s="1139"/>
      <c r="P16" s="3145"/>
      <c r="Q16" s="1811" t="str">
        <f>B16</f>
        <v>公共配套设施</v>
      </c>
      <c r="R16" s="773" t="s">
        <v>17</v>
      </c>
      <c r="S16" s="774">
        <f>F16</f>
        <v>100</v>
      </c>
      <c r="T16" s="773" t="s">
        <v>17</v>
      </c>
      <c r="U16" s="774">
        <f>H16</f>
        <v>100</v>
      </c>
      <c r="V16" s="773" t="s">
        <v>17</v>
      </c>
      <c r="W16" s="774">
        <f>J16</f>
        <v>100</v>
      </c>
      <c r="X16" s="1814"/>
      <c r="Y16" s="3145"/>
      <c r="Z16" s="1815" t="str">
        <f>Q16</f>
        <v>公共配套设施</v>
      </c>
      <c r="AA16" s="1812">
        <f t="shared" si="3"/>
        <v>1</v>
      </c>
      <c r="AB16" s="1812">
        <f t="shared" si="4"/>
        <v>1</v>
      </c>
      <c r="AC16" s="1812">
        <f t="shared" si="5"/>
        <v>1</v>
      </c>
    </row>
    <row r="17" spans="1:29" ht="15">
      <c r="A17" s="427"/>
      <c r="B17" s="455"/>
      <c r="C17" s="2607"/>
      <c r="D17" s="447"/>
      <c r="E17" s="446"/>
      <c r="F17" s="448"/>
      <c r="G17" s="446"/>
      <c r="H17" s="447"/>
      <c r="I17" s="446"/>
      <c r="J17" s="447"/>
      <c r="K17" s="614"/>
      <c r="L17" s="1140"/>
      <c r="M17" s="1131"/>
      <c r="N17" s="1131"/>
      <c r="O17" s="1139"/>
      <c r="P17" s="3145"/>
      <c r="Q17" s="1811"/>
      <c r="R17" s="773"/>
      <c r="S17" s="774"/>
      <c r="T17" s="773"/>
      <c r="U17" s="774"/>
      <c r="V17" s="773"/>
      <c r="W17" s="774"/>
      <c r="X17" s="1814"/>
      <c r="Y17" s="3145"/>
      <c r="Z17" s="1815"/>
      <c r="AA17" s="1812">
        <v>1</v>
      </c>
      <c r="AB17" s="1812">
        <v>1</v>
      </c>
      <c r="AC17" s="1812">
        <v>1</v>
      </c>
    </row>
    <row r="18" spans="1:29" ht="28.5">
      <c r="A18" s="427"/>
      <c r="B18" s="1384" t="s">
        <v>2690</v>
      </c>
      <c r="C18" s="2606"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0"/>
      <c r="M18" s="1131"/>
      <c r="N18" s="1131"/>
      <c r="O18" s="1139"/>
      <c r="P18" s="3145"/>
      <c r="Q18" s="1811" t="str">
        <f>B18</f>
        <v>基础设施水平</v>
      </c>
      <c r="R18" s="773" t="s">
        <v>17</v>
      </c>
      <c r="S18" s="774">
        <f>F18</f>
        <v>100</v>
      </c>
      <c r="T18" s="773" t="s">
        <v>17</v>
      </c>
      <c r="U18" s="774">
        <f>H18</f>
        <v>100</v>
      </c>
      <c r="V18" s="773" t="s">
        <v>17</v>
      </c>
      <c r="W18" s="774">
        <f>J18</f>
        <v>100</v>
      </c>
      <c r="X18" s="1814"/>
      <c r="Y18" s="3145"/>
      <c r="Z18" s="1815" t="str">
        <f>Q18</f>
        <v>基础设施水平</v>
      </c>
      <c r="AA18" s="1812">
        <f t="shared" ref="AA18" si="8">D18/F18</f>
        <v>1</v>
      </c>
      <c r="AB18" s="1812">
        <f t="shared" ref="AB18" si="9">D18/H18</f>
        <v>1</v>
      </c>
      <c r="AC18" s="1812">
        <f t="shared" ref="AC18" si="10">D18/J18</f>
        <v>1</v>
      </c>
    </row>
    <row r="19" spans="1:29" ht="15">
      <c r="A19" s="427"/>
      <c r="B19" s="1384"/>
      <c r="C19" s="2607"/>
      <c r="D19" s="449"/>
      <c r="E19" s="2607"/>
      <c r="F19" s="452"/>
      <c r="G19" s="2607"/>
      <c r="H19" s="447"/>
      <c r="I19" s="446"/>
      <c r="J19" s="447"/>
      <c r="K19" s="1383"/>
      <c r="L19" s="1140"/>
      <c r="M19" s="1131"/>
      <c r="N19" s="1131"/>
      <c r="O19" s="1139"/>
      <c r="P19" s="3145"/>
      <c r="Q19" s="1811"/>
      <c r="R19" s="773"/>
      <c r="S19" s="774"/>
      <c r="T19" s="773"/>
      <c r="U19" s="774"/>
      <c r="V19" s="773"/>
      <c r="W19" s="774"/>
      <c r="X19" s="1814"/>
      <c r="Y19" s="3145"/>
      <c r="Z19" s="1815"/>
      <c r="AA19" s="1812">
        <v>1</v>
      </c>
      <c r="AB19" s="1812">
        <v>1</v>
      </c>
      <c r="AC19" s="1812">
        <v>1</v>
      </c>
    </row>
    <row r="20" spans="1:29" ht="57">
      <c r="A20" s="427"/>
      <c r="B20" s="450" t="s">
        <v>2711</v>
      </c>
      <c r="C20" s="2606"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0"/>
      <c r="M20" s="1131"/>
      <c r="N20" s="1131"/>
      <c r="O20" s="1139"/>
      <c r="P20" s="3145"/>
      <c r="Q20" s="1811" t="str">
        <f>B20</f>
        <v>自然及人文环境</v>
      </c>
      <c r="R20" s="773" t="s">
        <v>17</v>
      </c>
      <c r="S20" s="774">
        <f>F20</f>
        <v>100</v>
      </c>
      <c r="T20" s="773" t="s">
        <v>17</v>
      </c>
      <c r="U20" s="774">
        <f>H20</f>
        <v>100</v>
      </c>
      <c r="V20" s="773" t="s">
        <v>17</v>
      </c>
      <c r="W20" s="774">
        <f>J20</f>
        <v>100</v>
      </c>
      <c r="X20" s="1814"/>
      <c r="Y20" s="3145"/>
      <c r="Z20" s="1815" t="str">
        <f>Q20</f>
        <v>自然及人文环境</v>
      </c>
      <c r="AA20" s="1812">
        <f t="shared" si="3"/>
        <v>1</v>
      </c>
      <c r="AB20" s="1812">
        <f t="shared" si="4"/>
        <v>1</v>
      </c>
      <c r="AC20" s="1812">
        <f t="shared" si="5"/>
        <v>1</v>
      </c>
    </row>
    <row r="21" spans="1:29" ht="15">
      <c r="A21" s="427"/>
      <c r="B21" s="455"/>
      <c r="C21" s="446"/>
      <c r="D21" s="447"/>
      <c r="E21" s="446"/>
      <c r="F21" s="448"/>
      <c r="G21" s="446"/>
      <c r="H21" s="447"/>
      <c r="I21" s="446"/>
      <c r="J21" s="447"/>
      <c r="K21" s="614"/>
      <c r="L21" s="1140"/>
      <c r="M21" s="1131"/>
      <c r="N21" s="1131"/>
      <c r="O21" s="1139"/>
      <c r="P21" s="3145"/>
      <c r="Q21" s="1811"/>
      <c r="R21" s="773"/>
      <c r="S21" s="774"/>
      <c r="T21" s="773"/>
      <c r="U21" s="774"/>
      <c r="V21" s="773"/>
      <c r="W21" s="774"/>
      <c r="X21" s="1814"/>
      <c r="Y21" s="3145"/>
      <c r="Z21" s="1815"/>
      <c r="AA21" s="1812">
        <v>1</v>
      </c>
      <c r="AB21" s="1812">
        <v>1</v>
      </c>
      <c r="AC21" s="1812">
        <v>1</v>
      </c>
    </row>
    <row r="22" spans="1:29" ht="15">
      <c r="A22" s="427"/>
      <c r="B22" s="450" t="s">
        <v>2712</v>
      </c>
      <c r="C22" s="615"/>
      <c r="D22" s="449">
        <v>100</v>
      </c>
      <c r="E22" s="615"/>
      <c r="F22" s="460">
        <f>SUMIF(69:69,E22,70:70)-SUMIF(69:69,C22,70:70)+100</f>
        <v>100</v>
      </c>
      <c r="G22" s="615"/>
      <c r="H22" s="434">
        <f>SUMIF(69:69,G22,70:70)-SUMIF(69:69,C22,70:70)+100</f>
        <v>100</v>
      </c>
      <c r="I22" s="615"/>
      <c r="J22" s="434">
        <f>SUMIF(69:69,I22,70:70)-SUMIF(69:69,C22,70:70)+100</f>
        <v>100</v>
      </c>
      <c r="K22" s="611"/>
      <c r="L22" s="1140"/>
      <c r="M22" s="1131"/>
      <c r="N22" s="1131"/>
      <c r="O22" s="1139"/>
      <c r="P22" s="3145"/>
      <c r="Q22" s="1811" t="str">
        <f>B22</f>
        <v>楼层</v>
      </c>
      <c r="R22" s="773" t="s">
        <v>17</v>
      </c>
      <c r="S22" s="774">
        <f>F22</f>
        <v>100</v>
      </c>
      <c r="T22" s="773" t="s">
        <v>17</v>
      </c>
      <c r="U22" s="774">
        <f>H22</f>
        <v>100</v>
      </c>
      <c r="V22" s="773" t="s">
        <v>17</v>
      </c>
      <c r="W22" s="774">
        <f>J22</f>
        <v>100</v>
      </c>
      <c r="X22" s="1814"/>
      <c r="Y22" s="3145"/>
      <c r="Z22" s="1815" t="str">
        <f>Q22</f>
        <v>楼层</v>
      </c>
      <c r="AA22" s="1812">
        <f t="shared" si="3"/>
        <v>1</v>
      </c>
      <c r="AB22" s="1812">
        <f t="shared" si="4"/>
        <v>1</v>
      </c>
      <c r="AC22" s="1812">
        <f t="shared" si="5"/>
        <v>1</v>
      </c>
    </row>
    <row r="23" spans="1:29" ht="15">
      <c r="A23" s="403"/>
      <c r="B23" s="2599">
        <v>111</v>
      </c>
      <c r="C23" s="431"/>
      <c r="D23" s="434">
        <v>100</v>
      </c>
      <c r="E23" s="433"/>
      <c r="F23" s="460">
        <f>SUMIF(71:71,E23,72:72)-SUMIF(71:71,C23,72:72)+100</f>
        <v>100</v>
      </c>
      <c r="G23" s="433"/>
      <c r="H23" s="434">
        <f>SUMIF(71:71,G23,72:72)-SUMIF(71:71,C23,72:72)+100</f>
        <v>100</v>
      </c>
      <c r="I23" s="433"/>
      <c r="J23" s="434">
        <f>SUMIF(71:71,I23,72:72)-SUMIF(71:71,C23,72:72)+100</f>
        <v>100</v>
      </c>
      <c r="K23" s="612"/>
      <c r="L23" s="1140"/>
      <c r="M23" s="1131"/>
      <c r="N23" s="1131"/>
      <c r="O23" s="1139"/>
      <c r="P23" s="3145"/>
      <c r="Q23" s="1811">
        <f>B23</f>
        <v>111</v>
      </c>
      <c r="R23" s="773" t="s">
        <v>17</v>
      </c>
      <c r="S23" s="774">
        <f>F23</f>
        <v>100</v>
      </c>
      <c r="T23" s="773" t="s">
        <v>17</v>
      </c>
      <c r="U23" s="774">
        <f>H23</f>
        <v>100</v>
      </c>
      <c r="V23" s="773" t="s">
        <v>17</v>
      </c>
      <c r="W23" s="774">
        <f>J23</f>
        <v>100</v>
      </c>
      <c r="X23" s="1814"/>
      <c r="Y23" s="3145"/>
      <c r="Z23" s="1815">
        <f>Q23</f>
        <v>111</v>
      </c>
      <c r="AA23" s="1812">
        <f t="shared" si="3"/>
        <v>1</v>
      </c>
      <c r="AB23" s="1812">
        <f t="shared" si="4"/>
        <v>1</v>
      </c>
      <c r="AC23" s="1812">
        <f t="shared" si="5"/>
        <v>1</v>
      </c>
    </row>
    <row r="24" spans="1:29" ht="15">
      <c r="A24" s="427"/>
      <c r="B24" s="2599">
        <v>111</v>
      </c>
      <c r="C24" s="431"/>
      <c r="D24" s="434">
        <v>100</v>
      </c>
      <c r="E24" s="433"/>
      <c r="F24" s="460">
        <f>SUMIF(73:73,E24,74:74)-SUMIF(73:73,C24,74:74)+100</f>
        <v>100</v>
      </c>
      <c r="G24" s="433"/>
      <c r="H24" s="434">
        <f>SUMIF(73:73,G24,74:74)-SUMIF(73:73,C24,74:74)+100</f>
        <v>100</v>
      </c>
      <c r="I24" s="433"/>
      <c r="J24" s="434">
        <f>SUMIF(73:73,I24,74:74)-SUMIF(73:73,C24,74:74)+100</f>
        <v>100</v>
      </c>
      <c r="K24" s="612"/>
      <c r="L24" s="1140"/>
      <c r="M24" s="1131"/>
      <c r="N24" s="1131"/>
      <c r="O24" s="1139"/>
      <c r="P24" s="3145"/>
      <c r="Q24" s="1811">
        <f t="shared" ref="Q24:Q34" si="11">B24</f>
        <v>111</v>
      </c>
      <c r="R24" s="773" t="s">
        <v>17</v>
      </c>
      <c r="S24" s="774">
        <f>F24</f>
        <v>100</v>
      </c>
      <c r="T24" s="773" t="s">
        <v>17</v>
      </c>
      <c r="U24" s="774">
        <f>H24</f>
        <v>100</v>
      </c>
      <c r="V24" s="773" t="s">
        <v>17</v>
      </c>
      <c r="W24" s="774">
        <f>J24</f>
        <v>100</v>
      </c>
      <c r="X24" s="1814"/>
      <c r="Y24" s="3145"/>
      <c r="Z24" s="1815">
        <f>Q24</f>
        <v>111</v>
      </c>
      <c r="AA24" s="1812">
        <f t="shared" si="3"/>
        <v>1</v>
      </c>
      <c r="AB24" s="1812">
        <f t="shared" si="4"/>
        <v>1</v>
      </c>
      <c r="AC24" s="1812">
        <f t="shared" si="5"/>
        <v>1</v>
      </c>
    </row>
    <row r="25" spans="1:29" s="116" customFormat="1" ht="15.75" thickBot="1">
      <c r="A25" s="430"/>
      <c r="B25" s="2599">
        <v>111</v>
      </c>
      <c r="C25" s="2697"/>
      <c r="D25" s="664">
        <v>100</v>
      </c>
      <c r="E25" s="2697"/>
      <c r="F25" s="665">
        <f>SUMIF(75:75,E25,76:76)-SUMIF(75:75,C25,76:76)+100</f>
        <v>100</v>
      </c>
      <c r="G25" s="2697"/>
      <c r="H25" s="664">
        <f>SUMIF(75:75,G25,76:76)-SUMIF(75:75,C25,76:76)+100</f>
        <v>100</v>
      </c>
      <c r="I25" s="2697"/>
      <c r="J25" s="664">
        <f>SUMIF(75:75,I25,76:76)-SUMIF(75:75,C25,76:76)+100</f>
        <v>100</v>
      </c>
      <c r="K25" s="612"/>
      <c r="L25" s="1132"/>
      <c r="M25" s="1133"/>
      <c r="N25" s="1133"/>
      <c r="O25" s="1134"/>
      <c r="P25" s="3145"/>
      <c r="Q25" s="1796">
        <f t="shared" si="11"/>
        <v>111</v>
      </c>
      <c r="R25" s="769" t="s">
        <v>17</v>
      </c>
      <c r="S25" s="770">
        <f>F25</f>
        <v>100</v>
      </c>
      <c r="T25" s="769" t="s">
        <v>17</v>
      </c>
      <c r="U25" s="770">
        <f>H25</f>
        <v>100</v>
      </c>
      <c r="V25" s="769" t="s">
        <v>17</v>
      </c>
      <c r="W25" s="770">
        <f>J25</f>
        <v>100</v>
      </c>
      <c r="X25" s="771"/>
      <c r="Y25" s="3145"/>
      <c r="Z25" s="55">
        <f>Q25</f>
        <v>111</v>
      </c>
      <c r="AA25" s="1812">
        <f>D25/F25</f>
        <v>1</v>
      </c>
      <c r="AB25" s="1812">
        <f>D25/H25</f>
        <v>1</v>
      </c>
      <c r="AC25" s="1812">
        <f>D25/J25</f>
        <v>1</v>
      </c>
    </row>
    <row r="26" spans="1:29" ht="15">
      <c r="A26" s="465" t="s">
        <v>2564</v>
      </c>
      <c r="B26" s="70" t="s">
        <v>2715</v>
      </c>
      <c r="C26" s="2678"/>
      <c r="D26" s="466">
        <v>100</v>
      </c>
      <c r="E26" s="2678"/>
      <c r="F26" s="666">
        <f>SUMIF(77:77,E26,78:78)-SUMIF(77:77,C26,78:78)+100</f>
        <v>100</v>
      </c>
      <c r="G26" s="2678"/>
      <c r="H26" s="466">
        <f>SUMIF(77:77,G26,78:78)-SUMIF(77:77,C26,78:78)+100</f>
        <v>100</v>
      </c>
      <c r="I26" s="2678"/>
      <c r="J26" s="466">
        <f>SUMIF(77:77,I26,78:78)-SUMIF(77:77,C26,78:78)+100</f>
        <v>100</v>
      </c>
      <c r="K26" s="611"/>
      <c r="L26" s="1140"/>
      <c r="M26" s="1131"/>
      <c r="N26" s="1131"/>
      <c r="O26" s="1139"/>
      <c r="P26" s="3146" t="s">
        <v>2566</v>
      </c>
      <c r="Q26" s="1811" t="str">
        <f t="shared" si="11"/>
        <v>公共部分装修</v>
      </c>
      <c r="R26" s="773" t="s">
        <v>17</v>
      </c>
      <c r="S26" s="774">
        <f t="shared" ref="S26:S34" si="12">F26</f>
        <v>100</v>
      </c>
      <c r="T26" s="773" t="s">
        <v>17</v>
      </c>
      <c r="U26" s="774">
        <f t="shared" ref="U26:U34" si="13">H26</f>
        <v>100</v>
      </c>
      <c r="V26" s="773" t="s">
        <v>17</v>
      </c>
      <c r="W26" s="774">
        <f t="shared" ref="W26:W34" si="14">J26</f>
        <v>100</v>
      </c>
      <c r="X26" s="1814"/>
      <c r="Y26" s="3147" t="s">
        <v>2566</v>
      </c>
      <c r="Z26" s="1815" t="str">
        <f t="shared" ref="Z26:Z34" si="15">Q26</f>
        <v>公共部分装修</v>
      </c>
      <c r="AA26" s="1812">
        <f t="shared" si="3"/>
        <v>1</v>
      </c>
      <c r="AB26" s="1812">
        <f t="shared" si="4"/>
        <v>1</v>
      </c>
      <c r="AC26" s="1812">
        <f t="shared" si="5"/>
        <v>1</v>
      </c>
    </row>
    <row r="27" spans="1:29" s="470" customFormat="1" ht="15">
      <c r="A27" s="467"/>
      <c r="B27" s="421" t="s">
        <v>2716</v>
      </c>
      <c r="C27" s="473"/>
      <c r="D27" s="134">
        <v>100</v>
      </c>
      <c r="E27" s="474"/>
      <c r="F27" s="460" t="e">
        <f>LOOKUP(E27,80:80,81:81)-LOOKUP(C27,80:80,81:81)+100</f>
        <v>#N/A</v>
      </c>
      <c r="G27" s="475"/>
      <c r="H27" s="434" t="e">
        <f>LOOKUP(G27,80:80,81:81)-LOOKUP(C27,80:80,81:81)+100</f>
        <v>#N/A</v>
      </c>
      <c r="I27" s="475"/>
      <c r="J27" s="434" t="e">
        <f>LOOKUP(I27,80:80,81:81)-LOOKUP(C27,80:80,81:81)+100</f>
        <v>#N/A</v>
      </c>
      <c r="K27" s="611"/>
      <c r="L27" s="1138"/>
      <c r="M27" s="1141"/>
      <c r="N27" s="1141"/>
      <c r="O27" s="1142"/>
      <c r="P27" s="3147"/>
      <c r="Q27" s="775" t="str">
        <f t="shared" si="11"/>
        <v>成新率</v>
      </c>
      <c r="R27" s="776" t="s">
        <v>17</v>
      </c>
      <c r="S27" s="777" t="e">
        <f t="shared" si="12"/>
        <v>#N/A</v>
      </c>
      <c r="T27" s="776" t="s">
        <v>17</v>
      </c>
      <c r="U27" s="777" t="e">
        <f t="shared" si="13"/>
        <v>#N/A</v>
      </c>
      <c r="V27" s="776" t="s">
        <v>17</v>
      </c>
      <c r="W27" s="777" t="e">
        <f t="shared" si="14"/>
        <v>#N/A</v>
      </c>
      <c r="X27" s="778"/>
      <c r="Y27" s="3147"/>
      <c r="Z27" s="779" t="str">
        <f t="shared" si="15"/>
        <v>成新率</v>
      </c>
      <c r="AA27" s="1812" t="e">
        <f t="shared" si="3"/>
        <v>#N/A</v>
      </c>
      <c r="AB27" s="1812" t="e">
        <f t="shared" si="4"/>
        <v>#N/A</v>
      </c>
      <c r="AC27" s="1812" t="e">
        <f t="shared" si="5"/>
        <v>#N/A</v>
      </c>
    </row>
    <row r="28" spans="1:29" ht="15">
      <c r="A28" s="471"/>
      <c r="B28" s="421" t="s">
        <v>2717</v>
      </c>
      <c r="C28" s="459"/>
      <c r="D28" s="434">
        <v>100</v>
      </c>
      <c r="E28" s="459"/>
      <c r="F28" s="460">
        <f>SUMIF(82:82,E28,83:83)-SUMIF(82:82,C28,83:83)+100</f>
        <v>100</v>
      </c>
      <c r="G28" s="459"/>
      <c r="H28" s="434">
        <f>SUMIF(82:82,G28,83:83)-SUMIF(82:82,C28,83:83)+100</f>
        <v>100</v>
      </c>
      <c r="I28" s="459"/>
      <c r="J28" s="434">
        <f>SUMIF(82:82,I28,83:83)-SUMIF(82:82,C28,83:83)+100</f>
        <v>100</v>
      </c>
      <c r="K28" s="611"/>
      <c r="L28" s="1140"/>
      <c r="M28" s="1131"/>
      <c r="N28" s="1131"/>
      <c r="O28" s="1139"/>
      <c r="P28" s="3147"/>
      <c r="Q28" s="1811" t="str">
        <f t="shared" si="11"/>
        <v>物业等级</v>
      </c>
      <c r="R28" s="773" t="s">
        <v>17</v>
      </c>
      <c r="S28" s="774">
        <f t="shared" si="12"/>
        <v>100</v>
      </c>
      <c r="T28" s="773" t="s">
        <v>17</v>
      </c>
      <c r="U28" s="774">
        <f t="shared" si="13"/>
        <v>100</v>
      </c>
      <c r="V28" s="773" t="s">
        <v>17</v>
      </c>
      <c r="W28" s="774">
        <f t="shared" si="14"/>
        <v>100</v>
      </c>
      <c r="X28" s="1814"/>
      <c r="Y28" s="3147"/>
      <c r="Z28" s="1815" t="str">
        <f t="shared" si="15"/>
        <v>物业等级</v>
      </c>
      <c r="AA28" s="1812">
        <f t="shared" si="3"/>
        <v>1</v>
      </c>
      <c r="AB28" s="1812">
        <f t="shared" si="4"/>
        <v>1</v>
      </c>
      <c r="AC28" s="1812">
        <f t="shared" si="5"/>
        <v>1</v>
      </c>
    </row>
    <row r="29" spans="1:29" ht="15">
      <c r="A29" s="471"/>
      <c r="B29" s="421" t="s">
        <v>2738</v>
      </c>
      <c r="C29" s="656"/>
      <c r="D29" s="434">
        <v>100</v>
      </c>
      <c r="E29" s="656"/>
      <c r="F29" s="460">
        <f>SUMIF(84:84,E29,85:85)-SUMIF(84:84,C29,85:85)+100</f>
        <v>100</v>
      </c>
      <c r="G29" s="656"/>
      <c r="H29" s="434">
        <f>SUMIF(84:84,G29,85:85)-SUMIF(84:84,C29,85:85)+100</f>
        <v>100</v>
      </c>
      <c r="I29" s="656"/>
      <c r="J29" s="434">
        <f>SUMIF(84:84,I29,85:85)-SUMIF(84:84,C29,85:85)+100</f>
        <v>100</v>
      </c>
      <c r="K29" s="611"/>
      <c r="L29" s="1140"/>
      <c r="M29" s="1131"/>
      <c r="N29" s="1131"/>
      <c r="O29" s="1139"/>
      <c r="P29" s="3147"/>
      <c r="Q29" s="1811" t="str">
        <f t="shared" si="11"/>
        <v>有无电梯</v>
      </c>
      <c r="R29" s="773" t="s">
        <v>17</v>
      </c>
      <c r="S29" s="774">
        <f t="shared" si="12"/>
        <v>100</v>
      </c>
      <c r="T29" s="773" t="s">
        <v>17</v>
      </c>
      <c r="U29" s="774">
        <f t="shared" si="13"/>
        <v>100</v>
      </c>
      <c r="V29" s="773" t="s">
        <v>17</v>
      </c>
      <c r="W29" s="774">
        <f t="shared" si="14"/>
        <v>100</v>
      </c>
      <c r="X29" s="1814"/>
      <c r="Y29" s="3147"/>
      <c r="Z29" s="1815" t="str">
        <f t="shared" si="15"/>
        <v>有无电梯</v>
      </c>
      <c r="AA29" s="1812">
        <f t="shared" si="3"/>
        <v>1</v>
      </c>
      <c r="AB29" s="1812">
        <f t="shared" si="4"/>
        <v>1</v>
      </c>
      <c r="AC29" s="1812">
        <f t="shared" si="5"/>
        <v>1</v>
      </c>
    </row>
    <row r="30" spans="1:29" ht="15">
      <c r="A30" s="471"/>
      <c r="B30" s="421" t="s">
        <v>2739</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0"/>
      <c r="M30" s="1131"/>
      <c r="N30" s="1131"/>
      <c r="O30" s="1139"/>
      <c r="P30" s="3147"/>
      <c r="Q30" s="1811" t="str">
        <f t="shared" si="11"/>
        <v>建筑面积</v>
      </c>
      <c r="R30" s="773" t="s">
        <v>17</v>
      </c>
      <c r="S30" s="774" t="e">
        <f t="shared" si="12"/>
        <v>#N/A</v>
      </c>
      <c r="T30" s="773" t="s">
        <v>17</v>
      </c>
      <c r="U30" s="774" t="e">
        <f t="shared" si="13"/>
        <v>#N/A</v>
      </c>
      <c r="V30" s="773" t="s">
        <v>17</v>
      </c>
      <c r="W30" s="774" t="e">
        <f t="shared" si="14"/>
        <v>#N/A</v>
      </c>
      <c r="X30" s="1814"/>
      <c r="Y30" s="3147"/>
      <c r="Z30" s="1815" t="str">
        <f t="shared" si="15"/>
        <v>建筑面积</v>
      </c>
      <c r="AA30" s="1812" t="e">
        <f t="shared" si="3"/>
        <v>#N/A</v>
      </c>
      <c r="AB30" s="1812" t="e">
        <f t="shared" si="4"/>
        <v>#N/A</v>
      </c>
      <c r="AC30" s="1812" t="e">
        <f t="shared" si="5"/>
        <v>#N/A</v>
      </c>
    </row>
    <row r="31" spans="1:29" s="116" customFormat="1" ht="15">
      <c r="A31" s="472"/>
      <c r="B31" s="421" t="s">
        <v>2740</v>
      </c>
      <c r="C31" s="656"/>
      <c r="D31" s="134">
        <v>100</v>
      </c>
      <c r="E31" s="656"/>
      <c r="F31" s="460">
        <f>SUMIF(89:89,E31,90:90)-SUMIF(89:89,C31,90:90)+100</f>
        <v>100</v>
      </c>
      <c r="G31" s="656"/>
      <c r="H31" s="434">
        <f>SUMIF(89:89,G31,90:90)-SUMIF(89:89,C31,90:90)+100</f>
        <v>100</v>
      </c>
      <c r="I31" s="656"/>
      <c r="J31" s="434">
        <f>SUMIF(89:89,I31,90:90)-SUMIF(89:89,C31,90:90)+100</f>
        <v>100</v>
      </c>
      <c r="K31" s="611"/>
      <c r="L31" s="1132"/>
      <c r="M31" s="1133"/>
      <c r="N31" s="1133"/>
      <c r="O31" s="1134"/>
      <c r="P31" s="3147"/>
      <c r="Q31" s="1796" t="str">
        <f t="shared" si="11"/>
        <v>是否封闭</v>
      </c>
      <c r="R31" s="769" t="s">
        <v>17</v>
      </c>
      <c r="S31" s="770">
        <f t="shared" si="12"/>
        <v>100</v>
      </c>
      <c r="T31" s="769" t="s">
        <v>17</v>
      </c>
      <c r="U31" s="770">
        <f t="shared" si="13"/>
        <v>100</v>
      </c>
      <c r="V31" s="769" t="s">
        <v>17</v>
      </c>
      <c r="W31" s="770">
        <f t="shared" si="14"/>
        <v>100</v>
      </c>
      <c r="X31" s="771"/>
      <c r="Y31" s="3147"/>
      <c r="Z31" s="55" t="str">
        <f t="shared" si="15"/>
        <v>是否封闭</v>
      </c>
      <c r="AA31" s="772">
        <f t="shared" si="3"/>
        <v>1</v>
      </c>
      <c r="AB31" s="772">
        <f t="shared" si="4"/>
        <v>1</v>
      </c>
      <c r="AC31" s="772">
        <f t="shared" si="5"/>
        <v>1</v>
      </c>
    </row>
    <row r="32" spans="1:29" ht="15">
      <c r="A32" s="471"/>
      <c r="B32" s="2599">
        <v>111</v>
      </c>
      <c r="C32" s="431"/>
      <c r="D32" s="434">
        <v>100</v>
      </c>
      <c r="E32" s="468"/>
      <c r="F32" s="460">
        <f>SUMIF(91:91,E32,92:92)-SUMIF(91:91,C32,92:92)+100</f>
        <v>100</v>
      </c>
      <c r="G32" s="468"/>
      <c r="H32" s="434">
        <f>SUMIF(91:91,G32,92:92)-SUMIF(91:91,C32,92:92)+100</f>
        <v>100</v>
      </c>
      <c r="I32" s="468"/>
      <c r="J32" s="434">
        <f>SUMIF(91:91,I32,92:92)-SUMIF(91:91,C32,92:92)+100</f>
        <v>100</v>
      </c>
      <c r="K32" s="612"/>
      <c r="L32" s="1140"/>
      <c r="M32" s="1131"/>
      <c r="N32" s="1131"/>
      <c r="O32" s="1139"/>
      <c r="P32" s="3147" t="s">
        <v>2566</v>
      </c>
      <c r="Q32" s="1811">
        <f t="shared" si="11"/>
        <v>111</v>
      </c>
      <c r="R32" s="773" t="s">
        <v>17</v>
      </c>
      <c r="S32" s="774">
        <f t="shared" si="12"/>
        <v>100</v>
      </c>
      <c r="T32" s="773" t="s">
        <v>17</v>
      </c>
      <c r="U32" s="774">
        <f t="shared" si="13"/>
        <v>100</v>
      </c>
      <c r="V32" s="773" t="s">
        <v>17</v>
      </c>
      <c r="W32" s="774">
        <f t="shared" si="14"/>
        <v>100</v>
      </c>
      <c r="X32" s="1814"/>
      <c r="Y32" s="3147" t="s">
        <v>2566</v>
      </c>
      <c r="Z32" s="1815">
        <f t="shared" si="15"/>
        <v>111</v>
      </c>
      <c r="AA32" s="1812">
        <f t="shared" si="3"/>
        <v>1</v>
      </c>
      <c r="AB32" s="1812">
        <f t="shared" si="4"/>
        <v>1</v>
      </c>
      <c r="AC32" s="1812">
        <f t="shared" si="5"/>
        <v>1</v>
      </c>
    </row>
    <row r="33" spans="1:29" ht="15">
      <c r="A33" s="471"/>
      <c r="B33" s="2599">
        <v>111</v>
      </c>
      <c r="C33" s="431"/>
      <c r="D33" s="434">
        <v>100</v>
      </c>
      <c r="E33" s="468"/>
      <c r="F33" s="460">
        <f>SUMIF(93:93,E33,94:94)-SUMIF(93:93,C33,94:94)+100</f>
        <v>100</v>
      </c>
      <c r="G33" s="468"/>
      <c r="H33" s="434">
        <f>SUMIF(93:93,G33,94:94)-SUMIF(93:93,C33,94:94)+100</f>
        <v>100</v>
      </c>
      <c r="I33" s="468"/>
      <c r="J33" s="434">
        <f>SUMIF(93:93,I33,94:94)-SUMIF(93:93,C33,94:94)+100</f>
        <v>100</v>
      </c>
      <c r="K33" s="612"/>
      <c r="L33" s="1140"/>
      <c r="M33" s="1131"/>
      <c r="N33" s="1131"/>
      <c r="O33" s="1139"/>
      <c r="P33" s="3147"/>
      <c r="Q33" s="1811">
        <f t="shared" si="11"/>
        <v>111</v>
      </c>
      <c r="R33" s="773" t="s">
        <v>17</v>
      </c>
      <c r="S33" s="774">
        <f t="shared" si="12"/>
        <v>100</v>
      </c>
      <c r="T33" s="773" t="s">
        <v>17</v>
      </c>
      <c r="U33" s="774">
        <f t="shared" si="13"/>
        <v>100</v>
      </c>
      <c r="V33" s="773" t="s">
        <v>17</v>
      </c>
      <c r="W33" s="774">
        <f t="shared" si="14"/>
        <v>100</v>
      </c>
      <c r="X33" s="1814"/>
      <c r="Y33" s="3147"/>
      <c r="Z33" s="1815">
        <f t="shared" si="15"/>
        <v>111</v>
      </c>
      <c r="AA33" s="1812">
        <f t="shared" si="3"/>
        <v>1</v>
      </c>
      <c r="AB33" s="1812">
        <f t="shared" si="4"/>
        <v>1</v>
      </c>
      <c r="AC33" s="1812">
        <f t="shared" si="5"/>
        <v>1</v>
      </c>
    </row>
    <row r="34" spans="1:29" ht="15.75" thickBot="1">
      <c r="A34" s="477"/>
      <c r="B34" s="2601">
        <v>111</v>
      </c>
      <c r="C34" s="436"/>
      <c r="D34" s="437">
        <v>100</v>
      </c>
      <c r="E34" s="2696"/>
      <c r="F34" s="438">
        <f>SUMIF(95:95,E34,96:96)-SUMIF(95:95,C34,96:96)+100</f>
        <v>100</v>
      </c>
      <c r="G34" s="2696"/>
      <c r="H34" s="437">
        <f>SUMIF(95:95,G34,96:96)-SUMIF(95:95,C34,96:96)+100</f>
        <v>100</v>
      </c>
      <c r="I34" s="2696"/>
      <c r="J34" s="437">
        <f>SUMIF(95:95,I34,96:96)-SUMIF(95:95,C34,96:96)+100</f>
        <v>100</v>
      </c>
      <c r="K34" s="612"/>
      <c r="L34" s="1140"/>
      <c r="M34" s="1131"/>
      <c r="N34" s="1131"/>
      <c r="O34" s="1139"/>
      <c r="P34" s="3147"/>
      <c r="Q34" s="1811">
        <f t="shared" si="11"/>
        <v>111</v>
      </c>
      <c r="R34" s="773" t="s">
        <v>17</v>
      </c>
      <c r="S34" s="774">
        <f t="shared" si="12"/>
        <v>100</v>
      </c>
      <c r="T34" s="773" t="s">
        <v>17</v>
      </c>
      <c r="U34" s="774">
        <f t="shared" si="13"/>
        <v>100</v>
      </c>
      <c r="V34" s="773" t="s">
        <v>17</v>
      </c>
      <c r="W34" s="774">
        <f t="shared" si="14"/>
        <v>100</v>
      </c>
      <c r="X34" s="1814"/>
      <c r="Y34" s="3147"/>
      <c r="Z34" s="1815">
        <f t="shared" si="15"/>
        <v>111</v>
      </c>
      <c r="AA34" s="1812">
        <f t="shared" si="3"/>
        <v>1</v>
      </c>
      <c r="AB34" s="1812">
        <f t="shared" si="4"/>
        <v>1</v>
      </c>
      <c r="AC34" s="1812">
        <f t="shared" si="5"/>
        <v>1</v>
      </c>
    </row>
    <row r="35" spans="1:29" ht="15">
      <c r="A35" s="478" t="s">
        <v>2578</v>
      </c>
      <c r="B35" s="479"/>
      <c r="C35" s="1407" t="s">
        <v>1</v>
      </c>
      <c r="D35" s="1408"/>
      <c r="E35" s="1409"/>
      <c r="F35" s="1410"/>
      <c r="G35" s="1411"/>
      <c r="H35" s="1412"/>
      <c r="I35" s="1409"/>
      <c r="J35" s="1412"/>
      <c r="K35" s="782"/>
      <c r="L35" s="1143"/>
      <c r="M35" s="1144"/>
      <c r="N35" s="1131"/>
      <c r="O35" s="1144"/>
      <c r="P35" s="3142" t="str">
        <f>A35</f>
        <v>成交单价（元/平方米）</v>
      </c>
      <c r="Q35" s="3142"/>
      <c r="R35" s="3206">
        <f>E35</f>
        <v>0</v>
      </c>
      <c r="S35" s="3206"/>
      <c r="T35" s="3206">
        <f>G35</f>
        <v>0</v>
      </c>
      <c r="U35" s="3206"/>
      <c r="V35" s="3206">
        <f>I35</f>
        <v>0</v>
      </c>
      <c r="W35" s="3206"/>
      <c r="X35" s="758"/>
      <c r="Y35" s="780"/>
      <c r="Z35" s="758"/>
      <c r="AA35" s="758"/>
      <c r="AB35" s="758"/>
      <c r="AC35" s="758"/>
    </row>
    <row r="36" spans="1:29" ht="15.75" thickBot="1">
      <c r="A36" s="485" t="s">
        <v>2670</v>
      </c>
      <c r="B36" s="486"/>
      <c r="C36" s="1413" t="e">
        <f>R37</f>
        <v>#DIV/0!</v>
      </c>
      <c r="D36" s="1414"/>
      <c r="E36" s="1415" t="e">
        <f>R36</f>
        <v>#DIV/0!</v>
      </c>
      <c r="F36" s="1415"/>
      <c r="G36" s="1413" t="e">
        <f>T36</f>
        <v>#DIV/0!</v>
      </c>
      <c r="H36" s="1414"/>
      <c r="I36" s="1415" t="e">
        <f>V36</f>
        <v>#DIV/0!</v>
      </c>
      <c r="J36" s="1414"/>
      <c r="K36" s="783"/>
      <c r="L36" s="1143"/>
      <c r="M36" s="1144"/>
      <c r="N36" s="1131"/>
      <c r="O36" s="1144"/>
      <c r="P36" s="3142" t="str">
        <f>A36</f>
        <v>比较价值（元/平方米）</v>
      </c>
      <c r="Q36" s="3142"/>
      <c r="R36" s="3206" t="e">
        <f>IF(F1="售价",ROUND(PRODUCT(R35,AA7:AA34),0),ROUND(PRODUCT(R35,AA7:AA34),1))</f>
        <v>#DIV/0!</v>
      </c>
      <c r="S36" s="3206"/>
      <c r="T36" s="3206" t="e">
        <f>IF(F1="售价",ROUND(PRODUCT(T35,AB7:AB34),0),ROUND(PRODUCT(T35,AB7:AB34),1))</f>
        <v>#DIV/0!</v>
      </c>
      <c r="U36" s="3206"/>
      <c r="V36" s="3206" t="e">
        <f>IF(F1="售价",ROUND(PRODUCT(V35,AC7:AC34),0),ROUND(PRODUCT(V35,AC7:AC34),1))</f>
        <v>#DIV/0!</v>
      </c>
      <c r="W36" s="3206"/>
      <c r="X36" s="758"/>
      <c r="Y36" s="758"/>
      <c r="Z36" s="758"/>
      <c r="AA36" s="758"/>
      <c r="AB36" s="758"/>
      <c r="AC36" s="758"/>
    </row>
    <row r="37" spans="1:29" ht="15.75" thickBot="1">
      <c r="A37" s="491" t="s">
        <v>2671</v>
      </c>
      <c r="B37" s="492"/>
      <c r="C37" s="1417" t="e">
        <f>R37</f>
        <v>#DIV/0!</v>
      </c>
      <c r="D37" s="1417"/>
      <c r="E37" s="1417"/>
      <c r="F37" s="1417"/>
      <c r="G37" s="1417"/>
      <c r="H37" s="1417"/>
      <c r="I37" s="1417"/>
      <c r="J37" s="1417"/>
      <c r="K37" s="784"/>
      <c r="L37" s="1143"/>
      <c r="M37" s="1144"/>
      <c r="N37" s="1144"/>
      <c r="O37" s="1144"/>
      <c r="P37" s="3136" t="str">
        <f>A37</f>
        <v>估价对象XX用房的比较价值（楼面单价，元/平方米）</v>
      </c>
      <c r="Q37" s="3137"/>
      <c r="R37" s="3205" t="e">
        <f>IF(F1="售价",ROUND(AVERAGE(R36:V36),0),ROUND(AVERAGE(R36:V36),1))</f>
        <v>#DIV/0!</v>
      </c>
      <c r="S37" s="3205"/>
      <c r="T37" s="3205"/>
      <c r="U37" s="3205"/>
      <c r="V37" s="3205"/>
      <c r="W37" s="3205"/>
      <c r="X37" s="758"/>
      <c r="Y37" s="758"/>
      <c r="Z37" s="758"/>
      <c r="AA37" s="758"/>
      <c r="AB37" s="758"/>
      <c r="AC37" s="758"/>
    </row>
    <row r="38" spans="1:29">
      <c r="A38" s="1144"/>
      <c r="B38" s="1144"/>
      <c r="C38" s="1144"/>
      <c r="D38" s="1144"/>
      <c r="E38" s="1144"/>
      <c r="F38" s="1144"/>
      <c r="G38" s="1147"/>
      <c r="H38" s="1144"/>
      <c r="I38" s="1144"/>
      <c r="J38" s="1144"/>
      <c r="K38" s="1106"/>
      <c r="L38" s="1107"/>
      <c r="M38" s="1144"/>
      <c r="N38" s="1144"/>
      <c r="O38" s="1144"/>
    </row>
    <row r="39" spans="1:29">
      <c r="A39" s="1144"/>
      <c r="B39" s="1144"/>
      <c r="C39" s="1144"/>
      <c r="D39" s="1144"/>
      <c r="E39" s="1144"/>
      <c r="F39" s="1144"/>
      <c r="G39" s="1144"/>
      <c r="H39" s="1144"/>
      <c r="I39" s="1144"/>
      <c r="J39" s="1144"/>
      <c r="K39" s="1106"/>
      <c r="L39" s="1107"/>
      <c r="M39" s="1144"/>
      <c r="N39" s="1144"/>
      <c r="O39" s="1144"/>
    </row>
    <row r="40" spans="1:29" ht="13.5" customHeight="1">
      <c r="A40" s="1144"/>
      <c r="B40" s="1144"/>
      <c r="C40" s="496" t="s">
        <v>2672</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6"/>
      <c r="L40" s="1107"/>
      <c r="M40" s="1144"/>
      <c r="N40" s="1144"/>
      <c r="O40" s="1144"/>
    </row>
    <row r="41" spans="1:29" ht="13.5" customHeight="1">
      <c r="A41" s="1144"/>
      <c r="B41" s="1144"/>
      <c r="C41" s="496" t="s">
        <v>2673</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6"/>
      <c r="L41" s="1107"/>
      <c r="M41" s="1144"/>
      <c r="N41" s="1144"/>
      <c r="O41" s="1144"/>
    </row>
    <row r="42" spans="1:29" s="501" customFormat="1" ht="13.5" customHeight="1">
      <c r="A42" s="1145"/>
      <c r="B42" s="1145"/>
      <c r="C42" s="496" t="s">
        <v>2674</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8"/>
      <c r="L42" s="1149"/>
      <c r="M42" s="1145"/>
      <c r="N42" s="1145"/>
      <c r="O42" s="1145"/>
    </row>
    <row r="43" spans="1:29" s="501"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6"/>
      <c r="L44" s="1107"/>
      <c r="M44" s="1144"/>
      <c r="N44" s="1144"/>
      <c r="O44" s="1144"/>
    </row>
    <row r="45" spans="1:29" ht="21.75" thickBot="1">
      <c r="A45" s="762" t="s">
        <v>2675</v>
      </c>
      <c r="B45" s="758"/>
      <c r="C45" s="763"/>
      <c r="D45" s="763"/>
      <c r="E45" s="763"/>
      <c r="F45" s="764"/>
      <c r="G45" s="764"/>
      <c r="H45" s="763"/>
      <c r="I45" s="763"/>
      <c r="J45" s="763"/>
      <c r="K45" s="765"/>
      <c r="L45" s="766"/>
      <c r="M45" s="763"/>
      <c r="N45" s="763"/>
      <c r="O45" s="763"/>
      <c r="P45" s="502"/>
      <c r="Q45" s="503"/>
    </row>
    <row r="46" spans="1:29" s="507" customFormat="1" ht="15">
      <c r="A46" s="504" t="s">
        <v>2549</v>
      </c>
      <c r="B46" s="505"/>
      <c r="C46" s="1575" t="str">
        <f>YEAR(C7)&amp;"-"&amp;MONTH(C7)</f>
        <v>2017-10</v>
      </c>
      <c r="D46" s="1576">
        <f>EDATE(C46,-1)</f>
        <v>42979</v>
      </c>
      <c r="E46" s="1576">
        <f t="shared" ref="E46:O46" si="16">EDATE(D46,-1)</f>
        <v>42948</v>
      </c>
      <c r="F46" s="1576">
        <f t="shared" si="16"/>
        <v>42917</v>
      </c>
      <c r="G46" s="1576">
        <f t="shared" si="16"/>
        <v>42887</v>
      </c>
      <c r="H46" s="1576">
        <f t="shared" si="16"/>
        <v>42856</v>
      </c>
      <c r="I46" s="1576">
        <f t="shared" si="16"/>
        <v>42826</v>
      </c>
      <c r="J46" s="1576">
        <f t="shared" si="16"/>
        <v>42795</v>
      </c>
      <c r="K46" s="1576">
        <f t="shared" si="16"/>
        <v>42767</v>
      </c>
      <c r="L46" s="1576">
        <f t="shared" si="16"/>
        <v>42736</v>
      </c>
      <c r="M46" s="1576">
        <f t="shared" si="16"/>
        <v>42705</v>
      </c>
      <c r="N46" s="1576">
        <f t="shared" si="16"/>
        <v>42675</v>
      </c>
      <c r="O46" s="1576">
        <f t="shared" si="16"/>
        <v>42644</v>
      </c>
      <c r="P46" s="506"/>
    </row>
    <row r="47" spans="1:29" s="116" customFormat="1" ht="15">
      <c r="A47" s="508"/>
      <c r="B47" s="509"/>
      <c r="C47" s="1574">
        <v>100</v>
      </c>
      <c r="D47" s="511"/>
      <c r="E47" s="511"/>
      <c r="F47" s="511"/>
      <c r="G47" s="511"/>
      <c r="H47" s="511"/>
      <c r="I47" s="511"/>
      <c r="J47" s="511"/>
      <c r="K47" s="511"/>
      <c r="L47" s="511"/>
      <c r="M47" s="512"/>
      <c r="N47" s="511"/>
      <c r="O47" s="513"/>
      <c r="P47" s="503"/>
    </row>
    <row r="48" spans="1:29" s="116" customFormat="1" ht="15.75" thickBot="1">
      <c r="A48" s="514" t="s">
        <v>2586</v>
      </c>
      <c r="B48" s="515"/>
      <c r="C48" s="516"/>
      <c r="D48" s="517"/>
      <c r="E48" s="517"/>
      <c r="F48" s="517"/>
      <c r="G48" s="517"/>
      <c r="H48" s="517"/>
      <c r="I48" s="517"/>
      <c r="J48" s="517"/>
      <c r="K48" s="517"/>
      <c r="L48" s="517"/>
      <c r="M48" s="518"/>
      <c r="N48" s="517"/>
      <c r="O48" s="519"/>
      <c r="P48" s="503"/>
      <c r="Q48" s="503"/>
    </row>
    <row r="49" spans="1:17" s="116" customFormat="1" ht="15">
      <c r="A49" s="520" t="s">
        <v>2551</v>
      </c>
      <c r="B49" s="509"/>
      <c r="C49" s="521" t="s">
        <v>2653</v>
      </c>
      <c r="D49" s="522"/>
      <c r="E49" s="522"/>
      <c r="F49" s="522"/>
      <c r="G49" s="522"/>
      <c r="H49" s="522"/>
      <c r="I49" s="522"/>
      <c r="J49" s="522"/>
      <c r="K49" s="522"/>
      <c r="L49" s="523"/>
      <c r="M49" s="524"/>
      <c r="N49" s="1151"/>
      <c r="O49" s="1151"/>
      <c r="P49" s="525"/>
      <c r="Q49" s="503"/>
    </row>
    <row r="50" spans="1:17" s="116" customFormat="1" ht="15.75" thickBot="1">
      <c r="A50" s="520"/>
      <c r="B50" s="509"/>
      <c r="C50" s="638">
        <v>100</v>
      </c>
      <c r="D50" s="511"/>
      <c r="E50" s="511"/>
      <c r="F50" s="511"/>
      <c r="G50" s="511"/>
      <c r="H50" s="511"/>
      <c r="I50" s="511"/>
      <c r="J50" s="511"/>
      <c r="K50" s="511"/>
      <c r="L50" s="511"/>
      <c r="M50" s="513"/>
      <c r="N50" s="1151"/>
      <c r="O50" s="1151"/>
      <c r="P50" s="503"/>
      <c r="Q50" s="503"/>
    </row>
    <row r="51" spans="1:17">
      <c r="A51" s="526" t="s">
        <v>2589</v>
      </c>
      <c r="B51" s="527" t="s">
        <v>2555</v>
      </c>
      <c r="C51" s="528">
        <f>C9</f>
        <v>0</v>
      </c>
      <c r="D51" s="529"/>
      <c r="E51" s="529"/>
      <c r="F51" s="529"/>
      <c r="G51" s="529"/>
      <c r="H51" s="529"/>
      <c r="I51" s="529"/>
      <c r="J51" s="529"/>
      <c r="K51" s="530"/>
      <c r="L51" s="531"/>
      <c r="M51" s="532"/>
      <c r="N51" s="1152"/>
      <c r="O51" s="1152"/>
      <c r="P51" s="45"/>
      <c r="Q51" s="503"/>
    </row>
    <row r="52" spans="1:17" ht="15.75" thickBot="1">
      <c r="A52" s="533"/>
      <c r="B52" s="534"/>
      <c r="C52" s="535">
        <v>100</v>
      </c>
      <c r="D52" s="535"/>
      <c r="E52" s="535"/>
      <c r="F52" s="535"/>
      <c r="G52" s="535"/>
      <c r="H52" s="535"/>
      <c r="I52" s="535"/>
      <c r="J52" s="535"/>
      <c r="K52" s="535"/>
      <c r="L52" s="535"/>
      <c r="M52" s="536"/>
      <c r="N52" s="1153"/>
      <c r="O52" s="1153"/>
      <c r="P52" s="45"/>
      <c r="Q52" s="503"/>
    </row>
    <row r="53" spans="1:17" ht="27.75" thickTop="1">
      <c r="A53" s="533"/>
      <c r="B53" s="537" t="s">
        <v>2558</v>
      </c>
      <c r="C53" s="538" t="s">
        <v>2590</v>
      </c>
      <c r="D53" s="538" t="s">
        <v>2591</v>
      </c>
      <c r="E53" s="538" t="s">
        <v>2592</v>
      </c>
      <c r="F53" s="538" t="s">
        <v>2593</v>
      </c>
      <c r="G53" s="538" t="s">
        <v>2594</v>
      </c>
      <c r="H53" s="538" t="s">
        <v>2595</v>
      </c>
      <c r="I53" s="538" t="s">
        <v>2596</v>
      </c>
      <c r="J53" s="538"/>
      <c r="K53" s="539"/>
      <c r="L53" s="540"/>
      <c r="M53" s="541"/>
      <c r="N53" s="1152"/>
      <c r="O53" s="1152"/>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3"/>
      <c r="O54" s="1153"/>
      <c r="P54" s="45"/>
      <c r="Q54" s="503"/>
    </row>
    <row r="55" spans="1:17" ht="15.75" thickTop="1">
      <c r="A55" s="533"/>
      <c r="B55" s="659">
        <f>B11</f>
        <v>111</v>
      </c>
      <c r="C55" s="548"/>
      <c r="D55" s="548"/>
      <c r="E55" s="548"/>
      <c r="F55" s="548"/>
      <c r="G55" s="548"/>
      <c r="H55" s="548"/>
      <c r="I55" s="548"/>
      <c r="J55" s="548"/>
      <c r="K55" s="549"/>
      <c r="L55" s="550"/>
      <c r="M55" s="551"/>
      <c r="N55" s="1152"/>
      <c r="O55" s="1152"/>
      <c r="P55" s="45"/>
      <c r="Q55" s="503"/>
    </row>
    <row r="56" spans="1:17" ht="15.75" thickBot="1">
      <c r="A56" s="533"/>
      <c r="B56" s="534"/>
      <c r="C56" s="559"/>
      <c r="D56" s="535"/>
      <c r="E56" s="535"/>
      <c r="F56" s="535"/>
      <c r="G56" s="535"/>
      <c r="H56" s="535"/>
      <c r="I56" s="535"/>
      <c r="J56" s="535"/>
      <c r="K56" s="535"/>
      <c r="L56" s="535"/>
      <c r="M56" s="536"/>
      <c r="N56" s="1153"/>
      <c r="O56" s="1153"/>
      <c r="P56" s="45"/>
      <c r="Q56" s="503"/>
    </row>
    <row r="57" spans="1:17" s="470" customFormat="1" ht="15.75" thickTop="1">
      <c r="A57" s="552"/>
      <c r="B57" s="537">
        <f>B12</f>
        <v>111</v>
      </c>
      <c r="C57" s="548"/>
      <c r="D57" s="548"/>
      <c r="E57" s="548"/>
      <c r="F57" s="548"/>
      <c r="G57" s="553"/>
      <c r="H57" s="554"/>
      <c r="I57" s="554"/>
      <c r="J57" s="554"/>
      <c r="K57" s="554"/>
      <c r="L57" s="555"/>
      <c r="M57" s="556"/>
      <c r="N57" s="1154"/>
      <c r="O57" s="1154"/>
      <c r="P57" s="557"/>
      <c r="Q57" s="558"/>
    </row>
    <row r="58" spans="1:17" s="470" customFormat="1" ht="15.75" thickBot="1">
      <c r="A58" s="552"/>
      <c r="B58" s="542"/>
      <c r="C58" s="559"/>
      <c r="D58" s="535"/>
      <c r="E58" s="535"/>
      <c r="F58" s="535"/>
      <c r="G58" s="535"/>
      <c r="H58" s="535"/>
      <c r="I58" s="535"/>
      <c r="J58" s="535"/>
      <c r="K58" s="535"/>
      <c r="L58" s="535"/>
      <c r="M58" s="536"/>
      <c r="N58" s="1153"/>
      <c r="O58" s="1153"/>
      <c r="P58" s="557"/>
      <c r="Q58" s="558"/>
    </row>
    <row r="59" spans="1:17" s="470" customFormat="1" ht="15.75" thickTop="1">
      <c r="A59" s="552"/>
      <c r="B59" s="537">
        <f>B13</f>
        <v>111</v>
      </c>
      <c r="C59" s="548"/>
      <c r="D59" s="548"/>
      <c r="E59" s="548"/>
      <c r="F59" s="548"/>
      <c r="G59" s="553"/>
      <c r="H59" s="554"/>
      <c r="I59" s="554"/>
      <c r="J59" s="554"/>
      <c r="K59" s="554"/>
      <c r="L59" s="555"/>
      <c r="M59" s="556"/>
      <c r="N59" s="1154"/>
      <c r="O59" s="1154"/>
      <c r="P59" s="469"/>
      <c r="Q59" s="560"/>
    </row>
    <row r="60" spans="1:17" s="470" customFormat="1" ht="15.75" thickBot="1">
      <c r="A60" s="552"/>
      <c r="B60" s="542"/>
      <c r="C60" s="559"/>
      <c r="D60" s="559"/>
      <c r="E60" s="559"/>
      <c r="F60" s="559"/>
      <c r="G60" s="559"/>
      <c r="H60" s="561"/>
      <c r="I60" s="561"/>
      <c r="J60" s="561"/>
      <c r="K60" s="561"/>
      <c r="L60" s="561"/>
      <c r="M60" s="562"/>
      <c r="N60" s="1154"/>
      <c r="O60" s="1154"/>
      <c r="P60" s="557"/>
      <c r="Q60" s="558"/>
    </row>
    <row r="61" spans="1:17" ht="15" thickTop="1">
      <c r="A61" s="526" t="s">
        <v>2560</v>
      </c>
      <c r="B61" s="527" t="s">
        <v>2603</v>
      </c>
      <c r="C61" s="572" t="s">
        <v>2598</v>
      </c>
      <c r="D61" s="572" t="s">
        <v>2599</v>
      </c>
      <c r="E61" s="572" t="s">
        <v>2600</v>
      </c>
      <c r="F61" s="572" t="s">
        <v>2601</v>
      </c>
      <c r="G61" s="572" t="s">
        <v>2602</v>
      </c>
      <c r="H61" s="528"/>
      <c r="I61" s="528"/>
      <c r="J61" s="528"/>
      <c r="K61" s="573"/>
      <c r="L61" s="574"/>
      <c r="M61" s="575"/>
      <c r="N61" s="1152"/>
      <c r="O61" s="1152"/>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3"/>
      <c r="O62" s="1153"/>
      <c r="P62" s="45"/>
      <c r="Q62" s="503"/>
    </row>
    <row r="63" spans="1:17" ht="27.75" thickTop="1">
      <c r="A63" s="533"/>
      <c r="B63" s="537" t="s">
        <v>2741</v>
      </c>
      <c r="C63" s="577" t="s">
        <v>2598</v>
      </c>
      <c r="D63" s="577" t="s">
        <v>2599</v>
      </c>
      <c r="E63" s="577" t="s">
        <v>2600</v>
      </c>
      <c r="F63" s="577" t="s">
        <v>2601</v>
      </c>
      <c r="G63" s="577" t="s">
        <v>2602</v>
      </c>
      <c r="H63" s="538"/>
      <c r="I63" s="538"/>
      <c r="J63" s="538"/>
      <c r="K63" s="539"/>
      <c r="L63" s="540"/>
      <c r="M63" s="541"/>
      <c r="N63" s="1152"/>
      <c r="O63" s="1152"/>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3"/>
      <c r="O64" s="1153"/>
      <c r="P64" s="45"/>
      <c r="Q64" s="503"/>
    </row>
    <row r="65" spans="1:17" ht="15.75" thickTop="1">
      <c r="A65" s="533"/>
      <c r="B65" s="545" t="s">
        <v>2690</v>
      </c>
      <c r="C65" s="659" t="s">
        <v>2676</v>
      </c>
      <c r="D65" s="659" t="s">
        <v>2677</v>
      </c>
      <c r="E65" s="659" t="s">
        <v>2678</v>
      </c>
      <c r="F65" s="659" t="s">
        <v>2679</v>
      </c>
      <c r="G65" s="659" t="s">
        <v>2680</v>
      </c>
      <c r="H65" s="538"/>
      <c r="I65" s="538"/>
      <c r="J65" s="538"/>
      <c r="K65" s="538"/>
      <c r="L65" s="538"/>
      <c r="M65" s="1382"/>
      <c r="N65" s="1153"/>
      <c r="O65" s="1153"/>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3"/>
      <c r="O66" s="1153"/>
      <c r="P66" s="45"/>
      <c r="Q66" s="503"/>
    </row>
    <row r="67" spans="1:17" ht="15.75" thickTop="1">
      <c r="A67" s="533"/>
      <c r="B67" s="537" t="s">
        <v>2610</v>
      </c>
      <c r="C67" s="577" t="s">
        <v>2598</v>
      </c>
      <c r="D67" s="577" t="s">
        <v>2599</v>
      </c>
      <c r="E67" s="577" t="s">
        <v>2600</v>
      </c>
      <c r="F67" s="577" t="s">
        <v>2601</v>
      </c>
      <c r="G67" s="577" t="s">
        <v>2602</v>
      </c>
      <c r="H67" s="538"/>
      <c r="I67" s="538"/>
      <c r="J67" s="538"/>
      <c r="K67" s="539"/>
      <c r="L67" s="540"/>
      <c r="M67" s="541"/>
      <c r="N67" s="1152"/>
      <c r="O67" s="1152"/>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3"/>
      <c r="O68" s="1153"/>
      <c r="P68" s="45"/>
      <c r="Q68" s="503"/>
    </row>
    <row r="69" spans="1:17" ht="15.75" thickTop="1">
      <c r="A69" s="533"/>
      <c r="B69" s="537" t="s">
        <v>2730</v>
      </c>
      <c r="C69" s="553"/>
      <c r="D69" s="553"/>
      <c r="E69" s="553"/>
      <c r="F69" s="553"/>
      <c r="G69" s="553"/>
      <c r="H69" s="582"/>
      <c r="I69" s="582"/>
      <c r="J69" s="582"/>
      <c r="K69" s="583"/>
      <c r="L69" s="584"/>
      <c r="M69" s="585"/>
      <c r="N69" s="1152"/>
      <c r="O69" s="1152"/>
      <c r="P69" s="45"/>
      <c r="Q69" s="503"/>
    </row>
    <row r="70" spans="1:17" ht="15.75" thickBot="1">
      <c r="A70" s="533"/>
      <c r="B70" s="542"/>
      <c r="C70" s="543">
        <v>100</v>
      </c>
      <c r="D70" s="543">
        <f>C70-$K22</f>
        <v>100</v>
      </c>
      <c r="E70" s="543"/>
      <c r="F70" s="543"/>
      <c r="G70" s="543"/>
      <c r="H70" s="543"/>
      <c r="I70" s="543"/>
      <c r="J70" s="543"/>
      <c r="K70" s="543"/>
      <c r="L70" s="543"/>
      <c r="M70" s="544"/>
      <c r="N70" s="1153"/>
      <c r="O70" s="1153"/>
      <c r="P70" s="45"/>
      <c r="Q70" s="503"/>
    </row>
    <row r="71" spans="1:17" s="116" customFormat="1" ht="15.75" thickTop="1">
      <c r="A71" s="578"/>
      <c r="B71" s="537">
        <f>B23</f>
        <v>111</v>
      </c>
      <c r="C71" s="548"/>
      <c r="D71" s="548"/>
      <c r="E71" s="548"/>
      <c r="F71" s="548"/>
      <c r="G71" s="553"/>
      <c r="H71" s="553"/>
      <c r="I71" s="553"/>
      <c r="J71" s="553"/>
      <c r="K71" s="553"/>
      <c r="L71" s="579"/>
      <c r="M71" s="580"/>
      <c r="N71" s="1151"/>
      <c r="O71" s="1151"/>
      <c r="P71" s="45"/>
      <c r="Q71" s="503"/>
    </row>
    <row r="72" spans="1:17" s="116" customFormat="1" ht="15.75" thickBot="1">
      <c r="A72" s="578"/>
      <c r="B72" s="542"/>
      <c r="C72" s="559"/>
      <c r="D72" s="535"/>
      <c r="E72" s="535"/>
      <c r="F72" s="535"/>
      <c r="G72" s="535"/>
      <c r="H72" s="535"/>
      <c r="I72" s="535"/>
      <c r="J72" s="535"/>
      <c r="K72" s="535"/>
      <c r="L72" s="535"/>
      <c r="M72" s="536"/>
      <c r="N72" s="1153"/>
      <c r="O72" s="1153"/>
      <c r="P72" s="45"/>
      <c r="Q72" s="503"/>
    </row>
    <row r="73" spans="1:17" s="116" customFormat="1" ht="15.75" thickTop="1">
      <c r="A73" s="578"/>
      <c r="B73" s="537">
        <f>B24</f>
        <v>111</v>
      </c>
      <c r="C73" s="548"/>
      <c r="D73" s="548"/>
      <c r="E73" s="548"/>
      <c r="F73" s="548"/>
      <c r="G73" s="553"/>
      <c r="H73" s="553"/>
      <c r="I73" s="553"/>
      <c r="J73" s="553"/>
      <c r="K73" s="553"/>
      <c r="L73" s="553"/>
      <c r="M73" s="580"/>
      <c r="N73" s="1151"/>
      <c r="O73" s="1151"/>
      <c r="P73" s="45"/>
      <c r="Q73" s="503"/>
    </row>
    <row r="74" spans="1:17" s="116" customFormat="1" ht="15.75" thickBot="1">
      <c r="A74" s="578"/>
      <c r="B74" s="542"/>
      <c r="C74" s="559"/>
      <c r="D74" s="535"/>
      <c r="E74" s="535"/>
      <c r="F74" s="535"/>
      <c r="G74" s="535"/>
      <c r="H74" s="535"/>
      <c r="I74" s="535"/>
      <c r="J74" s="535"/>
      <c r="K74" s="535"/>
      <c r="L74" s="535"/>
      <c r="M74" s="536"/>
      <c r="N74" s="1153"/>
      <c r="O74" s="1153"/>
      <c r="P74" s="45"/>
      <c r="Q74" s="503"/>
    </row>
    <row r="75" spans="1:17" s="470" customFormat="1" ht="15.75" thickTop="1">
      <c r="A75" s="552"/>
      <c r="B75" s="537">
        <f>B25</f>
        <v>111</v>
      </c>
      <c r="C75" s="548"/>
      <c r="D75" s="548"/>
      <c r="E75" s="548"/>
      <c r="F75" s="548"/>
      <c r="G75" s="553"/>
      <c r="H75" s="554"/>
      <c r="I75" s="554"/>
      <c r="J75" s="554"/>
      <c r="K75" s="554"/>
      <c r="L75" s="555"/>
      <c r="M75" s="556"/>
      <c r="N75" s="1154"/>
      <c r="O75" s="1154"/>
      <c r="P75" s="557"/>
      <c r="Q75" s="558"/>
    </row>
    <row r="76" spans="1:17" s="470" customFormat="1" ht="15.75" thickBot="1">
      <c r="A76" s="552"/>
      <c r="B76" s="542"/>
      <c r="C76" s="559"/>
      <c r="D76" s="559"/>
      <c r="E76" s="559"/>
      <c r="F76" s="559"/>
      <c r="G76" s="535"/>
      <c r="H76" s="535"/>
      <c r="I76" s="535"/>
      <c r="J76" s="535"/>
      <c r="K76" s="535"/>
      <c r="L76" s="535"/>
      <c r="M76" s="536"/>
      <c r="N76" s="1154"/>
      <c r="O76" s="1154"/>
      <c r="P76" s="557"/>
      <c r="Q76" s="558"/>
    </row>
    <row r="77" spans="1:17" ht="15" thickTop="1">
      <c r="A77" s="526" t="s">
        <v>2564</v>
      </c>
      <c r="B77" s="527" t="s">
        <v>2617</v>
      </c>
      <c r="C77" s="553"/>
      <c r="D77" s="553"/>
      <c r="E77" s="529"/>
      <c r="F77" s="529"/>
      <c r="G77" s="529"/>
      <c r="H77" s="529"/>
      <c r="I77" s="529"/>
      <c r="J77" s="529"/>
      <c r="K77" s="530"/>
      <c r="L77" s="531"/>
      <c r="M77" s="532"/>
      <c r="N77" s="1152"/>
      <c r="O77" s="1152"/>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3"/>
      <c r="O78" s="1153"/>
      <c r="P78" s="45"/>
      <c r="Q78" s="503"/>
    </row>
    <row r="79" spans="1:17" ht="15.75" thickTop="1">
      <c r="A79" s="533"/>
      <c r="B79" s="537" t="s">
        <v>2733</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1"/>
      <c r="O79" s="1151"/>
      <c r="P79" s="45"/>
      <c r="Q79" s="503"/>
    </row>
    <row r="80" spans="1:17" ht="15">
      <c r="A80" s="533"/>
      <c r="B80" s="545"/>
      <c r="C80" s="602">
        <v>0.5</v>
      </c>
      <c r="D80" s="602">
        <v>0.6</v>
      </c>
      <c r="E80" s="602">
        <v>0.7</v>
      </c>
      <c r="F80" s="602">
        <v>0.8</v>
      </c>
      <c r="G80" s="602">
        <v>0.9</v>
      </c>
      <c r="H80" s="602">
        <v>1.0001</v>
      </c>
      <c r="I80" s="659"/>
      <c r="J80" s="659"/>
      <c r="K80" s="667"/>
      <c r="L80" s="668"/>
      <c r="M80" s="669"/>
      <c r="N80" s="1151"/>
      <c r="O80" s="1151"/>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3"/>
      <c r="O81" s="1153"/>
      <c r="P81" s="557"/>
      <c r="Q81" s="558"/>
    </row>
    <row r="82" spans="1:17" ht="15" thickTop="1">
      <c r="A82" s="598"/>
      <c r="B82" s="545" t="s">
        <v>2734</v>
      </c>
      <c r="C82" s="553"/>
      <c r="D82" s="553"/>
      <c r="E82" s="582"/>
      <c r="F82" s="582"/>
      <c r="G82" s="582"/>
      <c r="H82" s="582"/>
      <c r="I82" s="582"/>
      <c r="J82" s="582"/>
      <c r="K82" s="583"/>
      <c r="L82" s="584"/>
      <c r="M82" s="585"/>
      <c r="N82" s="1152"/>
      <c r="O82" s="1152"/>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3"/>
      <c r="O83" s="1153"/>
      <c r="P83" s="45"/>
      <c r="Q83" s="503"/>
    </row>
    <row r="84" spans="1:17" ht="15" thickTop="1">
      <c r="A84" s="598"/>
      <c r="B84" s="537" t="s">
        <v>2742</v>
      </c>
      <c r="C84" s="553"/>
      <c r="D84" s="553"/>
      <c r="E84" s="553"/>
      <c r="F84" s="553"/>
      <c r="G84" s="553"/>
      <c r="H84" s="553"/>
      <c r="I84" s="582"/>
      <c r="J84" s="582"/>
      <c r="K84" s="583"/>
      <c r="L84" s="584"/>
      <c r="M84" s="585"/>
      <c r="N84" s="1152"/>
      <c r="O84" s="1152"/>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3"/>
      <c r="O85" s="1153"/>
      <c r="P85" s="45"/>
      <c r="Q85" s="503"/>
    </row>
    <row r="86" spans="1:17" ht="15" thickTop="1">
      <c r="A86" s="598"/>
      <c r="B86" s="545" t="s">
        <v>2743</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2"/>
      <c r="O86" s="1152"/>
      <c r="P86" s="45"/>
      <c r="Q86" s="503"/>
    </row>
    <row r="87" spans="1:17">
      <c r="A87" s="598"/>
      <c r="B87" s="545"/>
      <c r="C87" s="594"/>
      <c r="D87" s="594"/>
      <c r="E87" s="594"/>
      <c r="F87" s="594"/>
      <c r="G87" s="594"/>
      <c r="H87" s="594"/>
      <c r="I87" s="594"/>
      <c r="J87" s="595"/>
      <c r="K87" s="595"/>
      <c r="L87" s="596"/>
      <c r="M87" s="597"/>
      <c r="N87" s="1152"/>
      <c r="O87" s="1152"/>
      <c r="P87" s="45"/>
      <c r="Q87" s="503"/>
    </row>
    <row r="88" spans="1:17" ht="15.75" thickBot="1">
      <c r="A88" s="533"/>
      <c r="B88" s="542"/>
      <c r="C88" s="559"/>
      <c r="D88" s="535"/>
      <c r="E88" s="535"/>
      <c r="F88" s="535"/>
      <c r="G88" s="535"/>
      <c r="H88" s="535"/>
      <c r="I88" s="535"/>
      <c r="J88" s="535"/>
      <c r="K88" s="535"/>
      <c r="L88" s="535"/>
      <c r="M88" s="535"/>
      <c r="N88" s="1153"/>
      <c r="O88" s="1153"/>
      <c r="P88" s="45"/>
      <c r="Q88" s="503"/>
    </row>
    <row r="89" spans="1:17" s="470" customFormat="1" ht="15" thickTop="1">
      <c r="A89" s="592"/>
      <c r="B89" s="537" t="s">
        <v>2744</v>
      </c>
      <c r="C89" s="553"/>
      <c r="D89" s="553"/>
      <c r="E89" s="553"/>
      <c r="F89" s="553"/>
      <c r="G89" s="553"/>
      <c r="H89" s="553"/>
      <c r="I89" s="553"/>
      <c r="J89" s="553"/>
      <c r="K89" s="553"/>
      <c r="L89" s="553"/>
      <c r="M89" s="580"/>
      <c r="N89" s="1154"/>
      <c r="O89" s="1154"/>
      <c r="P89" s="557"/>
      <c r="Q89" s="558"/>
    </row>
    <row r="90" spans="1:17" s="470" customFormat="1" ht="15.75" thickBot="1">
      <c r="A90" s="552"/>
      <c r="B90" s="542"/>
      <c r="C90" s="559"/>
      <c r="D90" s="535"/>
      <c r="E90" s="535"/>
      <c r="F90" s="535"/>
      <c r="G90" s="535"/>
      <c r="H90" s="535"/>
      <c r="I90" s="535"/>
      <c r="J90" s="535"/>
      <c r="K90" s="535"/>
      <c r="L90" s="535"/>
      <c r="M90" s="536"/>
      <c r="N90" s="1154"/>
      <c r="O90" s="1154"/>
      <c r="P90" s="557"/>
      <c r="Q90" s="558"/>
    </row>
    <row r="91" spans="1:17" ht="15" thickTop="1">
      <c r="A91" s="598"/>
      <c r="B91" s="537">
        <f>B32</f>
        <v>111</v>
      </c>
      <c r="C91" s="548"/>
      <c r="D91" s="548"/>
      <c r="E91" s="548"/>
      <c r="F91" s="548"/>
      <c r="G91" s="553"/>
      <c r="H91" s="554"/>
      <c r="I91" s="554"/>
      <c r="J91" s="554"/>
      <c r="K91" s="554"/>
      <c r="L91" s="555"/>
      <c r="M91" s="556"/>
      <c r="N91" s="1152"/>
      <c r="O91" s="1152"/>
      <c r="P91" s="45"/>
      <c r="Q91" s="503"/>
    </row>
    <row r="92" spans="1:17" ht="15.75" thickBot="1">
      <c r="A92" s="533"/>
      <c r="B92" s="542"/>
      <c r="C92" s="559"/>
      <c r="D92" s="535"/>
      <c r="E92" s="535"/>
      <c r="F92" s="535"/>
      <c r="G92" s="559"/>
      <c r="H92" s="561"/>
      <c r="I92" s="561"/>
      <c r="J92" s="561"/>
      <c r="K92" s="561"/>
      <c r="L92" s="561"/>
      <c r="M92" s="562"/>
      <c r="N92" s="1153"/>
      <c r="O92" s="1153"/>
      <c r="P92" s="45"/>
      <c r="Q92" s="503"/>
    </row>
    <row r="93" spans="1:17" ht="15" thickTop="1">
      <c r="A93" s="598"/>
      <c r="B93" s="537">
        <f>B33</f>
        <v>111</v>
      </c>
      <c r="C93" s="548"/>
      <c r="D93" s="548"/>
      <c r="E93" s="548"/>
      <c r="F93" s="548"/>
      <c r="G93" s="553"/>
      <c r="H93" s="554"/>
      <c r="I93" s="554"/>
      <c r="J93" s="554"/>
      <c r="K93" s="554"/>
      <c r="L93" s="555"/>
      <c r="M93" s="556"/>
      <c r="N93" s="1152"/>
      <c r="O93" s="1152"/>
      <c r="P93" s="45"/>
      <c r="Q93" s="503"/>
    </row>
    <row r="94" spans="1:17" ht="15.75" thickBot="1">
      <c r="A94" s="533"/>
      <c r="B94" s="542"/>
      <c r="C94" s="559"/>
      <c r="D94" s="535"/>
      <c r="E94" s="535"/>
      <c r="F94" s="535"/>
      <c r="G94" s="559"/>
      <c r="H94" s="561"/>
      <c r="I94" s="561"/>
      <c r="J94" s="561"/>
      <c r="K94" s="561"/>
      <c r="L94" s="561"/>
      <c r="M94" s="562"/>
      <c r="N94" s="1153"/>
      <c r="O94" s="1153"/>
      <c r="P94" s="45"/>
      <c r="Q94" s="503"/>
    </row>
    <row r="95" spans="1:17" ht="15" thickTop="1">
      <c r="A95" s="598"/>
      <c r="B95" s="635">
        <f>B34</f>
        <v>111</v>
      </c>
      <c r="C95" s="548"/>
      <c r="D95" s="548"/>
      <c r="E95" s="548"/>
      <c r="F95" s="548"/>
      <c r="G95" s="553"/>
      <c r="H95" s="554"/>
      <c r="I95" s="554"/>
      <c r="J95" s="554"/>
      <c r="K95" s="554"/>
      <c r="L95" s="555"/>
      <c r="M95" s="556"/>
      <c r="N95" s="1153"/>
      <c r="O95" s="1153"/>
      <c r="P95" s="636"/>
      <c r="Q95" s="637"/>
    </row>
    <row r="96" spans="1:17" ht="15.75" thickBot="1">
      <c r="A96" s="533"/>
      <c r="B96" s="542"/>
      <c r="C96" s="559"/>
      <c r="D96" s="559"/>
      <c r="E96" s="559"/>
      <c r="F96" s="559"/>
      <c r="G96" s="559"/>
      <c r="H96" s="561"/>
      <c r="I96" s="561"/>
      <c r="J96" s="561"/>
      <c r="K96" s="561"/>
      <c r="L96" s="561"/>
      <c r="M96" s="562"/>
      <c r="N96" s="1153"/>
      <c r="O96" s="1153"/>
      <c r="P96" s="45"/>
      <c r="Q96" s="503"/>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2745</v>
      </c>
      <c r="B1" s="394"/>
      <c r="C1" s="395" t="s">
        <v>2797</v>
      </c>
      <c r="D1" s="754"/>
      <c r="E1" s="754"/>
      <c r="F1" s="753" t="s">
        <v>2644</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2331</v>
      </c>
      <c r="B2" s="670" t="e">
        <f>F61</f>
        <v>#DIV/0!</v>
      </c>
      <c r="C2" s="1125"/>
      <c r="D2" s="1125"/>
      <c r="E2" s="1125"/>
      <c r="F2" s="1126"/>
      <c r="G2" s="1125"/>
      <c r="H2" s="1125"/>
      <c r="I2" s="1125"/>
      <c r="J2" s="1125"/>
      <c r="K2" s="1127"/>
      <c r="L2" s="1128"/>
      <c r="M2" s="1129"/>
      <c r="N2" s="1129"/>
      <c r="O2" s="1129"/>
      <c r="P2" s="767"/>
      <c r="Q2" s="767"/>
      <c r="R2" s="767"/>
      <c r="S2" s="767"/>
      <c r="T2" s="767"/>
      <c r="U2" s="767"/>
      <c r="V2" s="767"/>
      <c r="W2" s="767"/>
      <c r="X2" s="767"/>
      <c r="Y2" s="767"/>
      <c r="Z2" s="767"/>
      <c r="AA2" s="767"/>
      <c r="AB2" s="767"/>
      <c r="AC2" s="768"/>
    </row>
    <row r="3" spans="1:29" s="397" customFormat="1" ht="28.5" customHeight="1" thickBot="1">
      <c r="A3" s="246" t="s">
        <v>2333</v>
      </c>
      <c r="B3" s="608" t="e">
        <f>ROUND(IF(D3="",B2*10000/'数据-汇总表'!E3,B2*10000/D3),0)</f>
        <v>#DIV/0!</v>
      </c>
      <c r="C3" s="246" t="s">
        <v>2747</v>
      </c>
      <c r="D3" s="1584"/>
      <c r="E3" s="1125"/>
      <c r="F3" s="1126"/>
      <c r="G3" s="1125"/>
      <c r="H3" s="1125"/>
      <c r="I3" s="1125"/>
      <c r="J3" s="1125"/>
      <c r="K3" s="1127"/>
      <c r="L3" s="1128"/>
      <c r="M3" s="1129"/>
      <c r="N3" s="1129"/>
      <c r="O3" s="1129"/>
      <c r="P3" s="767"/>
      <c r="Q3" s="767"/>
      <c r="R3" s="767"/>
      <c r="S3" s="767"/>
      <c r="T3" s="767"/>
      <c r="U3" s="767"/>
      <c r="V3" s="767"/>
      <c r="W3" s="767"/>
      <c r="X3" s="767"/>
      <c r="Y3" s="767"/>
      <c r="Z3" s="767"/>
      <c r="AA3" s="767"/>
      <c r="AB3" s="785"/>
      <c r="AC3" s="781"/>
    </row>
    <row r="4" spans="1:29" ht="15">
      <c r="A4" s="400" t="s">
        <v>2646</v>
      </c>
      <c r="B4" s="401"/>
      <c r="C4" s="3139" t="s">
        <v>2647</v>
      </c>
      <c r="D4" s="3152"/>
      <c r="E4" s="3153" t="s">
        <v>2648</v>
      </c>
      <c r="F4" s="3154"/>
      <c r="G4" s="3139" t="s">
        <v>2649</v>
      </c>
      <c r="H4" s="3152"/>
      <c r="I4" s="3139" t="s">
        <v>2650</v>
      </c>
      <c r="J4" s="3152"/>
      <c r="K4" s="609" t="s">
        <v>2651</v>
      </c>
      <c r="L4" s="1130"/>
      <c r="M4" s="1131"/>
      <c r="N4" s="1131"/>
      <c r="O4" s="1131"/>
      <c r="P4" s="3155" t="s">
        <v>2652</v>
      </c>
      <c r="Q4" s="3156"/>
      <c r="R4" s="3161" t="s">
        <v>2648</v>
      </c>
      <c r="S4" s="3162"/>
      <c r="T4" s="3161" t="s">
        <v>2649</v>
      </c>
      <c r="U4" s="3162"/>
      <c r="V4" s="3148" t="s">
        <v>2650</v>
      </c>
      <c r="W4" s="3148"/>
      <c r="X4" s="1814"/>
      <c r="Y4" s="3161" t="s">
        <v>2652</v>
      </c>
      <c r="Z4" s="3162"/>
      <c r="AA4" s="3149" t="s">
        <v>2648</v>
      </c>
      <c r="AB4" s="3150" t="s">
        <v>2649</v>
      </c>
      <c r="AC4" s="3149" t="s">
        <v>2650</v>
      </c>
    </row>
    <row r="5" spans="1:29" ht="15">
      <c r="A5" s="403"/>
      <c r="B5" s="404"/>
      <c r="C5" s="3213" t="s">
        <v>2543</v>
      </c>
      <c r="D5" s="3170"/>
      <c r="E5" s="3216" t="s">
        <v>2544</v>
      </c>
      <c r="F5" s="3177"/>
      <c r="G5" s="3213" t="s">
        <v>2545</v>
      </c>
      <c r="H5" s="3170"/>
      <c r="I5" s="3213" t="s">
        <v>2546</v>
      </c>
      <c r="J5" s="3170"/>
      <c r="K5" s="609"/>
      <c r="L5" s="1130"/>
      <c r="M5" s="1131"/>
      <c r="N5" s="1131"/>
      <c r="O5" s="1131"/>
      <c r="P5" s="3157"/>
      <c r="Q5" s="3158"/>
      <c r="R5" s="3163"/>
      <c r="S5" s="3164"/>
      <c r="T5" s="3163"/>
      <c r="U5" s="3164"/>
      <c r="V5" s="3148"/>
      <c r="W5" s="3148"/>
      <c r="X5" s="1814"/>
      <c r="Y5" s="3163"/>
      <c r="Z5" s="3164"/>
      <c r="AA5" s="3150"/>
      <c r="AB5" s="3150"/>
      <c r="AC5" s="3150"/>
    </row>
    <row r="6" spans="1:29" ht="15.75" thickBot="1">
      <c r="A6" s="405"/>
      <c r="B6" s="406"/>
      <c r="C6" s="3232" t="s">
        <v>2798</v>
      </c>
      <c r="D6" s="3233"/>
      <c r="E6" s="3234" t="s">
        <v>2798</v>
      </c>
      <c r="F6" s="3235"/>
      <c r="G6" s="3232" t="s">
        <v>2798</v>
      </c>
      <c r="H6" s="3233"/>
      <c r="I6" s="3232" t="s">
        <v>2798</v>
      </c>
      <c r="J6" s="3233"/>
      <c r="K6" s="609" t="s">
        <v>2548</v>
      </c>
      <c r="L6" s="1130"/>
      <c r="M6" s="1131"/>
      <c r="N6" s="1131"/>
      <c r="O6" s="1131"/>
      <c r="P6" s="3159"/>
      <c r="Q6" s="3160"/>
      <c r="R6" s="3163"/>
      <c r="S6" s="3164"/>
      <c r="T6" s="3165"/>
      <c r="U6" s="3166"/>
      <c r="V6" s="3148"/>
      <c r="W6" s="3148"/>
      <c r="X6" s="1814"/>
      <c r="Y6" s="3165"/>
      <c r="Z6" s="3166"/>
      <c r="AA6" s="3151"/>
      <c r="AB6" s="3151"/>
      <c r="AC6" s="3151"/>
    </row>
    <row r="7" spans="1:29" s="116" customFormat="1" ht="15.75" thickBot="1">
      <c r="A7" s="407" t="s">
        <v>2549</v>
      </c>
      <c r="B7" s="408"/>
      <c r="C7" s="409">
        <f>'数据-取费表'!B2</f>
        <v>43025</v>
      </c>
      <c r="D7" s="410">
        <v>100</v>
      </c>
      <c r="E7" s="411"/>
      <c r="F7" s="412">
        <f>SUMIF(65:65,YEAR(E7)&amp;"-"&amp;INT((MONTH(E7)+2)/3),66:66)</f>
        <v>0</v>
      </c>
      <c r="G7" s="2695"/>
      <c r="H7" s="410">
        <f>SUMIF(65:65,YEAR(G7)&amp;"-"&amp;INT((MONTH(G7)+2)/3),66:66)</f>
        <v>0</v>
      </c>
      <c r="I7" s="2695"/>
      <c r="J7" s="410">
        <f>SUMIF(65:65,YEAR(I7)&amp;"-"&amp;INT((MONTH(I7)+2)/3),66:66)</f>
        <v>0</v>
      </c>
      <c r="K7" s="610"/>
      <c r="L7" s="1132"/>
      <c r="M7" s="1133"/>
      <c r="N7" s="1133"/>
      <c r="O7" s="1133"/>
      <c r="P7" s="3171" t="s">
        <v>2550</v>
      </c>
      <c r="Q7" s="3173"/>
      <c r="R7" s="769" t="s">
        <v>17</v>
      </c>
      <c r="S7" s="770">
        <f t="shared" ref="S7:S15" si="0">F7</f>
        <v>0</v>
      </c>
      <c r="T7" s="769" t="s">
        <v>17</v>
      </c>
      <c r="U7" s="770">
        <f t="shared" ref="U7:U15" si="1">H7</f>
        <v>0</v>
      </c>
      <c r="V7" s="769" t="s">
        <v>17</v>
      </c>
      <c r="W7" s="770">
        <f t="shared" ref="W7:W15" si="2">J7</f>
        <v>0</v>
      </c>
      <c r="X7" s="771"/>
      <c r="Y7" s="3171" t="s">
        <v>2550</v>
      </c>
      <c r="Z7" s="3172"/>
      <c r="AA7" s="772" t="e">
        <f>D7/F7</f>
        <v>#DIV/0!</v>
      </c>
      <c r="AB7" s="772" t="e">
        <f>D7/H7</f>
        <v>#DIV/0!</v>
      </c>
      <c r="AC7" s="772" t="e">
        <f>D7/J7</f>
        <v>#DIV/0!</v>
      </c>
    </row>
    <row r="8" spans="1:29" s="116" customFormat="1" ht="15.75" thickBot="1">
      <c r="A8" s="407" t="s">
        <v>2551</v>
      </c>
      <c r="B8" s="408"/>
      <c r="C8" s="413" t="s">
        <v>2552</v>
      </c>
      <c r="D8" s="410">
        <v>100</v>
      </c>
      <c r="E8" s="413"/>
      <c r="F8" s="412">
        <f>SUMIF(68:68,E8,69:69)-SUMIF(68:68,C8,69:69)+100</f>
        <v>0</v>
      </c>
      <c r="G8" s="413"/>
      <c r="H8" s="410">
        <f>SUMIF(68:68,G8,69:69)-SUMIF(68:68,C8,69:69)+100</f>
        <v>0</v>
      </c>
      <c r="I8" s="413"/>
      <c r="J8" s="410">
        <f>SUMIF(68:68,I8,69:69)-SUMIF(68:68,C8,69:69)+100</f>
        <v>0</v>
      </c>
      <c r="K8" s="610"/>
      <c r="L8" s="1132"/>
      <c r="M8" s="1133"/>
      <c r="N8" s="1133"/>
      <c r="O8" s="1133"/>
      <c r="P8" s="3171" t="s">
        <v>2553</v>
      </c>
      <c r="Q8" s="3172"/>
      <c r="R8" s="769" t="s">
        <v>17</v>
      </c>
      <c r="S8" s="770">
        <f t="shared" si="0"/>
        <v>0</v>
      </c>
      <c r="T8" s="769" t="s">
        <v>17</v>
      </c>
      <c r="U8" s="770">
        <f t="shared" si="1"/>
        <v>0</v>
      </c>
      <c r="V8" s="769" t="s">
        <v>17</v>
      </c>
      <c r="W8" s="770">
        <f t="shared" si="2"/>
        <v>0</v>
      </c>
      <c r="X8" s="771"/>
      <c r="Y8" s="3171" t="s">
        <v>2553</v>
      </c>
      <c r="Z8" s="3172"/>
      <c r="AA8" s="772" t="e">
        <f t="shared" ref="AA8:AA40" si="3">D8/F8</f>
        <v>#DIV/0!</v>
      </c>
      <c r="AB8" s="772" t="e">
        <f t="shared" ref="AB8:AB40" si="4">D8/H8</f>
        <v>#DIV/0!</v>
      </c>
      <c r="AC8" s="772" t="e">
        <f t="shared" ref="AC8:AC40" si="5">D8/J8</f>
        <v>#DIV/0!</v>
      </c>
    </row>
    <row r="9" spans="1:29" s="116" customFormat="1">
      <c r="A9" s="414" t="s">
        <v>2554</v>
      </c>
      <c r="B9" s="70" t="s">
        <v>2555</v>
      </c>
      <c r="C9" s="2698"/>
      <c r="D9" s="133">
        <v>100</v>
      </c>
      <c r="E9" s="2698"/>
      <c r="F9" s="133">
        <f>SUMIF(70:70,E9,71:71)-SUMIF(70:70,C9,71:71)+100</f>
        <v>100</v>
      </c>
      <c r="G9" s="2698"/>
      <c r="H9" s="133">
        <f>SUMIF(70:70,G9,71:71)-SUMIF(70:70,C9,71:71)+100</f>
        <v>100</v>
      </c>
      <c r="I9" s="2698"/>
      <c r="J9" s="133">
        <f>SUMIF(70:70,I9,71:71)-SUMIF(70:70,C9,71:71)+100</f>
        <v>100</v>
      </c>
      <c r="K9" s="610"/>
      <c r="L9" s="1132"/>
      <c r="M9" s="1133"/>
      <c r="N9" s="1133"/>
      <c r="O9" s="1134"/>
      <c r="P9" s="3142" t="s">
        <v>2556</v>
      </c>
      <c r="Q9" s="1796" t="str">
        <f t="shared" ref="Q9:Q15" si="6">B9</f>
        <v>用途</v>
      </c>
      <c r="R9" s="769" t="s">
        <v>17</v>
      </c>
      <c r="S9" s="770">
        <f t="shared" si="0"/>
        <v>100</v>
      </c>
      <c r="T9" s="769" t="s">
        <v>17</v>
      </c>
      <c r="U9" s="770">
        <f t="shared" si="1"/>
        <v>100</v>
      </c>
      <c r="V9" s="769" t="s">
        <v>17</v>
      </c>
      <c r="W9" s="770">
        <f t="shared" si="2"/>
        <v>100</v>
      </c>
      <c r="X9" s="771"/>
      <c r="Y9" s="2990" t="s">
        <v>2557</v>
      </c>
      <c r="Z9" s="55" t="str">
        <f t="shared" ref="Z9:Z15" si="7">Q9</f>
        <v>用途</v>
      </c>
      <c r="AA9" s="772">
        <f t="shared" si="3"/>
        <v>1</v>
      </c>
      <c r="AB9" s="772">
        <f t="shared" si="4"/>
        <v>1</v>
      </c>
      <c r="AC9" s="772">
        <f t="shared" si="5"/>
        <v>1</v>
      </c>
    </row>
    <row r="10" spans="1:29" s="426" customFormat="1" ht="27">
      <c r="A10" s="420"/>
      <c r="B10" s="421" t="s">
        <v>2558</v>
      </c>
      <c r="C10" s="431"/>
      <c r="D10" s="134">
        <v>100</v>
      </c>
      <c r="E10" s="431"/>
      <c r="F10" s="134">
        <f>ROUND(100/'数据-取费表'!G16,0)</f>
        <v>100</v>
      </c>
      <c r="G10" s="431"/>
      <c r="H10" s="134">
        <f>ROUND(100/'数据-取费表'!G16,0)</f>
        <v>100</v>
      </c>
      <c r="I10" s="431"/>
      <c r="J10" s="134">
        <f>ROUND(100/'数据-取费表'!G16,0)</f>
        <v>100</v>
      </c>
      <c r="K10" s="671"/>
      <c r="L10" s="1135"/>
      <c r="M10" s="1136"/>
      <c r="N10" s="1136"/>
      <c r="O10" s="1137"/>
      <c r="P10" s="3142"/>
      <c r="Q10" s="1796" t="str">
        <f t="shared" si="6"/>
        <v>土地使用年限（年）</v>
      </c>
      <c r="R10" s="769" t="s">
        <v>17</v>
      </c>
      <c r="S10" s="770">
        <f t="shared" si="0"/>
        <v>100</v>
      </c>
      <c r="T10" s="769" t="s">
        <v>17</v>
      </c>
      <c r="U10" s="770">
        <f t="shared" si="1"/>
        <v>100</v>
      </c>
      <c r="V10" s="769" t="s">
        <v>17</v>
      </c>
      <c r="W10" s="770">
        <f t="shared" si="2"/>
        <v>100</v>
      </c>
      <c r="X10" s="771"/>
      <c r="Y10" s="2990"/>
      <c r="Z10" s="55" t="str">
        <f t="shared" si="7"/>
        <v>土地使用年限（年）</v>
      </c>
      <c r="AA10" s="772">
        <f t="shared" si="3"/>
        <v>1</v>
      </c>
      <c r="AB10" s="772">
        <f t="shared" si="4"/>
        <v>1</v>
      </c>
      <c r="AC10" s="772">
        <f t="shared" si="5"/>
        <v>1</v>
      </c>
    </row>
    <row r="11" spans="1:29" ht="15">
      <c r="A11" s="427"/>
      <c r="B11" s="421" t="s">
        <v>2559</v>
      </c>
      <c r="C11" s="428"/>
      <c r="D11" s="134">
        <v>100</v>
      </c>
      <c r="E11" s="428"/>
      <c r="F11" s="134" t="e">
        <f>LOOKUP(E11,75:75,76:76)-LOOKUP(C11,75:75,76:76)+100</f>
        <v>#N/A</v>
      </c>
      <c r="G11" s="429"/>
      <c r="H11" s="134" t="e">
        <f>LOOKUP(G11,75:75,76:76)-LOOKUP(C11,75:75,76:76)+100</f>
        <v>#N/A</v>
      </c>
      <c r="I11" s="428"/>
      <c r="J11" s="134" t="e">
        <f>LOOKUP(I11,75:75,76:76)-LOOKUP(C11,75:75,76:76)+100</f>
        <v>#N/A</v>
      </c>
      <c r="K11" s="672"/>
      <c r="L11" s="1138"/>
      <c r="M11" s="1131"/>
      <c r="N11" s="1131"/>
      <c r="O11" s="1139"/>
      <c r="P11" s="3142"/>
      <c r="Q11" s="1796" t="str">
        <f t="shared" si="6"/>
        <v>容积率</v>
      </c>
      <c r="R11" s="769" t="s">
        <v>17</v>
      </c>
      <c r="S11" s="770" t="e">
        <f t="shared" si="0"/>
        <v>#N/A</v>
      </c>
      <c r="T11" s="769" t="s">
        <v>17</v>
      </c>
      <c r="U11" s="770" t="e">
        <f t="shared" si="1"/>
        <v>#N/A</v>
      </c>
      <c r="V11" s="769" t="s">
        <v>17</v>
      </c>
      <c r="W11" s="770" t="e">
        <f t="shared" si="2"/>
        <v>#N/A</v>
      </c>
      <c r="X11" s="771"/>
      <c r="Y11" s="2990"/>
      <c r="Z11" s="55" t="str">
        <f t="shared" si="7"/>
        <v>容积率</v>
      </c>
      <c r="AA11" s="772" t="e">
        <f t="shared" si="3"/>
        <v>#N/A</v>
      </c>
      <c r="AB11" s="772" t="e">
        <f t="shared" si="4"/>
        <v>#N/A</v>
      </c>
      <c r="AC11" s="772" t="e">
        <f t="shared" si="5"/>
        <v>#N/A</v>
      </c>
    </row>
    <row r="12" spans="1:29" s="116" customFormat="1" ht="15">
      <c r="A12" s="430"/>
      <c r="B12" s="2599">
        <v>111</v>
      </c>
      <c r="C12" s="431"/>
      <c r="D12" s="432">
        <v>100</v>
      </c>
      <c r="E12" s="548"/>
      <c r="F12" s="134">
        <f>SUMIF(77:77,E12,78:78)-SUMIF(77:77,C12,78:78)+100</f>
        <v>100</v>
      </c>
      <c r="G12" s="673"/>
      <c r="H12" s="134">
        <f>SUMIF(77:77,G12,78:78)-SUMIF(77:77,C12,78:78)+100</f>
        <v>100</v>
      </c>
      <c r="I12" s="548"/>
      <c r="J12" s="134">
        <f>SUMIF(77:77,I12,78:78)-SUMIF(77:77,C12,78:78)+100</f>
        <v>100</v>
      </c>
      <c r="K12" s="671"/>
      <c r="L12" s="1132"/>
      <c r="M12" s="1133"/>
      <c r="N12" s="1133"/>
      <c r="O12" s="1134"/>
      <c r="P12" s="3142"/>
      <c r="Q12" s="1796">
        <f t="shared" si="6"/>
        <v>111</v>
      </c>
      <c r="R12" s="769" t="s">
        <v>17</v>
      </c>
      <c r="S12" s="770">
        <f t="shared" si="0"/>
        <v>100</v>
      </c>
      <c r="T12" s="769" t="s">
        <v>17</v>
      </c>
      <c r="U12" s="770">
        <f t="shared" si="1"/>
        <v>100</v>
      </c>
      <c r="V12" s="769" t="s">
        <v>17</v>
      </c>
      <c r="W12" s="770">
        <f t="shared" si="2"/>
        <v>100</v>
      </c>
      <c r="X12" s="771"/>
      <c r="Y12" s="2990"/>
      <c r="Z12" s="55">
        <f t="shared" si="7"/>
        <v>111</v>
      </c>
      <c r="AA12" s="772">
        <f>D12/F12</f>
        <v>1</v>
      </c>
      <c r="AB12" s="772">
        <f>D12/H12</f>
        <v>1</v>
      </c>
      <c r="AC12" s="772">
        <f>D12/J12</f>
        <v>1</v>
      </c>
    </row>
    <row r="13" spans="1:29" ht="15">
      <c r="A13" s="427"/>
      <c r="B13" s="2599">
        <v>111</v>
      </c>
      <c r="C13" s="433"/>
      <c r="D13" s="434">
        <v>100</v>
      </c>
      <c r="E13" s="548"/>
      <c r="F13" s="134">
        <f>SUMIF(79:79,E13,80:80)-SUMIF(79:79,C13,80:80)+100</f>
        <v>100</v>
      </c>
      <c r="G13" s="673"/>
      <c r="H13" s="434">
        <f>SUMIF(79:79,G13,80:80)-SUMIF(79:79,C13,80:80)+100</f>
        <v>100</v>
      </c>
      <c r="I13" s="548"/>
      <c r="J13" s="434">
        <f>SUMIF(79:79,I13,80:80)-SUMIF(79:79,C13,80:80)+100</f>
        <v>100</v>
      </c>
      <c r="K13" s="671"/>
      <c r="L13" s="1140"/>
      <c r="M13" s="1131"/>
      <c r="N13" s="1131"/>
      <c r="O13" s="1139"/>
      <c r="P13" s="3142"/>
      <c r="Q13" s="1796">
        <f t="shared" si="6"/>
        <v>111</v>
      </c>
      <c r="R13" s="769" t="s">
        <v>17</v>
      </c>
      <c r="S13" s="770">
        <f t="shared" si="0"/>
        <v>100</v>
      </c>
      <c r="T13" s="769" t="s">
        <v>17</v>
      </c>
      <c r="U13" s="770">
        <f t="shared" si="1"/>
        <v>100</v>
      </c>
      <c r="V13" s="769" t="s">
        <v>17</v>
      </c>
      <c r="W13" s="770">
        <f t="shared" si="2"/>
        <v>100</v>
      </c>
      <c r="X13" s="771"/>
      <c r="Y13" s="2990"/>
      <c r="Z13" s="55">
        <f t="shared" si="7"/>
        <v>111</v>
      </c>
      <c r="AA13" s="772">
        <f t="shared" si="3"/>
        <v>1</v>
      </c>
      <c r="AB13" s="772">
        <f t="shared" si="4"/>
        <v>1</v>
      </c>
      <c r="AC13" s="772">
        <f t="shared" si="5"/>
        <v>1</v>
      </c>
    </row>
    <row r="14" spans="1:29" ht="15.75" thickBot="1">
      <c r="A14" s="435"/>
      <c r="B14" s="2601">
        <v>111</v>
      </c>
      <c r="C14" s="436"/>
      <c r="D14" s="437">
        <v>100</v>
      </c>
      <c r="E14" s="548"/>
      <c r="F14" s="437">
        <f>SUMIF(81:81,E14,82:82)-SUMIF(81:81,C14,82:82)+100</f>
        <v>100</v>
      </c>
      <c r="G14" s="673"/>
      <c r="H14" s="437">
        <f>SUMIF(81:81,G14,82:82)-SUMIF(81:81,C14,82:82)+100</f>
        <v>100</v>
      </c>
      <c r="I14" s="548"/>
      <c r="J14" s="437">
        <f>SUMIF(81:81,I14,82:82)-SUMIF(81:81,C14,82:82)+100</f>
        <v>100</v>
      </c>
      <c r="K14" s="671"/>
      <c r="L14" s="1140"/>
      <c r="M14" s="1131"/>
      <c r="N14" s="1131"/>
      <c r="O14" s="1139"/>
      <c r="P14" s="3142"/>
      <c r="Q14" s="1796">
        <f t="shared" si="6"/>
        <v>111</v>
      </c>
      <c r="R14" s="769" t="s">
        <v>17</v>
      </c>
      <c r="S14" s="770">
        <f t="shared" si="0"/>
        <v>100</v>
      </c>
      <c r="T14" s="769" t="s">
        <v>17</v>
      </c>
      <c r="U14" s="770">
        <f t="shared" si="1"/>
        <v>100</v>
      </c>
      <c r="V14" s="769" t="s">
        <v>17</v>
      </c>
      <c r="W14" s="770">
        <f t="shared" si="2"/>
        <v>100</v>
      </c>
      <c r="X14" s="771"/>
      <c r="Y14" s="2990"/>
      <c r="Z14" s="55">
        <f t="shared" si="7"/>
        <v>111</v>
      </c>
      <c r="AA14" s="772">
        <f t="shared" si="3"/>
        <v>1</v>
      </c>
      <c r="AB14" s="772">
        <f t="shared" si="4"/>
        <v>1</v>
      </c>
      <c r="AC14" s="772">
        <f t="shared" si="5"/>
        <v>1</v>
      </c>
    </row>
    <row r="15" spans="1:29" ht="57">
      <c r="A15" s="439" t="s">
        <v>2560</v>
      </c>
      <c r="B15" s="628" t="s">
        <v>2799</v>
      </c>
      <c r="C15" s="2692"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0"/>
      <c r="M15" s="1131"/>
      <c r="N15" s="1131"/>
      <c r="O15" s="1139"/>
      <c r="P15" s="3144" t="s">
        <v>2561</v>
      </c>
      <c r="Q15" s="1811" t="str">
        <f t="shared" si="6"/>
        <v>产业集聚程度</v>
      </c>
      <c r="R15" s="773" t="s">
        <v>17</v>
      </c>
      <c r="S15" s="774">
        <f t="shared" si="0"/>
        <v>100</v>
      </c>
      <c r="T15" s="773" t="s">
        <v>17</v>
      </c>
      <c r="U15" s="774">
        <f t="shared" si="1"/>
        <v>100</v>
      </c>
      <c r="V15" s="773" t="s">
        <v>17</v>
      </c>
      <c r="W15" s="774">
        <f t="shared" si="2"/>
        <v>100</v>
      </c>
      <c r="X15" s="1814"/>
      <c r="Y15" s="3144" t="s">
        <v>2561</v>
      </c>
      <c r="Z15" s="1815" t="str">
        <f t="shared" si="7"/>
        <v>产业集聚程度</v>
      </c>
      <c r="AA15" s="1812">
        <f t="shared" si="3"/>
        <v>1</v>
      </c>
      <c r="AB15" s="1812">
        <f t="shared" si="4"/>
        <v>1</v>
      </c>
      <c r="AC15" s="1812">
        <f t="shared" si="5"/>
        <v>1</v>
      </c>
    </row>
    <row r="16" spans="1:29" ht="15">
      <c r="A16" s="427"/>
      <c r="B16" s="629"/>
      <c r="C16" s="446"/>
      <c r="D16" s="447"/>
      <c r="E16" s="2610"/>
      <c r="F16" s="447"/>
      <c r="G16" s="2610"/>
      <c r="H16" s="449"/>
      <c r="I16" s="2610"/>
      <c r="J16" s="447"/>
      <c r="K16" s="671"/>
      <c r="L16" s="1140"/>
      <c r="M16" s="1131"/>
      <c r="N16" s="1131"/>
      <c r="O16" s="1139"/>
      <c r="P16" s="3145"/>
      <c r="Q16" s="1811"/>
      <c r="R16" s="773"/>
      <c r="S16" s="774"/>
      <c r="T16" s="773"/>
      <c r="U16" s="774"/>
      <c r="V16" s="773"/>
      <c r="W16" s="774"/>
      <c r="X16" s="1814"/>
      <c r="Y16" s="3145"/>
      <c r="Z16" s="1815"/>
      <c r="AA16" s="1812">
        <v>1</v>
      </c>
      <c r="AB16" s="1812">
        <v>1</v>
      </c>
      <c r="AC16" s="1812">
        <v>1</v>
      </c>
    </row>
    <row r="17" spans="1:29" ht="85.5">
      <c r="A17" s="427"/>
      <c r="B17" s="630" t="s">
        <v>2710</v>
      </c>
      <c r="C17" s="2606"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0"/>
      <c r="M17" s="1131"/>
      <c r="N17" s="1131"/>
      <c r="O17" s="1139"/>
      <c r="P17" s="3145"/>
      <c r="Q17" s="1811" t="str">
        <f>B17</f>
        <v>交通便捷度</v>
      </c>
      <c r="R17" s="773" t="s">
        <v>17</v>
      </c>
      <c r="S17" s="774">
        <f>F17</f>
        <v>100</v>
      </c>
      <c r="T17" s="773" t="s">
        <v>17</v>
      </c>
      <c r="U17" s="774">
        <f>H17</f>
        <v>100</v>
      </c>
      <c r="V17" s="773" t="s">
        <v>17</v>
      </c>
      <c r="W17" s="774">
        <f>J17</f>
        <v>100</v>
      </c>
      <c r="X17" s="1814"/>
      <c r="Y17" s="3145"/>
      <c r="Z17" s="1815" t="str">
        <f>Q17</f>
        <v>交通便捷度</v>
      </c>
      <c r="AA17" s="1812">
        <f t="shared" si="3"/>
        <v>1</v>
      </c>
      <c r="AB17" s="1812">
        <f t="shared" si="4"/>
        <v>1</v>
      </c>
      <c r="AC17" s="1812">
        <f t="shared" si="5"/>
        <v>1</v>
      </c>
    </row>
    <row r="18" spans="1:29" ht="15">
      <c r="A18" s="427"/>
      <c r="B18" s="631"/>
      <c r="C18" s="446"/>
      <c r="D18" s="447"/>
      <c r="E18" s="2604"/>
      <c r="F18" s="447"/>
      <c r="G18" s="2604"/>
      <c r="H18" s="447"/>
      <c r="I18" s="2603"/>
      <c r="J18" s="447"/>
      <c r="K18" s="671"/>
      <c r="L18" s="1140"/>
      <c r="M18" s="1131"/>
      <c r="N18" s="1131"/>
      <c r="O18" s="1139"/>
      <c r="P18" s="3145"/>
      <c r="Q18" s="1811"/>
      <c r="R18" s="773"/>
      <c r="S18" s="774"/>
      <c r="T18" s="773"/>
      <c r="U18" s="774"/>
      <c r="V18" s="773"/>
      <c r="W18" s="774"/>
      <c r="X18" s="1814"/>
      <c r="Y18" s="3145"/>
      <c r="Z18" s="1815"/>
      <c r="AA18" s="1812">
        <v>1</v>
      </c>
      <c r="AB18" s="1812">
        <v>1</v>
      </c>
      <c r="AC18" s="1812">
        <v>1</v>
      </c>
    </row>
    <row r="19" spans="1:29" ht="15">
      <c r="A19" s="427"/>
      <c r="B19" s="630" t="s">
        <v>2749</v>
      </c>
      <c r="C19" s="2606">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0"/>
      <c r="M19" s="1131"/>
      <c r="N19" s="1131"/>
      <c r="O19" s="1139"/>
      <c r="P19" s="3145"/>
      <c r="Q19" s="1811" t="str">
        <f t="shared" ref="Q19:Q33" si="8">B19</f>
        <v>区域土地利用方向</v>
      </c>
      <c r="R19" s="773" t="s">
        <v>17</v>
      </c>
      <c r="S19" s="774">
        <f>F19</f>
        <v>100</v>
      </c>
      <c r="T19" s="773" t="s">
        <v>17</v>
      </c>
      <c r="U19" s="774">
        <f>H19</f>
        <v>100</v>
      </c>
      <c r="V19" s="773" t="s">
        <v>17</v>
      </c>
      <c r="W19" s="774">
        <f>J19</f>
        <v>100</v>
      </c>
      <c r="X19" s="1814"/>
      <c r="Y19" s="3145"/>
      <c r="Z19" s="1815" t="str">
        <f>Q19</f>
        <v>区域土地利用方向</v>
      </c>
      <c r="AA19" s="1812">
        <f t="shared" si="3"/>
        <v>1</v>
      </c>
      <c r="AB19" s="1812">
        <f t="shared" si="4"/>
        <v>1</v>
      </c>
      <c r="AC19" s="1812">
        <f t="shared" si="5"/>
        <v>1</v>
      </c>
    </row>
    <row r="20" spans="1:29" ht="15">
      <c r="A20" s="403"/>
      <c r="B20" s="631"/>
      <c r="C20" s="446"/>
      <c r="D20" s="447"/>
      <c r="E20" s="2604"/>
      <c r="F20" s="447"/>
      <c r="G20" s="2604"/>
      <c r="H20" s="447"/>
      <c r="I20" s="2604"/>
      <c r="J20" s="447"/>
      <c r="K20" s="811"/>
      <c r="L20" s="1140"/>
      <c r="M20" s="1131"/>
      <c r="N20" s="1131"/>
      <c r="O20" s="1139"/>
      <c r="P20" s="3145"/>
      <c r="Q20" s="1811"/>
      <c r="R20" s="773"/>
      <c r="S20" s="774"/>
      <c r="T20" s="773"/>
      <c r="U20" s="774"/>
      <c r="V20" s="773"/>
      <c r="W20" s="774"/>
      <c r="X20" s="1814"/>
      <c r="Y20" s="3145"/>
      <c r="Z20" s="1815"/>
      <c r="AA20" s="1812"/>
      <c r="AB20" s="1812"/>
      <c r="AC20" s="1812"/>
    </row>
    <row r="21" spans="1:29" ht="71.25">
      <c r="A21" s="403"/>
      <c r="B21" s="630" t="s">
        <v>2800</v>
      </c>
      <c r="C21" s="2606"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0"/>
      <c r="M21" s="1131"/>
      <c r="N21" s="1131"/>
      <c r="O21" s="1139"/>
      <c r="P21" s="3145"/>
      <c r="Q21" s="1811" t="str">
        <f t="shared" si="8"/>
        <v>环境状况</v>
      </c>
      <c r="R21" s="773" t="s">
        <v>17</v>
      </c>
      <c r="S21" s="774">
        <f>F21</f>
        <v>100</v>
      </c>
      <c r="T21" s="773" t="s">
        <v>17</v>
      </c>
      <c r="U21" s="774">
        <f>H21</f>
        <v>100</v>
      </c>
      <c r="V21" s="773" t="s">
        <v>17</v>
      </c>
      <c r="W21" s="774">
        <f>J21</f>
        <v>100</v>
      </c>
      <c r="X21" s="1814"/>
      <c r="Y21" s="3145"/>
      <c r="Z21" s="1815" t="str">
        <f>Q21</f>
        <v>环境状况</v>
      </c>
      <c r="AA21" s="1812">
        <f t="shared" si="3"/>
        <v>1</v>
      </c>
      <c r="AB21" s="1812">
        <f t="shared" si="4"/>
        <v>1</v>
      </c>
      <c r="AC21" s="1812">
        <f t="shared" si="5"/>
        <v>1</v>
      </c>
    </row>
    <row r="22" spans="1:29" ht="15">
      <c r="A22" s="403"/>
      <c r="B22" s="631"/>
      <c r="C22" s="446"/>
      <c r="D22" s="447"/>
      <c r="E22" s="2610"/>
      <c r="F22" s="447"/>
      <c r="G22" s="2610"/>
      <c r="H22" s="447"/>
      <c r="I22" s="446"/>
      <c r="J22" s="447"/>
      <c r="K22" s="671"/>
      <c r="L22" s="1140"/>
      <c r="M22" s="1131"/>
      <c r="N22" s="1131"/>
      <c r="O22" s="1139"/>
      <c r="P22" s="3145"/>
      <c r="Q22" s="1811"/>
      <c r="R22" s="773"/>
      <c r="S22" s="774"/>
      <c r="T22" s="773"/>
      <c r="U22" s="774"/>
      <c r="V22" s="773"/>
      <c r="W22" s="774"/>
      <c r="X22" s="1814"/>
      <c r="Y22" s="3145"/>
      <c r="Z22" s="1815"/>
      <c r="AA22" s="1812">
        <v>1</v>
      </c>
      <c r="AB22" s="1812">
        <v>1</v>
      </c>
      <c r="AC22" s="1812">
        <v>1</v>
      </c>
    </row>
    <row r="23" spans="1:29" s="116" customFormat="1" ht="42.75">
      <c r="A23" s="648"/>
      <c r="B23" s="632" t="s">
        <v>2655</v>
      </c>
      <c r="C23" s="2606"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2"/>
      <c r="M23" s="1133"/>
      <c r="N23" s="1133"/>
      <c r="O23" s="1134"/>
      <c r="P23" s="3145"/>
      <c r="Q23" s="1796" t="str">
        <f t="shared" si="8"/>
        <v>公共配套设施</v>
      </c>
      <c r="R23" s="769" t="s">
        <v>17</v>
      </c>
      <c r="S23" s="770">
        <f>F23</f>
        <v>100</v>
      </c>
      <c r="T23" s="769" t="s">
        <v>17</v>
      </c>
      <c r="U23" s="770">
        <f>H23</f>
        <v>100</v>
      </c>
      <c r="V23" s="769" t="s">
        <v>17</v>
      </c>
      <c r="W23" s="770">
        <f>J23</f>
        <v>100</v>
      </c>
      <c r="X23" s="771"/>
      <c r="Y23" s="3145"/>
      <c r="Z23" s="55" t="str">
        <f>Q23</f>
        <v>公共配套设施</v>
      </c>
      <c r="AA23" s="1812">
        <f>D23/F23</f>
        <v>1</v>
      </c>
      <c r="AB23" s="1812">
        <f>D23/H23</f>
        <v>1</v>
      </c>
      <c r="AC23" s="1812">
        <f>D23/J23</f>
        <v>1</v>
      </c>
    </row>
    <row r="24" spans="1:29" s="116" customFormat="1" ht="15">
      <c r="A24" s="648"/>
      <c r="B24" s="631"/>
      <c r="C24" s="2699"/>
      <c r="D24" s="447"/>
      <c r="E24" s="2610"/>
      <c r="F24" s="447"/>
      <c r="G24" s="2610"/>
      <c r="H24" s="447"/>
      <c r="I24" s="446"/>
      <c r="J24" s="447"/>
      <c r="K24" s="671"/>
      <c r="L24" s="1132"/>
      <c r="M24" s="1133"/>
      <c r="N24" s="1133"/>
      <c r="O24" s="1134"/>
      <c r="P24" s="3145"/>
      <c r="Q24" s="1796"/>
      <c r="R24" s="769"/>
      <c r="S24" s="770"/>
      <c r="T24" s="769"/>
      <c r="U24" s="770"/>
      <c r="V24" s="769"/>
      <c r="W24" s="770"/>
      <c r="X24" s="771"/>
      <c r="Y24" s="3145"/>
      <c r="Z24" s="55"/>
      <c r="AA24" s="772">
        <v>1</v>
      </c>
      <c r="AB24" s="772">
        <v>1</v>
      </c>
      <c r="AC24" s="772">
        <v>1</v>
      </c>
    </row>
    <row r="25" spans="1:29" s="116" customFormat="1" ht="28.5">
      <c r="A25" s="648"/>
      <c r="B25" s="632" t="s">
        <v>2656</v>
      </c>
      <c r="C25" s="2606"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2"/>
      <c r="M25" s="1133"/>
      <c r="N25" s="1133"/>
      <c r="O25" s="1134"/>
      <c r="P25" s="3145"/>
      <c r="Q25" s="1796" t="str">
        <f t="shared" ref="Q25" si="9">B25</f>
        <v>基础设施水平</v>
      </c>
      <c r="R25" s="769" t="s">
        <v>17</v>
      </c>
      <c r="S25" s="770">
        <f>F25</f>
        <v>100</v>
      </c>
      <c r="T25" s="769" t="s">
        <v>17</v>
      </c>
      <c r="U25" s="770">
        <f>H25</f>
        <v>100</v>
      </c>
      <c r="V25" s="769" t="s">
        <v>17</v>
      </c>
      <c r="W25" s="770">
        <f>J25</f>
        <v>100</v>
      </c>
      <c r="X25" s="771"/>
      <c r="Y25" s="3145"/>
      <c r="Z25" s="55" t="str">
        <f>Q25</f>
        <v>基础设施水平</v>
      </c>
      <c r="AA25" s="1812">
        <f>D25/F25</f>
        <v>1</v>
      </c>
      <c r="AB25" s="1812">
        <f>D25/H25</f>
        <v>1</v>
      </c>
      <c r="AC25" s="1812">
        <f>D25/J25</f>
        <v>1</v>
      </c>
    </row>
    <row r="26" spans="1:29" s="116" customFormat="1" ht="15">
      <c r="A26" s="648"/>
      <c r="B26" s="631"/>
      <c r="C26" s="2699"/>
      <c r="D26" s="447"/>
      <c r="E26" s="2700"/>
      <c r="F26" s="447"/>
      <c r="G26" s="2700"/>
      <c r="H26" s="447"/>
      <c r="I26" s="2700"/>
      <c r="J26" s="447"/>
      <c r="K26" s="671"/>
      <c r="L26" s="1132"/>
      <c r="M26" s="1133"/>
      <c r="N26" s="1133"/>
      <c r="O26" s="1134"/>
      <c r="P26" s="3145"/>
      <c r="Q26" s="1796"/>
      <c r="R26" s="769"/>
      <c r="S26" s="770"/>
      <c r="T26" s="769"/>
      <c r="U26" s="770"/>
      <c r="V26" s="769"/>
      <c r="W26" s="770"/>
      <c r="X26" s="771"/>
      <c r="Y26" s="3145"/>
      <c r="Z26" s="55"/>
      <c r="AA26" s="772">
        <v>1</v>
      </c>
      <c r="AB26" s="772">
        <v>1</v>
      </c>
      <c r="AC26" s="772">
        <v>1</v>
      </c>
    </row>
    <row r="27" spans="1:29" ht="15">
      <c r="A27" s="427"/>
      <c r="B27" s="631" t="s">
        <v>2657</v>
      </c>
      <c r="C27" s="615"/>
      <c r="D27" s="434">
        <v>100</v>
      </c>
      <c r="E27" s="633"/>
      <c r="F27" s="434">
        <f>SUMIF(95:95,E27,96:96)-SUMIF(95:95,C27,96:96)+100</f>
        <v>100</v>
      </c>
      <c r="G27" s="633"/>
      <c r="H27" s="434">
        <f>SUMIF(95:95,G27,96:96)-SUMIF(95:95,C27,96:96)+100</f>
        <v>100</v>
      </c>
      <c r="I27" s="633"/>
      <c r="J27" s="434">
        <f>SUMIF(95:95,I27,96:96)-SUMIF(95:95,C27,96:96)+100</f>
        <v>100</v>
      </c>
      <c r="K27" s="672"/>
      <c r="L27" s="1140"/>
      <c r="M27" s="1131"/>
      <c r="N27" s="1131"/>
      <c r="O27" s="1139"/>
      <c r="P27" s="3145"/>
      <c r="Q27" s="1811" t="str">
        <f t="shared" si="8"/>
        <v>临街状况</v>
      </c>
      <c r="R27" s="773" t="s">
        <v>17</v>
      </c>
      <c r="S27" s="774">
        <f t="shared" ref="S27:S40" si="10">F27</f>
        <v>100</v>
      </c>
      <c r="T27" s="773" t="s">
        <v>17</v>
      </c>
      <c r="U27" s="774">
        <f t="shared" ref="U27:U40" si="11">H27</f>
        <v>100</v>
      </c>
      <c r="V27" s="773" t="s">
        <v>17</v>
      </c>
      <c r="W27" s="774">
        <f t="shared" ref="W27:W40" si="12">J27</f>
        <v>100</v>
      </c>
      <c r="X27" s="1814"/>
      <c r="Y27" s="3145"/>
      <c r="Z27" s="1815" t="str">
        <f t="shared" ref="Z27:Z40" si="13">Q27</f>
        <v>临街状况</v>
      </c>
      <c r="AA27" s="1812">
        <f t="shared" si="3"/>
        <v>1</v>
      </c>
      <c r="AB27" s="1812">
        <f t="shared" si="4"/>
        <v>1</v>
      </c>
      <c r="AC27" s="1812">
        <f t="shared" si="5"/>
        <v>1</v>
      </c>
    </row>
    <row r="28" spans="1:29" ht="27">
      <c r="A28" s="427"/>
      <c r="B28" s="632" t="s">
        <v>2692</v>
      </c>
      <c r="C28" s="2712">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0"/>
      <c r="M28" s="1131"/>
      <c r="N28" s="1131"/>
      <c r="O28" s="1139"/>
      <c r="P28" s="3145"/>
      <c r="Q28" s="1811" t="str">
        <f t="shared" si="8"/>
        <v>毗邻道路的类型与等级</v>
      </c>
      <c r="R28" s="773" t="s">
        <v>17</v>
      </c>
      <c r="S28" s="774">
        <f t="shared" si="10"/>
        <v>100</v>
      </c>
      <c r="T28" s="773" t="s">
        <v>17</v>
      </c>
      <c r="U28" s="774">
        <f t="shared" si="11"/>
        <v>100</v>
      </c>
      <c r="V28" s="773" t="s">
        <v>17</v>
      </c>
      <c r="W28" s="774">
        <f t="shared" si="12"/>
        <v>100</v>
      </c>
      <c r="X28" s="1814"/>
      <c r="Y28" s="3145"/>
      <c r="Z28" s="1815" t="str">
        <f t="shared" si="13"/>
        <v>毗邻道路的类型与等级</v>
      </c>
      <c r="AA28" s="1812">
        <f t="shared" si="3"/>
        <v>1</v>
      </c>
      <c r="AB28" s="1812">
        <f t="shared" si="4"/>
        <v>1</v>
      </c>
      <c r="AC28" s="1812">
        <f t="shared" si="5"/>
        <v>1</v>
      </c>
    </row>
    <row r="29" spans="1:29" ht="15">
      <c r="A29" s="427"/>
      <c r="B29" s="631"/>
      <c r="C29" s="446"/>
      <c r="D29" s="447"/>
      <c r="E29" s="2610"/>
      <c r="F29" s="447"/>
      <c r="G29" s="2610"/>
      <c r="H29" s="447"/>
      <c r="I29" s="2610"/>
      <c r="J29" s="447"/>
      <c r="K29" s="612"/>
      <c r="L29" s="1140"/>
      <c r="M29" s="1131"/>
      <c r="N29" s="1131"/>
      <c r="O29" s="1139"/>
      <c r="P29" s="3145"/>
      <c r="Q29" s="1811"/>
      <c r="R29" s="773"/>
      <c r="S29" s="774"/>
      <c r="T29" s="773"/>
      <c r="U29" s="774"/>
      <c r="V29" s="773"/>
      <c r="W29" s="774"/>
      <c r="X29" s="1814"/>
      <c r="Y29" s="3145"/>
      <c r="Z29" s="1815"/>
      <c r="AA29" s="1812">
        <v>1</v>
      </c>
      <c r="AB29" s="1812">
        <v>1</v>
      </c>
      <c r="AC29" s="1812">
        <v>1</v>
      </c>
    </row>
    <row r="30" spans="1:29" ht="15">
      <c r="A30" s="427"/>
      <c r="B30" s="653" t="s">
        <v>2751</v>
      </c>
      <c r="C30" s="1389">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0"/>
      <c r="M30" s="1131"/>
      <c r="N30" s="1131"/>
      <c r="O30" s="1139"/>
      <c r="P30" s="3145"/>
      <c r="Q30" s="1811" t="str">
        <f t="shared" si="8"/>
        <v>土地级别</v>
      </c>
      <c r="R30" s="773" t="s">
        <v>17</v>
      </c>
      <c r="S30" s="774">
        <f t="shared" si="10"/>
        <v>100</v>
      </c>
      <c r="T30" s="773" t="s">
        <v>17</v>
      </c>
      <c r="U30" s="774">
        <f t="shared" si="11"/>
        <v>100</v>
      </c>
      <c r="V30" s="773" t="s">
        <v>17</v>
      </c>
      <c r="W30" s="774">
        <f t="shared" si="12"/>
        <v>100</v>
      </c>
      <c r="X30" s="1814"/>
      <c r="Y30" s="3145"/>
      <c r="Z30" s="1815" t="str">
        <f t="shared" si="13"/>
        <v>土地级别</v>
      </c>
      <c r="AA30" s="1812">
        <f t="shared" si="3"/>
        <v>1</v>
      </c>
      <c r="AB30" s="1812">
        <f t="shared" si="4"/>
        <v>1</v>
      </c>
      <c r="AC30" s="1812">
        <f t="shared" si="5"/>
        <v>1</v>
      </c>
    </row>
    <row r="31" spans="1:29" ht="15">
      <c r="A31" s="403"/>
      <c r="B31" s="2677">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0"/>
      <c r="M31" s="1131"/>
      <c r="N31" s="1131"/>
      <c r="O31" s="1139"/>
      <c r="P31" s="3145"/>
      <c r="Q31" s="1811">
        <f t="shared" si="8"/>
        <v>111</v>
      </c>
      <c r="R31" s="773" t="s">
        <v>17</v>
      </c>
      <c r="S31" s="774">
        <f t="shared" si="10"/>
        <v>100</v>
      </c>
      <c r="T31" s="773" t="s">
        <v>17</v>
      </c>
      <c r="U31" s="774">
        <f t="shared" si="11"/>
        <v>100</v>
      </c>
      <c r="V31" s="773" t="s">
        <v>17</v>
      </c>
      <c r="W31" s="774">
        <f t="shared" si="12"/>
        <v>100</v>
      </c>
      <c r="X31" s="1814"/>
      <c r="Y31" s="3145"/>
      <c r="Z31" s="1815">
        <f t="shared" si="13"/>
        <v>111</v>
      </c>
      <c r="AA31" s="1812">
        <f t="shared" si="3"/>
        <v>1</v>
      </c>
      <c r="AB31" s="1812">
        <f t="shared" si="4"/>
        <v>1</v>
      </c>
      <c r="AC31" s="1812">
        <f t="shared" si="5"/>
        <v>1</v>
      </c>
    </row>
    <row r="32" spans="1:29" ht="15">
      <c r="A32" s="674"/>
      <c r="B32" s="2713">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0"/>
      <c r="M32" s="1131"/>
      <c r="N32" s="1131"/>
      <c r="O32" s="1139"/>
      <c r="P32" s="3146" t="s">
        <v>2566</v>
      </c>
      <c r="Q32" s="1811">
        <f t="shared" si="8"/>
        <v>111</v>
      </c>
      <c r="R32" s="773" t="s">
        <v>17</v>
      </c>
      <c r="S32" s="774">
        <f t="shared" si="10"/>
        <v>100</v>
      </c>
      <c r="T32" s="773" t="s">
        <v>17</v>
      </c>
      <c r="U32" s="774">
        <f t="shared" si="11"/>
        <v>100</v>
      </c>
      <c r="V32" s="773" t="s">
        <v>17</v>
      </c>
      <c r="W32" s="774">
        <f t="shared" si="12"/>
        <v>100</v>
      </c>
      <c r="X32" s="1814"/>
      <c r="Y32" s="3147" t="s">
        <v>2566</v>
      </c>
      <c r="Z32" s="1815">
        <f t="shared" si="13"/>
        <v>111</v>
      </c>
      <c r="AA32" s="1812">
        <f t="shared" si="3"/>
        <v>1</v>
      </c>
      <c r="AB32" s="1812">
        <f t="shared" si="4"/>
        <v>1</v>
      </c>
      <c r="AC32" s="1812">
        <f t="shared" si="5"/>
        <v>1</v>
      </c>
    </row>
    <row r="33" spans="1:29" s="470" customFormat="1" ht="15.75" thickBot="1">
      <c r="A33" s="675"/>
      <c r="B33" s="2714">
        <v>111</v>
      </c>
      <c r="C33" s="677"/>
      <c r="D33" s="135">
        <v>100</v>
      </c>
      <c r="E33" s="700"/>
      <c r="F33" s="437">
        <f>SUMIF(105:105,E33,106:106)-SUMIF(105:105,C33,106:106)+100</f>
        <v>100</v>
      </c>
      <c r="G33" s="700"/>
      <c r="H33" s="437">
        <f>SUMIF(105:105,G33,106:106)-SUMIF(105:105,C33,106:106)+100</f>
        <v>100</v>
      </c>
      <c r="I33" s="677"/>
      <c r="J33" s="437">
        <f>SUMIF(105:105,I33,106:106)-SUMIF(105:105,C33,106:106)+100</f>
        <v>100</v>
      </c>
      <c r="K33" s="612"/>
      <c r="L33" s="1138"/>
      <c r="M33" s="1141"/>
      <c r="N33" s="1141"/>
      <c r="O33" s="1142"/>
      <c r="P33" s="3147"/>
      <c r="Q33" s="1811">
        <f t="shared" si="8"/>
        <v>111</v>
      </c>
      <c r="R33" s="776" t="s">
        <v>17</v>
      </c>
      <c r="S33" s="777">
        <f t="shared" si="10"/>
        <v>100</v>
      </c>
      <c r="T33" s="776" t="s">
        <v>17</v>
      </c>
      <c r="U33" s="777">
        <f t="shared" si="11"/>
        <v>100</v>
      </c>
      <c r="V33" s="776" t="s">
        <v>17</v>
      </c>
      <c r="W33" s="777">
        <f t="shared" si="12"/>
        <v>100</v>
      </c>
      <c r="X33" s="778"/>
      <c r="Y33" s="3147"/>
      <c r="Z33" s="779">
        <f t="shared" si="13"/>
        <v>111</v>
      </c>
      <c r="AA33" s="1812">
        <f t="shared" si="3"/>
        <v>1</v>
      </c>
      <c r="AB33" s="1812">
        <f t="shared" si="4"/>
        <v>1</v>
      </c>
      <c r="AC33" s="1812">
        <f t="shared" si="5"/>
        <v>1</v>
      </c>
    </row>
    <row r="34" spans="1:29" ht="15">
      <c r="A34" s="439" t="s">
        <v>2564</v>
      </c>
      <c r="B34" s="455" t="s">
        <v>2752</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0"/>
      <c r="M34" s="1131"/>
      <c r="N34" s="1131"/>
      <c r="O34" s="1139"/>
      <c r="P34" s="3147"/>
      <c r="Q34" s="1811" t="str">
        <f>B34</f>
        <v>宗地面积</v>
      </c>
      <c r="R34" s="773" t="s">
        <v>17</v>
      </c>
      <c r="S34" s="774" t="e">
        <f t="shared" si="10"/>
        <v>#N/A</v>
      </c>
      <c r="T34" s="773" t="s">
        <v>17</v>
      </c>
      <c r="U34" s="774" t="e">
        <f t="shared" si="11"/>
        <v>#N/A</v>
      </c>
      <c r="V34" s="773" t="s">
        <v>17</v>
      </c>
      <c r="W34" s="774" t="e">
        <f t="shared" si="12"/>
        <v>#N/A</v>
      </c>
      <c r="X34" s="1814"/>
      <c r="Y34" s="3147"/>
      <c r="Z34" s="1815" t="str">
        <f t="shared" si="13"/>
        <v>宗地面积</v>
      </c>
      <c r="AA34" s="1812" t="e">
        <f t="shared" si="3"/>
        <v>#N/A</v>
      </c>
      <c r="AB34" s="1812" t="e">
        <f t="shared" si="4"/>
        <v>#N/A</v>
      </c>
      <c r="AC34" s="1812" t="e">
        <f t="shared" si="5"/>
        <v>#N/A</v>
      </c>
    </row>
    <row r="35" spans="1:29" ht="15">
      <c r="A35" s="471"/>
      <c r="B35" s="421" t="s">
        <v>2753</v>
      </c>
      <c r="C35" s="2612"/>
      <c r="D35" s="434">
        <v>100</v>
      </c>
      <c r="E35" s="2612"/>
      <c r="F35" s="434">
        <f>SUMIF(110:110,E35,111:111)-SUMIF(110:110,C35,111:111)+100</f>
        <v>100</v>
      </c>
      <c r="G35" s="2612"/>
      <c r="H35" s="434">
        <f>SUMIF(110:110,G35,111:111)-SUMIF(110:110,C35,111:111)+100</f>
        <v>100</v>
      </c>
      <c r="I35" s="2612"/>
      <c r="J35" s="434">
        <f>SUMIF(110:110,I35,111:111)-SUMIF(110:110,C35,111:111)+100</f>
        <v>100</v>
      </c>
      <c r="K35" s="611"/>
      <c r="L35" s="1140"/>
      <c r="M35" s="1131"/>
      <c r="N35" s="1131"/>
      <c r="O35" s="1139"/>
      <c r="P35" s="3147"/>
      <c r="Q35" s="1811" t="str">
        <f t="shared" ref="Q35:Q40" si="14">B35</f>
        <v>宗地形状</v>
      </c>
      <c r="R35" s="773" t="s">
        <v>17</v>
      </c>
      <c r="S35" s="774">
        <f t="shared" si="10"/>
        <v>100</v>
      </c>
      <c r="T35" s="773" t="s">
        <v>17</v>
      </c>
      <c r="U35" s="774">
        <f t="shared" si="11"/>
        <v>100</v>
      </c>
      <c r="V35" s="773" t="s">
        <v>17</v>
      </c>
      <c r="W35" s="774">
        <f t="shared" si="12"/>
        <v>100</v>
      </c>
      <c r="X35" s="1814"/>
      <c r="Y35" s="3147"/>
      <c r="Z35" s="1815" t="str">
        <f t="shared" si="13"/>
        <v>宗地形状</v>
      </c>
      <c r="AA35" s="1812">
        <f t="shared" si="3"/>
        <v>1</v>
      </c>
      <c r="AB35" s="1812">
        <f t="shared" si="4"/>
        <v>1</v>
      </c>
      <c r="AC35" s="1812">
        <f t="shared" si="5"/>
        <v>1</v>
      </c>
    </row>
    <row r="36" spans="1:29" s="116" customFormat="1" ht="15">
      <c r="A36" s="472"/>
      <c r="B36" s="421" t="s">
        <v>2755</v>
      </c>
      <c r="C36" s="2701"/>
      <c r="D36" s="134">
        <v>100</v>
      </c>
      <c r="E36" s="2701"/>
      <c r="F36" s="434">
        <f>SUMIF(112:112,E36,113:113)-SUMIF(112:112,C36,113:113)+100</f>
        <v>100</v>
      </c>
      <c r="G36" s="2701"/>
      <c r="H36" s="434">
        <f>SUMIF(112:112,G36,113:113)-SUMIF(112:112,C36,113:113)+100</f>
        <v>100</v>
      </c>
      <c r="I36" s="2701"/>
      <c r="J36" s="434">
        <f>SUMIF(112:112,I36,113:113)-SUMIF(112:112,C36,113:113)+100</f>
        <v>100</v>
      </c>
      <c r="K36" s="611"/>
      <c r="L36" s="1132"/>
      <c r="M36" s="1133"/>
      <c r="N36" s="1133"/>
      <c r="O36" s="1134"/>
      <c r="P36" s="3147"/>
      <c r="Q36" s="1811" t="str">
        <f t="shared" si="14"/>
        <v>宗地开发程度</v>
      </c>
      <c r="R36" s="769" t="s">
        <v>17</v>
      </c>
      <c r="S36" s="770">
        <f t="shared" si="10"/>
        <v>100</v>
      </c>
      <c r="T36" s="769" t="s">
        <v>17</v>
      </c>
      <c r="U36" s="770">
        <f t="shared" si="11"/>
        <v>100</v>
      </c>
      <c r="V36" s="769" t="s">
        <v>17</v>
      </c>
      <c r="W36" s="770">
        <f t="shared" si="12"/>
        <v>100</v>
      </c>
      <c r="X36" s="771"/>
      <c r="Y36" s="3147"/>
      <c r="Z36" s="55" t="str">
        <f t="shared" si="13"/>
        <v>宗地开发程度</v>
      </c>
      <c r="AA36" s="772">
        <f t="shared" si="3"/>
        <v>1</v>
      </c>
      <c r="AB36" s="772">
        <f t="shared" si="4"/>
        <v>1</v>
      </c>
      <c r="AC36" s="772">
        <f t="shared" si="5"/>
        <v>1</v>
      </c>
    </row>
    <row r="37" spans="1:29" ht="15">
      <c r="A37" s="471"/>
      <c r="B37" s="421" t="s">
        <v>2756</v>
      </c>
      <c r="C37" s="2612"/>
      <c r="D37" s="434">
        <v>100</v>
      </c>
      <c r="E37" s="2612"/>
      <c r="F37" s="434">
        <f>SUMIF(114:114,E37,115:115)-SUMIF(114:114,C37,115:115)+100</f>
        <v>100</v>
      </c>
      <c r="G37" s="2612"/>
      <c r="H37" s="434">
        <f>SUMIF(114:114,G37,115:115)-SUMIF(114:114,C37,115:115)+100</f>
        <v>100</v>
      </c>
      <c r="I37" s="2612"/>
      <c r="J37" s="434">
        <f>SUMIF(114:114,I37,115:115)-SUMIF(114:114,C37,115:115)+100</f>
        <v>100</v>
      </c>
      <c r="K37" s="611"/>
      <c r="L37" s="1140"/>
      <c r="M37" s="1131"/>
      <c r="N37" s="1131"/>
      <c r="O37" s="1139"/>
      <c r="P37" s="3147" t="s">
        <v>2566</v>
      </c>
      <c r="Q37" s="1811" t="str">
        <f t="shared" si="14"/>
        <v>工程地质条件</v>
      </c>
      <c r="R37" s="773" t="s">
        <v>17</v>
      </c>
      <c r="S37" s="774">
        <f t="shared" si="10"/>
        <v>100</v>
      </c>
      <c r="T37" s="773" t="s">
        <v>17</v>
      </c>
      <c r="U37" s="774">
        <f t="shared" si="11"/>
        <v>100</v>
      </c>
      <c r="V37" s="773" t="s">
        <v>17</v>
      </c>
      <c r="W37" s="774">
        <f t="shared" si="12"/>
        <v>100</v>
      </c>
      <c r="X37" s="1814"/>
      <c r="Y37" s="3147" t="s">
        <v>2566</v>
      </c>
      <c r="Z37" s="1815" t="str">
        <f t="shared" si="13"/>
        <v>工程地质条件</v>
      </c>
      <c r="AA37" s="1812">
        <f t="shared" si="3"/>
        <v>1</v>
      </c>
      <c r="AB37" s="1812">
        <f t="shared" si="4"/>
        <v>1</v>
      </c>
      <c r="AC37" s="1812">
        <f t="shared" si="5"/>
        <v>1</v>
      </c>
    </row>
    <row r="38" spans="1:29" ht="15">
      <c r="A38" s="471"/>
      <c r="B38" s="1387">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0"/>
      <c r="M38" s="1131"/>
      <c r="N38" s="1131"/>
      <c r="O38" s="1139"/>
      <c r="P38" s="3147"/>
      <c r="Q38" s="1811">
        <f t="shared" si="14"/>
        <v>111</v>
      </c>
      <c r="R38" s="773" t="s">
        <v>17</v>
      </c>
      <c r="S38" s="774">
        <f t="shared" si="10"/>
        <v>100</v>
      </c>
      <c r="T38" s="773" t="s">
        <v>17</v>
      </c>
      <c r="U38" s="774">
        <f t="shared" si="11"/>
        <v>100</v>
      </c>
      <c r="V38" s="773" t="s">
        <v>17</v>
      </c>
      <c r="W38" s="774">
        <f t="shared" si="12"/>
        <v>100</v>
      </c>
      <c r="X38" s="1814"/>
      <c r="Y38" s="3147"/>
      <c r="Z38" s="1815">
        <f t="shared" si="13"/>
        <v>111</v>
      </c>
      <c r="AA38" s="1812">
        <f t="shared" si="3"/>
        <v>1</v>
      </c>
      <c r="AB38" s="1812">
        <f t="shared" si="4"/>
        <v>1</v>
      </c>
      <c r="AC38" s="1812">
        <f t="shared" si="5"/>
        <v>1</v>
      </c>
    </row>
    <row r="39" spans="1:29" ht="15">
      <c r="A39" s="471"/>
      <c r="B39" s="1387">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0"/>
      <c r="M39" s="1131"/>
      <c r="N39" s="1131"/>
      <c r="O39" s="1139"/>
      <c r="P39" s="3147"/>
      <c r="Q39" s="1811">
        <f t="shared" si="14"/>
        <v>111</v>
      </c>
      <c r="R39" s="773" t="s">
        <v>17</v>
      </c>
      <c r="S39" s="774">
        <f t="shared" si="10"/>
        <v>100</v>
      </c>
      <c r="T39" s="773" t="s">
        <v>17</v>
      </c>
      <c r="U39" s="774">
        <f t="shared" si="11"/>
        <v>100</v>
      </c>
      <c r="V39" s="773" t="s">
        <v>17</v>
      </c>
      <c r="W39" s="774">
        <f t="shared" si="12"/>
        <v>100</v>
      </c>
      <c r="X39" s="1814"/>
      <c r="Y39" s="3147"/>
      <c r="Z39" s="1815">
        <f t="shared" si="13"/>
        <v>111</v>
      </c>
      <c r="AA39" s="1812">
        <f t="shared" si="3"/>
        <v>1</v>
      </c>
      <c r="AB39" s="1812">
        <f t="shared" si="4"/>
        <v>1</v>
      </c>
      <c r="AC39" s="1812">
        <f t="shared" si="5"/>
        <v>1</v>
      </c>
    </row>
    <row r="40" spans="1:29" s="470" customFormat="1" ht="15.75" thickBot="1">
      <c r="A40" s="467"/>
      <c r="B40" s="1387">
        <v>111</v>
      </c>
      <c r="C40" s="2702"/>
      <c r="D40" s="135">
        <v>100</v>
      </c>
      <c r="E40" s="673"/>
      <c r="F40" s="437">
        <f>SUMIF(120:120,E40,121:121)-SUMIF(120:120,C40,121:121)+100</f>
        <v>100</v>
      </c>
      <c r="G40" s="673"/>
      <c r="H40" s="437">
        <f>SUMIF(120:120,G40,121:121)-SUMIF(120:120,C40,121:121)+100</f>
        <v>100</v>
      </c>
      <c r="I40" s="548"/>
      <c r="J40" s="437">
        <f>SUMIF(120:120,I40,121:121)-SUMIF(120:120,C40,121:121)+100</f>
        <v>100</v>
      </c>
      <c r="K40" s="680"/>
      <c r="L40" s="1138"/>
      <c r="M40" s="1141"/>
      <c r="N40" s="1141"/>
      <c r="O40" s="1142"/>
      <c r="P40" s="3147"/>
      <c r="Q40" s="1811">
        <f t="shared" si="14"/>
        <v>111</v>
      </c>
      <c r="R40" s="776" t="s">
        <v>17</v>
      </c>
      <c r="S40" s="777">
        <f t="shared" si="10"/>
        <v>100</v>
      </c>
      <c r="T40" s="776" t="s">
        <v>17</v>
      </c>
      <c r="U40" s="777">
        <f t="shared" si="11"/>
        <v>100</v>
      </c>
      <c r="V40" s="776" t="s">
        <v>17</v>
      </c>
      <c r="W40" s="777">
        <f t="shared" si="12"/>
        <v>100</v>
      </c>
      <c r="X40" s="778"/>
      <c r="Y40" s="3147"/>
      <c r="Z40" s="779">
        <f t="shared" si="13"/>
        <v>111</v>
      </c>
      <c r="AA40" s="1812">
        <f t="shared" si="3"/>
        <v>1</v>
      </c>
      <c r="AB40" s="1812">
        <f t="shared" si="4"/>
        <v>1</v>
      </c>
      <c r="AC40" s="1812">
        <f t="shared" si="5"/>
        <v>1</v>
      </c>
    </row>
    <row r="41" spans="1:29" ht="15">
      <c r="A41" s="478" t="s">
        <v>2721</v>
      </c>
      <c r="B41" s="2703" t="s">
        <v>2801</v>
      </c>
      <c r="C41" s="681" t="s">
        <v>1</v>
      </c>
      <c r="D41" s="480"/>
      <c r="E41" s="481"/>
      <c r="F41" s="482"/>
      <c r="G41" s="483"/>
      <c r="H41" s="484"/>
      <c r="I41" s="481"/>
      <c r="J41" s="484"/>
      <c r="K41" s="782"/>
      <c r="L41" s="1143"/>
      <c r="M41" s="1131"/>
      <c r="N41" s="1131"/>
      <c r="O41" s="1144"/>
      <c r="P41" s="3142" t="str">
        <f>A41</f>
        <v>成交单价</v>
      </c>
      <c r="Q41" s="3142"/>
      <c r="R41" s="3148">
        <f>E41</f>
        <v>0</v>
      </c>
      <c r="S41" s="3148"/>
      <c r="T41" s="3148">
        <f>G41</f>
        <v>0</v>
      </c>
      <c r="U41" s="3148"/>
      <c r="V41" s="3148">
        <f>I41</f>
        <v>0</v>
      </c>
      <c r="W41" s="3148"/>
      <c r="X41" s="758"/>
      <c r="Y41" s="780"/>
      <c r="Z41" s="758"/>
      <c r="AA41" s="758"/>
      <c r="AB41" s="758"/>
      <c r="AC41" s="758"/>
    </row>
    <row r="42" spans="1:29" ht="15.75" thickBot="1">
      <c r="A42" s="485" t="s">
        <v>2670</v>
      </c>
      <c r="B42" s="682"/>
      <c r="C42" s="489" t="e">
        <f>R43</f>
        <v>#DIV/0!</v>
      </c>
      <c r="D42" s="488"/>
      <c r="E42" s="489" t="e">
        <f>R42</f>
        <v>#DIV/0!</v>
      </c>
      <c r="F42" s="490"/>
      <c r="G42" s="487" t="e">
        <f>T42</f>
        <v>#DIV/0!</v>
      </c>
      <c r="H42" s="488"/>
      <c r="I42" s="489" t="e">
        <f>V42</f>
        <v>#DIV/0!</v>
      </c>
      <c r="J42" s="488"/>
      <c r="K42" s="783"/>
      <c r="L42" s="1143"/>
      <c r="M42" s="1131"/>
      <c r="N42" s="1131"/>
      <c r="O42" s="1144"/>
      <c r="P42" s="3142" t="str">
        <f>A42</f>
        <v>比较价值（元/平方米）</v>
      </c>
      <c r="Q42" s="3142"/>
      <c r="R42" s="3135" t="e">
        <f>ROUND(PRODUCT(R41,AA7:AA40),0)</f>
        <v>#DIV/0!</v>
      </c>
      <c r="S42" s="3135"/>
      <c r="T42" s="3135" t="e">
        <f>ROUND(PRODUCT(T41,AB7:AB40),0)</f>
        <v>#DIV/0!</v>
      </c>
      <c r="U42" s="3135"/>
      <c r="V42" s="3135" t="e">
        <f>ROUND(PRODUCT(V41,AC7:AC40),0)</f>
        <v>#DIV/0!</v>
      </c>
      <c r="W42" s="3135"/>
      <c r="X42" s="758"/>
      <c r="Y42" s="758"/>
      <c r="Z42" s="758"/>
      <c r="AA42" s="758"/>
      <c r="AB42" s="758"/>
      <c r="AC42" s="758"/>
    </row>
    <row r="43" spans="1:29" ht="15.75" thickBot="1">
      <c r="A43" s="491" t="s">
        <v>2671</v>
      </c>
      <c r="B43" s="492"/>
      <c r="C43" s="493" t="e">
        <f>R43</f>
        <v>#DIV/0!</v>
      </c>
      <c r="D43" s="493"/>
      <c r="E43" s="493"/>
      <c r="F43" s="493"/>
      <c r="G43" s="493"/>
      <c r="H43" s="493"/>
      <c r="I43" s="493"/>
      <c r="J43" s="493"/>
      <c r="K43" s="784"/>
      <c r="L43" s="1143"/>
      <c r="M43" s="1131"/>
      <c r="N43" s="1131"/>
      <c r="O43" s="1144"/>
      <c r="P43" s="3136" t="str">
        <f>A43</f>
        <v>估价对象XX用房的比较价值（楼面单价，元/平方米）</v>
      </c>
      <c r="Q43" s="3137"/>
      <c r="R43" s="3138" t="e">
        <f>ROUND(AVERAGE(R42:V42),0)</f>
        <v>#DIV/0!</v>
      </c>
      <c r="S43" s="3138"/>
      <c r="T43" s="3138"/>
      <c r="U43" s="3138"/>
      <c r="V43" s="3138"/>
      <c r="W43" s="3138"/>
      <c r="X43" s="758"/>
      <c r="Y43" s="758"/>
      <c r="Z43" s="758"/>
      <c r="AA43" s="758"/>
      <c r="AB43" s="758"/>
      <c r="AC43" s="758"/>
    </row>
    <row r="44" spans="1:29">
      <c r="A44" s="1144"/>
      <c r="B44" s="1144"/>
      <c r="C44" s="1144"/>
      <c r="D44" s="1144"/>
      <c r="E44" s="1144"/>
      <c r="F44" s="1144"/>
      <c r="G44" s="1147"/>
      <c r="H44" s="1144"/>
      <c r="I44" s="1144"/>
      <c r="J44" s="1144"/>
      <c r="K44" s="1106"/>
      <c r="L44" s="1107"/>
      <c r="M44" s="1131"/>
      <c r="N44" s="1131"/>
      <c r="O44" s="1144"/>
    </row>
    <row r="45" spans="1:29">
      <c r="A45" s="1144"/>
      <c r="B45" s="1144"/>
      <c r="C45" s="1144"/>
      <c r="D45" s="1144"/>
      <c r="E45" s="1144"/>
      <c r="F45" s="1144"/>
      <c r="G45" s="1144"/>
      <c r="H45" s="1144"/>
      <c r="I45" s="1144"/>
      <c r="J45" s="1144"/>
      <c r="K45" s="1106"/>
      <c r="L45" s="1107"/>
      <c r="M45" s="1131"/>
      <c r="N45" s="1131"/>
      <c r="O45" s="1144"/>
    </row>
    <row r="46" spans="1:29" ht="13.5" customHeight="1">
      <c r="A46" s="1144"/>
      <c r="B46" s="1144"/>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6"/>
      <c r="L46" s="1107"/>
      <c r="M46" s="1131"/>
      <c r="N46" s="1131"/>
      <c r="O46" s="1144"/>
    </row>
    <row r="47" spans="1:29" ht="13.5" customHeight="1">
      <c r="A47" s="1144"/>
      <c r="B47" s="1144"/>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6"/>
      <c r="L47" s="1107"/>
      <c r="M47" s="1144"/>
      <c r="N47" s="1144"/>
      <c r="O47" s="1144"/>
    </row>
    <row r="48" spans="1:29" s="501" customFormat="1" ht="13.5" customHeight="1">
      <c r="A48" s="1145"/>
      <c r="B48" s="1145"/>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ht="15" thickBot="1">
      <c r="A49" s="1145"/>
      <c r="B49" s="1146"/>
      <c r="C49" s="761"/>
      <c r="D49" s="759"/>
      <c r="E49" s="759"/>
      <c r="F49" s="759"/>
      <c r="G49" s="759"/>
      <c r="H49" s="759"/>
      <c r="I49" s="759"/>
      <c r="J49" s="759"/>
      <c r="K49" s="1148"/>
      <c r="L49" s="1149"/>
      <c r="M49" s="1145"/>
      <c r="N49" s="1145"/>
      <c r="O49" s="1145"/>
    </row>
    <row r="50" spans="1:17" ht="27">
      <c r="A50" s="683" t="s">
        <v>2759</v>
      </c>
      <c r="B50" s="684" t="s">
        <v>2760</v>
      </c>
      <c r="C50" s="2704" t="s">
        <v>2761</v>
      </c>
      <c r="D50" s="2705" t="s">
        <v>2762</v>
      </c>
      <c r="E50" s="685" t="s">
        <v>2763</v>
      </c>
      <c r="F50" s="686" t="s">
        <v>2764</v>
      </c>
      <c r="G50" s="3139" t="s">
        <v>2765</v>
      </c>
      <c r="H50" s="3140"/>
      <c r="I50" s="1815" t="s">
        <v>2802</v>
      </c>
      <c r="J50" s="1815" t="str">
        <f>项目基本情况!F35</f>
        <v>陕西省西安市</v>
      </c>
      <c r="K50" s="2707" t="s">
        <v>2767</v>
      </c>
      <c r="L50" s="1107"/>
      <c r="M50" s="1144"/>
      <c r="N50" s="1144"/>
      <c r="O50" s="1144"/>
    </row>
    <row r="51" spans="1:17" s="691" customFormat="1">
      <c r="A51" s="687" t="s">
        <v>2768</v>
      </c>
      <c r="B51" s="688" t="e">
        <f>C43</f>
        <v>#DIV/0!</v>
      </c>
      <c r="C51" s="689">
        <v>1</v>
      </c>
      <c r="D51" s="1163">
        <v>1</v>
      </c>
      <c r="E51" s="689">
        <f>'数据-汇总表'!E8+'数据-汇总表'!E9</f>
        <v>135723.97</v>
      </c>
      <c r="F51" s="690" t="e">
        <f t="shared" ref="F51:F60" si="15">ROUND(B51*E51/10000,0)</f>
        <v>#DIV/0!</v>
      </c>
      <c r="G51" s="3141"/>
      <c r="H51" s="3142"/>
      <c r="I51" s="944">
        <v>1</v>
      </c>
      <c r="J51" s="944">
        <v>1</v>
      </c>
      <c r="K51" s="1145"/>
      <c r="L51" s="943"/>
      <c r="M51" s="943"/>
      <c r="N51" s="943"/>
      <c r="O51" s="943"/>
    </row>
    <row r="52" spans="1:17" s="691" customFormat="1">
      <c r="A52" s="692" t="s">
        <v>2769</v>
      </c>
      <c r="B52" s="261" t="e">
        <f>ROUND($C$43*C52*D52,0)</f>
        <v>#DIV/0!</v>
      </c>
      <c r="C52" s="199">
        <f t="shared" ref="C52:C60" si="16">IF($C$50="北京市系数",I52,J52)</f>
        <v>0</v>
      </c>
      <c r="D52" s="1164">
        <v>0.25</v>
      </c>
      <c r="E52" s="693"/>
      <c r="F52" s="690" t="e">
        <f t="shared" si="15"/>
        <v>#DIV/0!</v>
      </c>
      <c r="G52" s="3143" t="s">
        <v>2770</v>
      </c>
      <c r="H52" s="1105">
        <f>项目基本情况!B37</f>
        <v>0</v>
      </c>
      <c r="I52" s="944">
        <f>SUMIF(修正!A45:A56,H52,修正!B45:B56)</f>
        <v>0</v>
      </c>
      <c r="J52" s="945"/>
      <c r="K52" s="1144"/>
      <c r="L52" s="943"/>
      <c r="M52" s="943"/>
      <c r="N52" s="943"/>
      <c r="O52" s="943"/>
    </row>
    <row r="53" spans="1:17" s="691" customFormat="1">
      <c r="A53" s="692" t="s">
        <v>2771</v>
      </c>
      <c r="B53" s="261" t="e">
        <f t="shared" ref="B53:B60" si="17">ROUND($C$43*C53*D53,0)</f>
        <v>#DIV/0!</v>
      </c>
      <c r="C53" s="199">
        <f t="shared" si="16"/>
        <v>0</v>
      </c>
      <c r="D53" s="1164">
        <v>0.25</v>
      </c>
      <c r="E53" s="693"/>
      <c r="F53" s="690" t="e">
        <f t="shared" si="15"/>
        <v>#DIV/0!</v>
      </c>
      <c r="G53" s="3143"/>
      <c r="H53" s="1105">
        <f>项目基本情况!B37</f>
        <v>0</v>
      </c>
      <c r="I53" s="944">
        <f>SUMIF(修正!A45:A56,H53,修正!C45:C56)</f>
        <v>0</v>
      </c>
      <c r="J53" s="945"/>
      <c r="K53" s="1145"/>
      <c r="L53" s="943"/>
      <c r="M53" s="943"/>
      <c r="N53" s="943"/>
      <c r="O53" s="943"/>
    </row>
    <row r="54" spans="1:17" s="691" customFormat="1">
      <c r="A54" s="692" t="s">
        <v>2772</v>
      </c>
      <c r="B54" s="261" t="e">
        <f t="shared" si="17"/>
        <v>#DIV/0!</v>
      </c>
      <c r="C54" s="199">
        <f t="shared" si="16"/>
        <v>0</v>
      </c>
      <c r="D54" s="1164">
        <v>0.25</v>
      </c>
      <c r="E54" s="693"/>
      <c r="F54" s="690" t="e">
        <f t="shared" si="15"/>
        <v>#DIV/0!</v>
      </c>
      <c r="G54" s="3143"/>
      <c r="H54" s="1105">
        <f>项目基本情况!B37</f>
        <v>0</v>
      </c>
      <c r="I54" s="944">
        <f>SUMIF(修正!A45:A56,H54,修正!D45:D56)</f>
        <v>0</v>
      </c>
      <c r="J54" s="945"/>
      <c r="K54" s="1144"/>
      <c r="L54" s="943"/>
      <c r="M54" s="943"/>
      <c r="N54" s="943"/>
      <c r="O54" s="943"/>
    </row>
    <row r="55" spans="1:17" s="691" customFormat="1">
      <c r="A55" s="692" t="s">
        <v>2773</v>
      </c>
      <c r="B55" s="261" t="e">
        <f t="shared" si="17"/>
        <v>#DIV/0!</v>
      </c>
      <c r="C55" s="199">
        <f t="shared" si="16"/>
        <v>0</v>
      </c>
      <c r="D55" s="1164">
        <v>0.25</v>
      </c>
      <c r="E55" s="693"/>
      <c r="F55" s="690" t="e">
        <f t="shared" si="15"/>
        <v>#DIV/0!</v>
      </c>
      <c r="G55" s="3143"/>
      <c r="H55" s="1105">
        <f>项目基本情况!B37</f>
        <v>0</v>
      </c>
      <c r="I55" s="944">
        <f>SUMIF(修正!A45:A56,H55,修正!E45:E56)</f>
        <v>0</v>
      </c>
      <c r="J55" s="945"/>
      <c r="K55" s="1145"/>
      <c r="L55" s="943"/>
      <c r="M55" s="943"/>
      <c r="N55" s="943"/>
      <c r="O55" s="943"/>
    </row>
    <row r="56" spans="1:17" s="691" customFormat="1">
      <c r="A56" s="692" t="s">
        <v>2774</v>
      </c>
      <c r="B56" s="261" t="e">
        <f t="shared" si="17"/>
        <v>#DIV/0!</v>
      </c>
      <c r="C56" s="199">
        <f t="shared" si="16"/>
        <v>0</v>
      </c>
      <c r="D56" s="1164">
        <v>0.25</v>
      </c>
      <c r="E56" s="260">
        <f>'数据-汇总表'!E11</f>
        <v>0</v>
      </c>
      <c r="F56" s="690" t="e">
        <f t="shared" si="15"/>
        <v>#DIV/0!</v>
      </c>
      <c r="G56" s="2708" t="s">
        <v>2775</v>
      </c>
      <c r="H56" s="1105">
        <f>项目基本情况!C37</f>
        <v>0</v>
      </c>
      <c r="I56" s="944">
        <f>SUMIF(修正!A45:A56,H56,修正!F45:F56)</f>
        <v>0</v>
      </c>
      <c r="J56" s="945"/>
      <c r="K56" s="1144"/>
      <c r="L56" s="943"/>
      <c r="M56" s="943"/>
      <c r="N56" s="943"/>
      <c r="O56" s="943"/>
    </row>
    <row r="57" spans="1:17" s="691" customFormat="1">
      <c r="A57" s="692" t="s">
        <v>2776</v>
      </c>
      <c r="B57" s="261" t="e">
        <f t="shared" si="17"/>
        <v>#DIV/0!</v>
      </c>
      <c r="C57" s="199">
        <f t="shared" si="16"/>
        <v>0</v>
      </c>
      <c r="D57" s="1164">
        <v>0.25</v>
      </c>
      <c r="E57" s="260">
        <f>'数据-汇总表'!E12</f>
        <v>0</v>
      </c>
      <c r="F57" s="690" t="e">
        <f t="shared" si="15"/>
        <v>#DIV/0!</v>
      </c>
      <c r="G57" s="1110" t="s">
        <v>2777</v>
      </c>
      <c r="H57" s="1105">
        <f>IF(G57="商业",项目基本情况!B37,IF(G57="办公",项目基本情况!C37,IF(G57="住宅",项目基本情况!D37,项目基本情况!E37)))</f>
        <v>0</v>
      </c>
      <c r="I57" s="944">
        <f>SUMIF(修正!A45:A56,H57,修正!G45:G56)</f>
        <v>0</v>
      </c>
      <c r="J57" s="945"/>
      <c r="K57" s="1145"/>
      <c r="L57" s="943"/>
      <c r="M57" s="943"/>
      <c r="N57" s="943"/>
      <c r="O57" s="943"/>
    </row>
    <row r="58" spans="1:17" s="691" customFormat="1">
      <c r="A58" s="692" t="s">
        <v>2778</v>
      </c>
      <c r="B58" s="261" t="e">
        <f t="shared" si="17"/>
        <v>#DIV/0!</v>
      </c>
      <c r="C58" s="199">
        <f t="shared" si="16"/>
        <v>0</v>
      </c>
      <c r="D58" s="1164">
        <v>0.25</v>
      </c>
      <c r="E58" s="260">
        <f>'数据-汇总表'!E13</f>
        <v>74071</v>
      </c>
      <c r="F58" s="690" t="e">
        <f t="shared" si="15"/>
        <v>#DIV/0!</v>
      </c>
      <c r="G58" s="1110" t="s">
        <v>2779</v>
      </c>
      <c r="H58" s="1105">
        <f>IF(G58="商业",项目基本情况!B37,IF(G58="办公",项目基本情况!C37,IF(G58="住宅",项目基本情况!D37,项目基本情况!E37)))</f>
        <v>0</v>
      </c>
      <c r="I58" s="944">
        <f>SUMIF(修正!A45:A56,H58,修正!H45:H56)</f>
        <v>0</v>
      </c>
      <c r="J58" s="945"/>
      <c r="K58" s="1144"/>
      <c r="L58" s="943"/>
      <c r="M58" s="943"/>
      <c r="N58" s="943"/>
      <c r="O58" s="943"/>
    </row>
    <row r="59" spans="1:17" s="691" customFormat="1">
      <c r="A59" s="692" t="s">
        <v>2780</v>
      </c>
      <c r="B59" s="261" t="e">
        <f t="shared" si="17"/>
        <v>#DIV/0!</v>
      </c>
      <c r="C59" s="199">
        <f t="shared" si="16"/>
        <v>0</v>
      </c>
      <c r="D59" s="1164">
        <v>0.25</v>
      </c>
      <c r="E59" s="260">
        <f>'数据-汇总表'!E14</f>
        <v>0</v>
      </c>
      <c r="F59" s="690" t="e">
        <f t="shared" si="15"/>
        <v>#DIV/0!</v>
      </c>
      <c r="G59" s="2708" t="s">
        <v>2770</v>
      </c>
      <c r="H59" s="1105">
        <f>项目基本情况!B37</f>
        <v>0</v>
      </c>
      <c r="I59" s="944">
        <f>SUMIF(修正!A45:A56,H59,修正!H45:H56)</f>
        <v>0</v>
      </c>
      <c r="J59" s="945"/>
      <c r="K59" s="1145"/>
      <c r="L59" s="943"/>
      <c r="M59" s="943"/>
      <c r="N59" s="943"/>
      <c r="O59" s="943"/>
    </row>
    <row r="60" spans="1:17" s="691" customFormat="1" ht="15" thickBot="1">
      <c r="A60" s="692" t="s">
        <v>2781</v>
      </c>
      <c r="B60" s="261" t="e">
        <f t="shared" si="17"/>
        <v>#DIV/0!</v>
      </c>
      <c r="C60" s="199">
        <f t="shared" si="16"/>
        <v>0</v>
      </c>
      <c r="D60" s="1164">
        <v>0.25</v>
      </c>
      <c r="E60" s="260">
        <f>'数据-汇总表'!E15</f>
        <v>0</v>
      </c>
      <c r="F60" s="690" t="e">
        <f t="shared" si="15"/>
        <v>#DIV/0!</v>
      </c>
      <c r="G60" s="2709" t="s">
        <v>2775</v>
      </c>
      <c r="H60" s="1114">
        <f>项目基本情况!C37</f>
        <v>0</v>
      </c>
      <c r="I60" s="944">
        <f>SUMIF(修正!A45:A56,H60,修正!H45:H56)</f>
        <v>0</v>
      </c>
      <c r="J60" s="945"/>
      <c r="K60" s="1144"/>
      <c r="L60" s="943"/>
      <c r="M60" s="943"/>
      <c r="N60" s="943"/>
      <c r="O60" s="943"/>
    </row>
    <row r="61" spans="1:17" s="691" customFormat="1" ht="15" thickBot="1">
      <c r="A61" s="694" t="s">
        <v>2782</v>
      </c>
      <c r="B61" s="695" t="s">
        <v>28</v>
      </c>
      <c r="C61" s="695" t="s">
        <v>29</v>
      </c>
      <c r="D61" s="695" t="s">
        <v>1029</v>
      </c>
      <c r="E61" s="695">
        <f>IF(B41="楼面地价",SUM(E51:E60),'数据-汇总表'!D3)</f>
        <v>60943.28</v>
      </c>
      <c r="F61" s="696" t="e">
        <f>IF(B41="楼面地价",SUM(F51:F60),ROUND(C43*E61/10000,0))</f>
        <v>#DIV/0!</v>
      </c>
      <c r="G61" s="1158"/>
      <c r="H61" s="1158"/>
      <c r="I61" s="1158"/>
      <c r="J61" s="1158"/>
      <c r="K61" s="1106"/>
      <c r="L61" s="943"/>
      <c r="M61" s="943"/>
      <c r="N61" s="943"/>
      <c r="O61" s="943"/>
    </row>
    <row r="62" spans="1:17">
      <c r="A62" s="1144"/>
      <c r="B62" s="1146"/>
      <c r="C62" s="1150"/>
      <c r="D62" s="1144"/>
      <c r="E62" s="1144"/>
      <c r="F62" s="1144"/>
      <c r="G62" s="1144"/>
      <c r="H62" s="1144"/>
      <c r="I62" s="1144"/>
      <c r="J62" s="1144"/>
      <c r="K62" s="1106"/>
      <c r="L62" s="1107"/>
      <c r="M62" s="1144"/>
      <c r="N62" s="1144"/>
      <c r="O62" s="1144"/>
    </row>
    <row r="63" spans="1:17">
      <c r="A63" s="1144"/>
      <c r="B63" s="1146"/>
      <c r="C63" s="760" t="str">
        <f>YEAR(C7)&amp;"-"&amp;MONTH(C7)&amp;"-1"</f>
        <v>2017-10-1</v>
      </c>
      <c r="D63" s="760">
        <f>EDATE(C63,-3)</f>
        <v>42917</v>
      </c>
      <c r="E63" s="760">
        <f>EDATE(D63,-3)</f>
        <v>42826</v>
      </c>
      <c r="F63" s="760">
        <f t="shared" ref="F63:O63" si="18">EDATE(E63,-3)</f>
        <v>42736</v>
      </c>
      <c r="G63" s="760">
        <f t="shared" si="18"/>
        <v>42644</v>
      </c>
      <c r="H63" s="760">
        <f t="shared" si="18"/>
        <v>42552</v>
      </c>
      <c r="I63" s="760">
        <f t="shared" si="18"/>
        <v>42461</v>
      </c>
      <c r="J63" s="760">
        <f t="shared" si="18"/>
        <v>42370</v>
      </c>
      <c r="K63" s="760">
        <f t="shared" si="18"/>
        <v>42278</v>
      </c>
      <c r="L63" s="760">
        <f t="shared" si="18"/>
        <v>42186</v>
      </c>
      <c r="M63" s="760">
        <f t="shared" si="18"/>
        <v>42095</v>
      </c>
      <c r="N63" s="760">
        <f t="shared" si="18"/>
        <v>42005</v>
      </c>
      <c r="O63" s="760">
        <f t="shared" si="18"/>
        <v>41913</v>
      </c>
    </row>
    <row r="64" spans="1:17" ht="21.75" thickBot="1">
      <c r="A64" s="762" t="s">
        <v>2675</v>
      </c>
      <c r="B64" s="758"/>
      <c r="C64" s="763"/>
      <c r="D64" s="763"/>
      <c r="E64" s="763"/>
      <c r="F64" s="764"/>
      <c r="G64" s="764"/>
      <c r="H64" s="763"/>
      <c r="I64" s="763"/>
      <c r="J64" s="763"/>
      <c r="K64" s="765"/>
      <c r="L64" s="766"/>
      <c r="M64" s="763"/>
      <c r="N64" s="763"/>
      <c r="O64" s="1159"/>
      <c r="P64" s="502"/>
      <c r="Q64" s="503"/>
    </row>
    <row r="65" spans="1:17" s="507" customFormat="1" ht="15">
      <c r="A65" s="2710" t="s">
        <v>2783</v>
      </c>
      <c r="B65" s="1359"/>
      <c r="C65" s="1573" t="str">
        <f>YEAR(C63)&amp;"-"&amp;ROUNDUP(MONTH(C63)/3,0)</f>
        <v>2017-4</v>
      </c>
      <c r="D65" s="1573" t="str">
        <f t="shared" ref="D65:O65" si="19">YEAR(D63)&amp;"-"&amp;ROUNDUP(MONTH(D63)/3,0)</f>
        <v>2017-3</v>
      </c>
      <c r="E65" s="1573" t="str">
        <f t="shared" si="19"/>
        <v>2017-2</v>
      </c>
      <c r="F65" s="1573" t="str">
        <f t="shared" si="19"/>
        <v>2017-1</v>
      </c>
      <c r="G65" s="1573" t="str">
        <f t="shared" si="19"/>
        <v>2016-4</v>
      </c>
      <c r="H65" s="1573" t="str">
        <f t="shared" si="19"/>
        <v>2016-3</v>
      </c>
      <c r="I65" s="1573" t="str">
        <f t="shared" si="19"/>
        <v>2016-2</v>
      </c>
      <c r="J65" s="1573" t="str">
        <f t="shared" si="19"/>
        <v>2016-1</v>
      </c>
      <c r="K65" s="1573" t="str">
        <f t="shared" si="19"/>
        <v>2015-4</v>
      </c>
      <c r="L65" s="1573" t="str">
        <f t="shared" si="19"/>
        <v>2015-3</v>
      </c>
      <c r="M65" s="1573" t="str">
        <f t="shared" si="19"/>
        <v>2015-2</v>
      </c>
      <c r="N65" s="1573" t="str">
        <f t="shared" si="19"/>
        <v>2015-1</v>
      </c>
      <c r="O65" s="1573" t="str">
        <f t="shared" si="19"/>
        <v>2014-4</v>
      </c>
      <c r="P65" s="506"/>
    </row>
    <row r="66" spans="1:17" s="116" customFormat="1" ht="30.75" customHeight="1">
      <c r="A66" s="2715" t="s">
        <v>2803</v>
      </c>
      <c r="B66" s="331" t="str">
        <f>"北京市平均增长率"&amp;TEXT(基准地价修正!P24,"0.00%")</f>
        <v>北京市平均增长率1.39%</v>
      </c>
      <c r="C66" s="602">
        <v>100</v>
      </c>
      <c r="D66" s="594"/>
      <c r="E66" s="594"/>
      <c r="F66" s="594"/>
      <c r="G66" s="594"/>
      <c r="H66" s="594"/>
      <c r="I66" s="594"/>
      <c r="J66" s="594"/>
      <c r="K66" s="594"/>
      <c r="L66" s="594"/>
      <c r="M66" s="1568"/>
      <c r="N66" s="1568"/>
      <c r="O66" s="1570"/>
      <c r="P66" s="503"/>
    </row>
    <row r="67" spans="1:17" s="116" customFormat="1" ht="15.75" thickBot="1">
      <c r="A67" s="514" t="s">
        <v>2586</v>
      </c>
      <c r="B67" s="515"/>
      <c r="C67" s="516"/>
      <c r="D67" s="517"/>
      <c r="E67" s="517"/>
      <c r="F67" s="517"/>
      <c r="G67" s="517"/>
      <c r="H67" s="517"/>
      <c r="I67" s="517"/>
      <c r="J67" s="517"/>
      <c r="K67" s="517"/>
      <c r="L67" s="517"/>
      <c r="M67" s="518"/>
      <c r="N67" s="518"/>
      <c r="O67" s="519"/>
      <c r="P67" s="503"/>
      <c r="Q67" s="503"/>
    </row>
    <row r="68" spans="1:17" s="116" customFormat="1" ht="15">
      <c r="A68" s="520" t="s">
        <v>2551</v>
      </c>
      <c r="B68" s="509"/>
      <c r="C68" s="521" t="s">
        <v>2653</v>
      </c>
      <c r="D68" s="522"/>
      <c r="E68" s="522"/>
      <c r="F68" s="522"/>
      <c r="G68" s="522"/>
      <c r="H68" s="522"/>
      <c r="I68" s="522"/>
      <c r="J68" s="522"/>
      <c r="K68" s="522"/>
      <c r="L68" s="523"/>
      <c r="M68" s="524"/>
      <c r="N68" s="1151"/>
      <c r="O68" s="1151"/>
      <c r="P68" s="525"/>
      <c r="Q68" s="503"/>
    </row>
    <row r="69" spans="1:17" s="116" customFormat="1" ht="15.75" thickBot="1">
      <c r="A69" s="520"/>
      <c r="B69" s="509"/>
      <c r="C69" s="638">
        <v>100</v>
      </c>
      <c r="D69" s="511"/>
      <c r="E69" s="511"/>
      <c r="F69" s="511"/>
      <c r="G69" s="511"/>
      <c r="H69" s="511"/>
      <c r="I69" s="511"/>
      <c r="J69" s="511"/>
      <c r="K69" s="511"/>
      <c r="L69" s="511"/>
      <c r="M69" s="513"/>
      <c r="N69" s="1151"/>
      <c r="O69" s="1151"/>
      <c r="P69" s="503"/>
      <c r="Q69" s="503"/>
    </row>
    <row r="70" spans="1:17">
      <c r="A70" s="526" t="s">
        <v>2589</v>
      </c>
      <c r="B70" s="527" t="s">
        <v>2555</v>
      </c>
      <c r="C70" s="529"/>
      <c r="D70" s="529"/>
      <c r="E70" s="529"/>
      <c r="F70" s="529"/>
      <c r="G70" s="529"/>
      <c r="H70" s="529"/>
      <c r="I70" s="529"/>
      <c r="J70" s="529"/>
      <c r="K70" s="530"/>
      <c r="L70" s="531"/>
      <c r="M70" s="532"/>
      <c r="N70" s="1152"/>
      <c r="O70" s="1152"/>
      <c r="P70" s="45"/>
      <c r="Q70" s="503"/>
    </row>
    <row r="71" spans="1:17" ht="15.75" thickBot="1">
      <c r="A71" s="533"/>
      <c r="B71" s="534"/>
      <c r="C71" s="535"/>
      <c r="D71" s="535"/>
      <c r="E71" s="535"/>
      <c r="F71" s="535"/>
      <c r="G71" s="535"/>
      <c r="H71" s="535"/>
      <c r="I71" s="535"/>
      <c r="J71" s="535"/>
      <c r="K71" s="535"/>
      <c r="L71" s="535"/>
      <c r="M71" s="536"/>
      <c r="N71" s="1153"/>
      <c r="O71" s="1153"/>
      <c r="P71" s="45"/>
      <c r="Q71" s="503"/>
    </row>
    <row r="72" spans="1:17" ht="27.75" thickTop="1">
      <c r="A72" s="533"/>
      <c r="B72" s="537" t="s">
        <v>2558</v>
      </c>
      <c r="C72" s="538"/>
      <c r="D72" s="538"/>
      <c r="E72" s="538"/>
      <c r="F72" s="538"/>
      <c r="G72" s="538"/>
      <c r="H72" s="538"/>
      <c r="I72" s="538"/>
      <c r="J72" s="538"/>
      <c r="K72" s="539"/>
      <c r="L72" s="540"/>
      <c r="M72" s="541"/>
      <c r="N72" s="1152"/>
      <c r="O72" s="1152"/>
      <c r="P72" s="45"/>
      <c r="Q72" s="503"/>
    </row>
    <row r="73" spans="1:17" ht="15.75" thickBot="1">
      <c r="A73" s="533"/>
      <c r="B73" s="542"/>
      <c r="C73" s="543"/>
      <c r="D73" s="543"/>
      <c r="E73" s="543"/>
      <c r="F73" s="543"/>
      <c r="G73" s="543"/>
      <c r="H73" s="543"/>
      <c r="I73" s="543"/>
      <c r="J73" s="543"/>
      <c r="K73" s="543"/>
      <c r="L73" s="543"/>
      <c r="M73" s="544"/>
      <c r="N73" s="1153"/>
      <c r="O73" s="1153"/>
      <c r="P73" s="45"/>
      <c r="Q73" s="503"/>
    </row>
    <row r="74" spans="1:17" ht="15.75" thickTop="1">
      <c r="A74" s="533"/>
      <c r="B74" s="545" t="s">
        <v>2559</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3"/>
      <c r="O74" s="1153"/>
      <c r="P74" s="45"/>
      <c r="Q74" s="503"/>
    </row>
    <row r="75" spans="1:17" ht="15">
      <c r="A75" s="533"/>
      <c r="B75" s="547"/>
      <c r="C75" s="548"/>
      <c r="D75" s="548"/>
      <c r="E75" s="548"/>
      <c r="F75" s="548"/>
      <c r="G75" s="548"/>
      <c r="H75" s="548"/>
      <c r="I75" s="548"/>
      <c r="J75" s="548"/>
      <c r="K75" s="549"/>
      <c r="L75" s="550"/>
      <c r="M75" s="551"/>
      <c r="N75" s="1152"/>
      <c r="O75" s="1152"/>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3"/>
      <c r="O76" s="1153"/>
      <c r="P76" s="45"/>
      <c r="Q76" s="503"/>
    </row>
    <row r="77" spans="1:17" s="470" customFormat="1" ht="15.75" thickTop="1">
      <c r="A77" s="552"/>
      <c r="B77" s="537">
        <f>B12</f>
        <v>111</v>
      </c>
      <c r="C77" s="553"/>
      <c r="D77" s="553"/>
      <c r="E77" s="553"/>
      <c r="F77" s="553"/>
      <c r="G77" s="553"/>
      <c r="H77" s="554"/>
      <c r="I77" s="554"/>
      <c r="J77" s="554"/>
      <c r="K77" s="554"/>
      <c r="L77" s="555"/>
      <c r="M77" s="556"/>
      <c r="N77" s="1154"/>
      <c r="O77" s="1154"/>
      <c r="P77" s="557"/>
      <c r="Q77" s="558"/>
    </row>
    <row r="78" spans="1:17" s="470" customFormat="1" ht="15.75" thickBot="1">
      <c r="A78" s="552"/>
      <c r="B78" s="542"/>
      <c r="C78" s="559"/>
      <c r="D78" s="535"/>
      <c r="E78" s="535"/>
      <c r="F78" s="535"/>
      <c r="G78" s="535"/>
      <c r="H78" s="535"/>
      <c r="I78" s="535"/>
      <c r="J78" s="535"/>
      <c r="K78" s="535"/>
      <c r="L78" s="535"/>
      <c r="M78" s="536"/>
      <c r="N78" s="1153"/>
      <c r="O78" s="1153"/>
      <c r="P78" s="557"/>
      <c r="Q78" s="558"/>
    </row>
    <row r="79" spans="1:17" s="470" customFormat="1" ht="15.75" thickTop="1">
      <c r="A79" s="552"/>
      <c r="B79" s="537">
        <f>B13</f>
        <v>111</v>
      </c>
      <c r="C79" s="553"/>
      <c r="D79" s="553"/>
      <c r="E79" s="553"/>
      <c r="F79" s="553"/>
      <c r="G79" s="553"/>
      <c r="H79" s="554"/>
      <c r="I79" s="554"/>
      <c r="J79" s="554"/>
      <c r="K79" s="554"/>
      <c r="L79" s="555"/>
      <c r="M79" s="556"/>
      <c r="N79" s="1154"/>
      <c r="O79" s="1154"/>
      <c r="P79" s="469"/>
      <c r="Q79" s="560"/>
    </row>
    <row r="80" spans="1:17" s="470" customFormat="1" ht="15.75" thickBot="1">
      <c r="A80" s="552"/>
      <c r="B80" s="542"/>
      <c r="C80" s="559"/>
      <c r="D80" s="559"/>
      <c r="E80" s="559"/>
      <c r="F80" s="559"/>
      <c r="G80" s="559"/>
      <c r="H80" s="561"/>
      <c r="I80" s="561"/>
      <c r="J80" s="561"/>
      <c r="K80" s="561"/>
      <c r="L80" s="561"/>
      <c r="M80" s="562"/>
      <c r="N80" s="1154"/>
      <c r="O80" s="1154"/>
      <c r="P80" s="557"/>
      <c r="Q80" s="558"/>
    </row>
    <row r="81" spans="1:17" s="470" customFormat="1" ht="15.75" thickTop="1">
      <c r="A81" s="552"/>
      <c r="B81" s="545">
        <f>B14</f>
        <v>111</v>
      </c>
      <c r="C81" s="522"/>
      <c r="D81" s="522"/>
      <c r="E81" s="522"/>
      <c r="F81" s="522"/>
      <c r="G81" s="522"/>
      <c r="H81" s="563"/>
      <c r="I81" s="563"/>
      <c r="J81" s="563"/>
      <c r="K81" s="563"/>
      <c r="L81" s="564"/>
      <c r="M81" s="565"/>
      <c r="N81" s="1154"/>
      <c r="O81" s="1154"/>
      <c r="P81" s="566"/>
      <c r="Q81" s="558"/>
    </row>
    <row r="82" spans="1:17" s="470" customFormat="1" ht="15.75" thickBot="1">
      <c r="A82" s="567"/>
      <c r="B82" s="568"/>
      <c r="C82" s="569"/>
      <c r="D82" s="569"/>
      <c r="E82" s="569"/>
      <c r="F82" s="569"/>
      <c r="G82" s="569"/>
      <c r="H82" s="570"/>
      <c r="I82" s="570"/>
      <c r="J82" s="570"/>
      <c r="K82" s="570"/>
      <c r="L82" s="570"/>
      <c r="M82" s="571"/>
      <c r="N82" s="1154"/>
      <c r="O82" s="1154"/>
      <c r="P82" s="557"/>
      <c r="Q82" s="558"/>
    </row>
    <row r="83" spans="1:17">
      <c r="A83" s="526" t="s">
        <v>2560</v>
      </c>
      <c r="B83" s="527" t="s">
        <v>2706</v>
      </c>
      <c r="C83" s="572" t="s">
        <v>2598</v>
      </c>
      <c r="D83" s="572" t="s">
        <v>2599</v>
      </c>
      <c r="E83" s="572" t="s">
        <v>2600</v>
      </c>
      <c r="F83" s="572" t="s">
        <v>2601</v>
      </c>
      <c r="G83" s="572" t="s">
        <v>2602</v>
      </c>
      <c r="H83" s="528"/>
      <c r="I83" s="528"/>
      <c r="J83" s="528"/>
      <c r="K83" s="573"/>
      <c r="L83" s="574"/>
      <c r="M83" s="575"/>
      <c r="N83" s="1152"/>
      <c r="O83" s="1152"/>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3"/>
      <c r="O84" s="1153"/>
      <c r="P84" s="45"/>
      <c r="Q84" s="503"/>
    </row>
    <row r="85" spans="1:17" ht="15.75" thickTop="1">
      <c r="A85" s="533"/>
      <c r="B85" s="537" t="s">
        <v>2603</v>
      </c>
      <c r="C85" s="577" t="s">
        <v>2598</v>
      </c>
      <c r="D85" s="577" t="s">
        <v>2599</v>
      </c>
      <c r="E85" s="577" t="s">
        <v>2600</v>
      </c>
      <c r="F85" s="577" t="s">
        <v>2601</v>
      </c>
      <c r="G85" s="577" t="s">
        <v>2602</v>
      </c>
      <c r="H85" s="538"/>
      <c r="I85" s="538"/>
      <c r="J85" s="538"/>
      <c r="K85" s="539"/>
      <c r="L85" s="540"/>
      <c r="M85" s="541"/>
      <c r="N85" s="1152"/>
      <c r="O85" s="1152"/>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3"/>
      <c r="O86" s="1153"/>
      <c r="P86" s="45"/>
      <c r="Q86" s="503"/>
    </row>
    <row r="87" spans="1:17" s="116" customFormat="1" ht="15.75" thickTop="1">
      <c r="A87" s="578"/>
      <c r="B87" s="537" t="s">
        <v>2786</v>
      </c>
      <c r="C87" s="572" t="s">
        <v>2598</v>
      </c>
      <c r="D87" s="572" t="s">
        <v>2599</v>
      </c>
      <c r="E87" s="572" t="s">
        <v>2600</v>
      </c>
      <c r="F87" s="572" t="s">
        <v>2601</v>
      </c>
      <c r="G87" s="572" t="s">
        <v>2602</v>
      </c>
      <c r="H87" s="577"/>
      <c r="I87" s="577"/>
      <c r="J87" s="577"/>
      <c r="K87" s="577"/>
      <c r="L87" s="697"/>
      <c r="M87" s="621"/>
      <c r="N87" s="1151"/>
      <c r="O87" s="1151"/>
      <c r="P87" s="45"/>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3"/>
      <c r="O88" s="1153"/>
      <c r="P88" s="45"/>
      <c r="Q88" s="503"/>
    </row>
    <row r="89" spans="1:17" s="116" customFormat="1" ht="27.75" thickTop="1">
      <c r="A89" s="578"/>
      <c r="B89" s="537" t="s">
        <v>2787</v>
      </c>
      <c r="C89" s="572" t="s">
        <v>2598</v>
      </c>
      <c r="D89" s="572" t="s">
        <v>2599</v>
      </c>
      <c r="E89" s="572" t="s">
        <v>2600</v>
      </c>
      <c r="F89" s="572" t="s">
        <v>2601</v>
      </c>
      <c r="G89" s="572" t="s">
        <v>2602</v>
      </c>
      <c r="H89" s="577"/>
      <c r="I89" s="577"/>
      <c r="J89" s="577"/>
      <c r="K89" s="577"/>
      <c r="L89" s="577"/>
      <c r="M89" s="621"/>
      <c r="N89" s="1151"/>
      <c r="O89" s="1151"/>
      <c r="P89" s="45"/>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3"/>
      <c r="O90" s="1153"/>
      <c r="P90" s="45"/>
      <c r="Q90" s="503"/>
    </row>
    <row r="91" spans="1:17" s="470" customFormat="1" ht="15.75" thickTop="1">
      <c r="A91" s="552"/>
      <c r="B91" s="537" t="s">
        <v>2655</v>
      </c>
      <c r="C91" s="572" t="s">
        <v>2598</v>
      </c>
      <c r="D91" s="572" t="s">
        <v>2599</v>
      </c>
      <c r="E91" s="572" t="s">
        <v>2600</v>
      </c>
      <c r="F91" s="572" t="s">
        <v>2601</v>
      </c>
      <c r="G91" s="572" t="s">
        <v>2602</v>
      </c>
      <c r="H91" s="599"/>
      <c r="I91" s="599"/>
      <c r="J91" s="599"/>
      <c r="K91" s="599"/>
      <c r="L91" s="600"/>
      <c r="M91" s="601"/>
      <c r="N91" s="1154"/>
      <c r="O91" s="1154"/>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4"/>
      <c r="O92" s="1154"/>
      <c r="P92" s="557"/>
      <c r="Q92" s="558"/>
    </row>
    <row r="93" spans="1:17" s="470" customFormat="1" ht="15.75" thickTop="1">
      <c r="A93" s="552"/>
      <c r="B93" s="545" t="s">
        <v>2804</v>
      </c>
      <c r="C93" s="659" t="s">
        <v>2676</v>
      </c>
      <c r="D93" s="659" t="s">
        <v>2677</v>
      </c>
      <c r="E93" s="659" t="s">
        <v>2678</v>
      </c>
      <c r="F93" s="659" t="s">
        <v>2679</v>
      </c>
      <c r="G93" s="659" t="s">
        <v>2680</v>
      </c>
      <c r="H93" s="599"/>
      <c r="I93" s="599"/>
      <c r="J93" s="599"/>
      <c r="K93" s="599"/>
      <c r="L93" s="599"/>
      <c r="M93" s="601"/>
      <c r="N93" s="1154"/>
      <c r="O93" s="1154"/>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5"/>
      <c r="N94" s="1154"/>
      <c r="O94" s="1154"/>
      <c r="P94" s="557"/>
      <c r="Q94" s="558"/>
    </row>
    <row r="95" spans="1:17" ht="15.75" thickTop="1">
      <c r="A95" s="533"/>
      <c r="B95" s="537" t="str">
        <f>B27</f>
        <v>临街状况</v>
      </c>
      <c r="C95" s="538" t="s">
        <v>2788</v>
      </c>
      <c r="D95" s="538" t="s">
        <v>2789</v>
      </c>
      <c r="E95" s="538" t="s">
        <v>2790</v>
      </c>
      <c r="F95" s="538" t="s">
        <v>2791</v>
      </c>
      <c r="G95" s="538"/>
      <c r="H95" s="538"/>
      <c r="I95" s="538"/>
      <c r="J95" s="538"/>
      <c r="K95" s="539"/>
      <c r="L95" s="540"/>
      <c r="M95" s="541"/>
      <c r="N95" s="1152"/>
      <c r="O95" s="1152"/>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3"/>
      <c r="O96" s="1153"/>
      <c r="P96" s="45"/>
      <c r="Q96" s="503"/>
    </row>
    <row r="97" spans="1:17" ht="27.75" thickTop="1">
      <c r="A97" s="533"/>
      <c r="B97" s="537" t="s">
        <v>2692</v>
      </c>
      <c r="C97" s="553"/>
      <c r="D97" s="553"/>
      <c r="E97" s="553"/>
      <c r="F97" s="553"/>
      <c r="G97" s="553"/>
      <c r="H97" s="582"/>
      <c r="I97" s="582"/>
      <c r="J97" s="582"/>
      <c r="K97" s="583"/>
      <c r="L97" s="584"/>
      <c r="M97" s="585"/>
      <c r="N97" s="1152"/>
      <c r="O97" s="1152"/>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3"/>
      <c r="O98" s="1153"/>
      <c r="P98" s="45"/>
      <c r="Q98" s="503"/>
    </row>
    <row r="99" spans="1:17" ht="15.75" thickTop="1">
      <c r="A99" s="533"/>
      <c r="B99" s="537" t="s">
        <v>2751</v>
      </c>
      <c r="C99" s="582"/>
      <c r="D99" s="582"/>
      <c r="E99" s="582"/>
      <c r="F99" s="582"/>
      <c r="G99" s="582"/>
      <c r="H99" s="582"/>
      <c r="I99" s="582"/>
      <c r="J99" s="582"/>
      <c r="K99" s="583"/>
      <c r="L99" s="584"/>
      <c r="M99" s="585"/>
      <c r="N99" s="1152"/>
      <c r="O99" s="1152"/>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3"/>
      <c r="O100" s="1153"/>
      <c r="P100" s="45"/>
      <c r="Q100" s="503"/>
    </row>
    <row r="101" spans="1:17" ht="15.75" thickTop="1">
      <c r="A101" s="533"/>
      <c r="B101" s="545">
        <f>B31</f>
        <v>111</v>
      </c>
      <c r="C101" s="553"/>
      <c r="D101" s="553"/>
      <c r="E101" s="553"/>
      <c r="F101" s="553"/>
      <c r="G101" s="586"/>
      <c r="H101" s="586"/>
      <c r="I101" s="586"/>
      <c r="J101" s="586"/>
      <c r="K101" s="587"/>
      <c r="L101" s="588"/>
      <c r="M101" s="589"/>
      <c r="N101" s="1152"/>
      <c r="O101" s="1152"/>
      <c r="P101" s="45"/>
      <c r="Q101" s="503"/>
    </row>
    <row r="102" spans="1:17" ht="15.75" thickBot="1">
      <c r="A102" s="533"/>
      <c r="B102" s="568"/>
      <c r="C102" s="559"/>
      <c r="D102" s="535"/>
      <c r="E102" s="535"/>
      <c r="F102" s="535"/>
      <c r="G102" s="590"/>
      <c r="H102" s="590"/>
      <c r="I102" s="590"/>
      <c r="J102" s="590"/>
      <c r="K102" s="590"/>
      <c r="L102" s="590"/>
      <c r="M102" s="591"/>
      <c r="N102" s="1153"/>
      <c r="O102" s="1153"/>
      <c r="P102" s="45"/>
      <c r="Q102" s="503"/>
    </row>
    <row r="103" spans="1:17" ht="15" thickTop="1">
      <c r="A103" s="674"/>
      <c r="B103" s="537">
        <f>B32</f>
        <v>111</v>
      </c>
      <c r="C103" s="553"/>
      <c r="D103" s="553"/>
      <c r="E103" s="553"/>
      <c r="F103" s="553"/>
      <c r="G103" s="582"/>
      <c r="H103" s="582"/>
      <c r="I103" s="582"/>
      <c r="J103" s="582"/>
      <c r="K103" s="583"/>
      <c r="L103" s="584"/>
      <c r="M103" s="585"/>
      <c r="N103" s="1152"/>
      <c r="O103" s="1152"/>
      <c r="P103" s="45"/>
      <c r="Q103" s="503"/>
    </row>
    <row r="104" spans="1:17" ht="15.75" thickBot="1">
      <c r="A104" s="533"/>
      <c r="B104" s="542"/>
      <c r="C104" s="559"/>
      <c r="D104" s="559"/>
      <c r="E104" s="559"/>
      <c r="F104" s="559"/>
      <c r="G104" s="535"/>
      <c r="H104" s="535"/>
      <c r="I104" s="535"/>
      <c r="J104" s="535"/>
      <c r="K104" s="535"/>
      <c r="L104" s="535"/>
      <c r="M104" s="536"/>
      <c r="N104" s="1153"/>
      <c r="O104" s="1153"/>
      <c r="P104" s="45"/>
      <c r="Q104" s="503"/>
    </row>
    <row r="105" spans="1:17" s="470" customFormat="1" ht="15" thickTop="1">
      <c r="A105" s="592"/>
      <c r="B105" s="593">
        <f>B33</f>
        <v>111</v>
      </c>
      <c r="C105" s="522"/>
      <c r="D105" s="522"/>
      <c r="E105" s="522"/>
      <c r="F105" s="522"/>
      <c r="G105" s="594"/>
      <c r="H105" s="594"/>
      <c r="I105" s="594"/>
      <c r="J105" s="595"/>
      <c r="K105" s="595"/>
      <c r="L105" s="596"/>
      <c r="M105" s="597"/>
      <c r="N105" s="1154"/>
      <c r="O105" s="1154"/>
      <c r="P105" s="557"/>
      <c r="Q105" s="558"/>
    </row>
    <row r="106" spans="1:17" s="470" customFormat="1" ht="15.75" thickBot="1">
      <c r="A106" s="552"/>
      <c r="B106" s="545"/>
      <c r="C106" s="569"/>
      <c r="D106" s="569"/>
      <c r="E106" s="569"/>
      <c r="F106" s="569"/>
      <c r="G106" s="676"/>
      <c r="H106" s="676"/>
      <c r="I106" s="676"/>
      <c r="J106" s="676"/>
      <c r="K106" s="676"/>
      <c r="L106" s="676"/>
      <c r="M106" s="698"/>
      <c r="N106" s="1153"/>
      <c r="O106" s="1153"/>
      <c r="P106" s="557"/>
      <c r="Q106" s="558"/>
    </row>
    <row r="107" spans="1:17">
      <c r="A107" s="526" t="s">
        <v>2564</v>
      </c>
      <c r="B107" s="527" t="s">
        <v>2792</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7" t="str">
        <f t="shared" si="25"/>
        <v>(含)-</v>
      </c>
      <c r="L107" s="1767" t="str">
        <f t="shared" si="25"/>
        <v>(含)-</v>
      </c>
      <c r="M107" s="1768" t="str">
        <f>M108&amp;"(含)"&amp;"-"&amp;P108</f>
        <v>(含)-</v>
      </c>
      <c r="N107" s="1152"/>
      <c r="O107" s="1152"/>
      <c r="P107" s="45"/>
      <c r="Q107" s="503"/>
    </row>
    <row r="108" spans="1:17" ht="15">
      <c r="A108" s="533"/>
      <c r="B108" s="545"/>
      <c r="C108" s="594"/>
      <c r="D108" s="594"/>
      <c r="E108" s="594"/>
      <c r="F108" s="594"/>
      <c r="G108" s="594"/>
      <c r="H108" s="594"/>
      <c r="I108" s="594"/>
      <c r="J108" s="595"/>
      <c r="K108" s="595"/>
      <c r="L108" s="596"/>
      <c r="M108" s="597"/>
      <c r="N108" s="1152"/>
      <c r="O108" s="1152"/>
      <c r="P108" s="45"/>
      <c r="Q108" s="503"/>
    </row>
    <row r="109" spans="1:17" ht="15.75" thickBot="1">
      <c r="A109" s="533"/>
      <c r="B109" s="542"/>
      <c r="C109" s="569"/>
      <c r="D109" s="590"/>
      <c r="E109" s="590"/>
      <c r="F109" s="590"/>
      <c r="G109" s="590"/>
      <c r="H109" s="590"/>
      <c r="I109" s="590"/>
      <c r="J109" s="590"/>
      <c r="K109" s="590"/>
      <c r="L109" s="590"/>
      <c r="M109" s="591"/>
      <c r="N109" s="1153"/>
      <c r="O109" s="1153"/>
      <c r="P109" s="45"/>
      <c r="Q109" s="503"/>
    </row>
    <row r="110" spans="1:17" ht="15" thickTop="1">
      <c r="A110" s="598"/>
      <c r="B110" s="537" t="s">
        <v>2793</v>
      </c>
      <c r="C110" s="582"/>
      <c r="D110" s="582"/>
      <c r="E110" s="582"/>
      <c r="F110" s="582"/>
      <c r="G110" s="582"/>
      <c r="H110" s="582"/>
      <c r="I110" s="582"/>
      <c r="J110" s="582"/>
      <c r="K110" s="583"/>
      <c r="L110" s="584"/>
      <c r="M110" s="585"/>
      <c r="N110" s="1152"/>
      <c r="O110" s="1152"/>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3"/>
      <c r="O111" s="1153"/>
      <c r="P111" s="45"/>
      <c r="Q111" s="503"/>
    </row>
    <row r="112" spans="1:17" s="470" customFormat="1" ht="15" thickTop="1">
      <c r="A112" s="592"/>
      <c r="B112" s="537" t="s">
        <v>2795</v>
      </c>
      <c r="C112" s="553"/>
      <c r="D112" s="553"/>
      <c r="E112" s="553"/>
      <c r="F112" s="553"/>
      <c r="G112" s="553"/>
      <c r="H112" s="582"/>
      <c r="I112" s="582"/>
      <c r="J112" s="582"/>
      <c r="K112" s="583"/>
      <c r="L112" s="584"/>
      <c r="M112" s="585"/>
      <c r="N112" s="1154"/>
      <c r="O112" s="1154"/>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4"/>
      <c r="O113" s="1154"/>
      <c r="P113" s="557"/>
      <c r="Q113" s="558"/>
    </row>
    <row r="114" spans="1:17" ht="15" thickTop="1">
      <c r="A114" s="598"/>
      <c r="B114" s="537" t="s">
        <v>2796</v>
      </c>
      <c r="C114" s="553"/>
      <c r="D114" s="553"/>
      <c r="E114" s="582"/>
      <c r="F114" s="582"/>
      <c r="G114" s="582"/>
      <c r="H114" s="582"/>
      <c r="I114" s="582"/>
      <c r="J114" s="582"/>
      <c r="K114" s="583"/>
      <c r="L114" s="584"/>
      <c r="M114" s="585"/>
      <c r="N114" s="1152"/>
      <c r="O114" s="1152"/>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45"/>
      <c r="Q115" s="503"/>
    </row>
    <row r="116" spans="1:17" ht="15" thickTop="1">
      <c r="A116" s="598"/>
      <c r="B116" s="537">
        <f>B38</f>
        <v>111</v>
      </c>
      <c r="C116" s="553"/>
      <c r="D116" s="553"/>
      <c r="E116" s="553"/>
      <c r="F116" s="553"/>
      <c r="G116" s="553"/>
      <c r="H116" s="582"/>
      <c r="I116" s="582"/>
      <c r="J116" s="582"/>
      <c r="K116" s="583"/>
      <c r="L116" s="584"/>
      <c r="M116" s="585"/>
      <c r="N116" s="1152"/>
      <c r="O116" s="1152"/>
      <c r="P116" s="45"/>
      <c r="Q116" s="503"/>
    </row>
    <row r="117" spans="1:17" ht="15.75" thickBot="1">
      <c r="A117" s="533"/>
      <c r="B117" s="542"/>
      <c r="C117" s="559"/>
      <c r="D117" s="535"/>
      <c r="E117" s="535"/>
      <c r="F117" s="535"/>
      <c r="G117" s="535"/>
      <c r="H117" s="535"/>
      <c r="I117" s="535"/>
      <c r="J117" s="535"/>
      <c r="K117" s="535"/>
      <c r="L117" s="535"/>
      <c r="M117" s="536"/>
      <c r="N117" s="1153"/>
      <c r="O117" s="1153"/>
      <c r="P117" s="45"/>
      <c r="Q117" s="503"/>
    </row>
    <row r="118" spans="1:17" ht="15" thickTop="1">
      <c r="A118" s="598"/>
      <c r="B118" s="537">
        <f>B39</f>
        <v>111</v>
      </c>
      <c r="C118" s="553"/>
      <c r="D118" s="553"/>
      <c r="E118" s="553"/>
      <c r="F118" s="553"/>
      <c r="G118" s="582"/>
      <c r="H118" s="582"/>
      <c r="I118" s="582"/>
      <c r="J118" s="582"/>
      <c r="K118" s="583"/>
      <c r="L118" s="584"/>
      <c r="M118" s="585"/>
      <c r="N118" s="1152"/>
      <c r="O118" s="1152"/>
      <c r="P118" s="45"/>
      <c r="Q118" s="503"/>
    </row>
    <row r="119" spans="1:17" ht="15.75" thickBot="1">
      <c r="A119" s="533"/>
      <c r="B119" s="542"/>
      <c r="C119" s="559"/>
      <c r="D119" s="559"/>
      <c r="E119" s="559"/>
      <c r="F119" s="559"/>
      <c r="G119" s="535"/>
      <c r="H119" s="535"/>
      <c r="I119" s="535"/>
      <c r="J119" s="535"/>
      <c r="K119" s="535"/>
      <c r="L119" s="535"/>
      <c r="M119" s="536"/>
      <c r="N119" s="1153"/>
      <c r="O119" s="1153"/>
      <c r="P119" s="45"/>
      <c r="Q119" s="503"/>
    </row>
    <row r="120" spans="1:17" s="470" customFormat="1" ht="15" thickTop="1">
      <c r="A120" s="592"/>
      <c r="B120" s="537">
        <f>B40</f>
        <v>111</v>
      </c>
      <c r="C120" s="522"/>
      <c r="D120" s="522"/>
      <c r="E120" s="522"/>
      <c r="F120" s="522"/>
      <c r="G120" s="554"/>
      <c r="H120" s="554"/>
      <c r="I120" s="554"/>
      <c r="J120" s="554"/>
      <c r="K120" s="554"/>
      <c r="L120" s="555"/>
      <c r="M120" s="556"/>
      <c r="N120" s="1154"/>
      <c r="O120" s="1154"/>
      <c r="P120" s="557"/>
      <c r="Q120" s="558"/>
    </row>
    <row r="121" spans="1:17" s="470" customFormat="1" ht="15.75" thickBot="1">
      <c r="A121" s="567"/>
      <c r="B121" s="699"/>
      <c r="C121" s="569"/>
      <c r="D121" s="569"/>
      <c r="E121" s="569"/>
      <c r="F121" s="569"/>
      <c r="G121" s="590"/>
      <c r="H121" s="590"/>
      <c r="I121" s="590"/>
      <c r="J121" s="590"/>
      <c r="K121" s="590"/>
      <c r="L121" s="590"/>
      <c r="M121" s="591"/>
      <c r="N121" s="1154"/>
      <c r="O121" s="1154"/>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L29" sqref="L29"/>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2" customWidth="1"/>
    <col min="33" max="36" width="9.375" style="2795" customWidth="1"/>
    <col min="37" max="38" width="9.375" style="2719" customWidth="1"/>
    <col min="39" max="16384" width="12" style="2719"/>
  </cols>
  <sheetData>
    <row r="1" spans="1:36" ht="28.5">
      <c r="A1" s="239" t="s">
        <v>2805</v>
      </c>
      <c r="B1" s="240"/>
      <c r="C1" s="244" t="s">
        <v>2806</v>
      </c>
      <c r="D1" s="387">
        <f>SUM(D29:D30,D33:D39)</f>
        <v>0</v>
      </c>
      <c r="E1" s="2716"/>
      <c r="F1" s="2716"/>
      <c r="G1" s="2716"/>
      <c r="H1" s="2716"/>
      <c r="I1" s="2716"/>
      <c r="J1" s="2716"/>
      <c r="K1" s="1370"/>
      <c r="L1" s="2717" t="s">
        <v>2807</v>
      </c>
      <c r="M1" s="1081">
        <f>SUMPRODUCT((区片价!B5:B9=I2)*(区片价!C3:F3=E2)*(区片价!C5:F9))</f>
        <v>0</v>
      </c>
      <c r="N1" s="1084">
        <f>SUMPRODUCT((因素修正幅度!B5:B9=I2)*(因素修正幅度!C3:F3=E2)*(因素修正幅度!C5:F9))</f>
        <v>0</v>
      </c>
      <c r="O1" s="2718"/>
      <c r="P1" s="2718"/>
      <c r="Q1" s="1370"/>
      <c r="R1" s="1603" t="s">
        <v>2808</v>
      </c>
      <c r="S1" s="1603" t="s">
        <v>2809</v>
      </c>
      <c r="T1" s="1603" t="s">
        <v>2810</v>
      </c>
      <c r="U1" s="1603" t="s">
        <v>2811</v>
      </c>
      <c r="V1" s="1603" t="s">
        <v>2812</v>
      </c>
      <c r="W1" s="1607"/>
      <c r="X1" s="1607"/>
      <c r="Y1" s="1607"/>
      <c r="Z1" s="1607"/>
      <c r="AA1" s="1607"/>
      <c r="AB1" s="1607"/>
      <c r="AC1" s="1608"/>
      <c r="AD1" s="1609"/>
      <c r="AE1" s="1609"/>
      <c r="AF1" s="1609"/>
      <c r="AG1" s="1609"/>
      <c r="AH1" s="1609"/>
      <c r="AI1" s="1609"/>
      <c r="AJ1" s="1610"/>
    </row>
    <row r="2" spans="1:36" ht="15.75">
      <c r="A2" s="244" t="s">
        <v>2813</v>
      </c>
      <c r="B2" s="247" t="e">
        <f>C26</f>
        <v>#DIV/0!</v>
      </c>
      <c r="C2" s="2720" t="s">
        <v>2814</v>
      </c>
      <c r="D2" s="2721" t="s">
        <v>2815</v>
      </c>
      <c r="E2" s="2722"/>
      <c r="F2" s="2721" t="s">
        <v>2816</v>
      </c>
      <c r="G2" s="2723">
        <f>IF(E2="商业",项目基本情况!B37,IF(E2="办公",项目基本情况!C37,IF(E2="住宅",项目基本情况!D37,项目基本情况!E37)))</f>
        <v>0</v>
      </c>
      <c r="H2" s="2721" t="s">
        <v>2817</v>
      </c>
      <c r="I2" s="2723">
        <f>IF(E2="商业",项目基本情况!B38,IF(E2="办公",项目基本情况!C38,IF(E2="住宅",项目基本情况!D38,项目基本情况!E38)))</f>
        <v>0</v>
      </c>
      <c r="J2" s="2724"/>
      <c r="K2" s="1370"/>
      <c r="L2" s="2725" t="s">
        <v>2818</v>
      </c>
      <c r="M2" s="1082">
        <f>SUMPRODUCT((区片价!B10:B28=I2)*(区片价!C3:F3=E2)*(区片价!C10:F28))</f>
        <v>0</v>
      </c>
      <c r="N2" s="1084">
        <f>SUMPRODUCT((因素修正幅度!B10:B28=I2)*(因素修正幅度!C3:F3=E2)*(因素修正幅度!C10:F28))</f>
        <v>0</v>
      </c>
      <c r="O2" s="1370"/>
      <c r="P2" s="1370"/>
      <c r="Q2" s="1370"/>
      <c r="R2" s="1603">
        <v>1</v>
      </c>
      <c r="S2" s="1603">
        <f>ROUND(IF(G3&gt;1,IF(R2&lt;7,SUMPRODUCT((B93:B98=R2)*(C92:N92=G2)*(C93:N98)),SUMIF(C92:N92,G2,C100:N100)),IF(R2&lt;7,SUMPRODUCT((B102:B107=R2)*(C92:N92=G2)*(C102:N107)),SUMIF(C92:N92,G2,C109:N109))),4)</f>
        <v>0</v>
      </c>
      <c r="T2" s="1603" t="e">
        <f>ROUND($C$5*$C$18*$C$19*$C$20*S2*$C$24,0)</f>
        <v>#DIV/0!</v>
      </c>
      <c r="U2" s="1604"/>
      <c r="V2" s="1603" t="e">
        <f>ROUND(T2*U2/10000,0)</f>
        <v>#DIV/0!</v>
      </c>
      <c r="W2" s="1607"/>
      <c r="X2" s="1607"/>
      <c r="Y2" s="1607"/>
      <c r="Z2" s="1607"/>
      <c r="AA2" s="1607"/>
      <c r="AB2" s="1607"/>
      <c r="AC2" s="1608"/>
      <c r="AD2" s="1609"/>
      <c r="AE2" s="1609"/>
      <c r="AF2" s="1609"/>
      <c r="AG2" s="1609"/>
      <c r="AH2" s="1609"/>
      <c r="AI2" s="1609"/>
      <c r="AJ2" s="1610"/>
    </row>
    <row r="3" spans="1:36" ht="15.75">
      <c r="A3" s="246" t="s">
        <v>2819</v>
      </c>
      <c r="B3" s="247" t="e">
        <f>ROUND(B2*10000/D1,0)</f>
        <v>#DIV/0!</v>
      </c>
      <c r="C3" s="2720" t="s">
        <v>2820</v>
      </c>
      <c r="D3" s="2721" t="s">
        <v>2821</v>
      </c>
      <c r="E3" s="2726"/>
      <c r="F3" s="2727" t="s">
        <v>2822</v>
      </c>
      <c r="G3" s="915">
        <f>IF(F3="宗地容积率",'数据-汇总表'!I4,IF(F3="估价对象容积率",'数据-汇总表'!I6,'数据-汇总表'!I7))</f>
        <v>2.39</v>
      </c>
      <c r="H3" s="197" t="s">
        <v>2823</v>
      </c>
      <c r="I3" s="946"/>
      <c r="J3" s="2724" t="s">
        <v>2824</v>
      </c>
      <c r="K3" s="1370"/>
      <c r="L3" s="2725" t="s">
        <v>2825</v>
      </c>
      <c r="M3" s="1082">
        <f>SUMPRODUCT((区片价!B29:B48=I2)*(区片价!C3:F3=E2)*(区片价!C29:F48))</f>
        <v>0</v>
      </c>
      <c r="N3" s="1084">
        <f>SUMPRODUCT((因素修正幅度!B29:B48=I2)*(因素修正幅度!C3:F3=E2)*(因素修正幅度!C29:F48))</f>
        <v>0</v>
      </c>
      <c r="O3" s="1370"/>
      <c r="P3" s="1370"/>
      <c r="Q3" s="1370"/>
      <c r="R3" s="1603">
        <v>2</v>
      </c>
      <c r="S3" s="1603">
        <f>ROUND(IF(G3&gt;1,IF(R3&lt;7,SUMPRODUCT((B93:B98=R3)*(C92:N92=G2)*(C93:N98)),SUMIF(C92:N92,G2,C100:N100)),IF(R3&lt;7,SUMPRODUCT((B102:B107=R3)*(C92:N92=G2)*(C102:N107)),SUMIF(C92:N92,G2,C109:N109))),4)</f>
        <v>0</v>
      </c>
      <c r="T3" s="1603" t="e">
        <f t="shared" ref="T3:T16" si="0">ROUND($C$5*$C$18*$C$19*$C$20*S3*$C$24,0)</f>
        <v>#DIV/0!</v>
      </c>
      <c r="U3" s="1604"/>
      <c r="V3" s="1603" t="e">
        <f t="shared" ref="V3:V16" si="1">ROUND(T3*U3/10000,0)</f>
        <v>#DIV/0!</v>
      </c>
      <c r="W3" s="1607"/>
      <c r="X3" s="1607"/>
      <c r="Y3" s="1607"/>
      <c r="Z3" s="1607"/>
      <c r="AA3" s="1607"/>
      <c r="AB3" s="1607"/>
      <c r="AC3" s="1608"/>
      <c r="AD3" s="1609"/>
      <c r="AE3" s="1609"/>
      <c r="AF3" s="1609"/>
      <c r="AG3" s="1609"/>
      <c r="AH3" s="1609"/>
      <c r="AI3" s="1609"/>
      <c r="AJ3" s="1610"/>
    </row>
    <row r="4" spans="1:36" ht="15.75">
      <c r="A4" s="3239"/>
      <c r="B4" s="3240"/>
      <c r="C4" s="3240"/>
      <c r="D4" s="3241"/>
      <c r="E4" s="3241"/>
      <c r="F4" s="3241"/>
      <c r="G4" s="3241"/>
      <c r="H4" s="3241"/>
      <c r="I4" s="3241"/>
      <c r="J4" s="3242"/>
      <c r="K4" s="1370"/>
      <c r="L4" s="2725" t="s">
        <v>2826</v>
      </c>
      <c r="M4" s="1082">
        <f>SUMPRODUCT((区片价!B49:B75=I2)*(区片价!C3:F3=E2)*(区片价!C49:F75))</f>
        <v>0</v>
      </c>
      <c r="N4" s="1084">
        <f>SUMPRODUCT((因素修正幅度!B49:B75=I2)*(因素修正幅度!C3:F3=E2)*(因素修正幅度!C49:F75))</f>
        <v>0</v>
      </c>
      <c r="O4" s="1370"/>
      <c r="P4" s="1370"/>
      <c r="Q4" s="1370"/>
      <c r="R4" s="1603">
        <v>3</v>
      </c>
      <c r="S4" s="1603">
        <f>ROUND(IF(G3&gt;1,IF(R4&lt;7,SUMPRODUCT((B93:B98=R4)*(C92:N92=G2)*(C93:N98)),SUMIF(C92:N92,G2,C100:N100)),IF(R4&lt;7,SUMPRODUCT((B102:B107=R4)*(C92:N92=G2)*(C102:N107)),SUMIF(C92:N92,G2,C109:N109))),4)</f>
        <v>0</v>
      </c>
      <c r="T4" s="1603" t="e">
        <f t="shared" si="0"/>
        <v>#DIV/0!</v>
      </c>
      <c r="U4" s="1604"/>
      <c r="V4" s="1603" t="e">
        <f t="shared" si="1"/>
        <v>#DIV/0!</v>
      </c>
      <c r="W4" s="1607"/>
      <c r="X4" s="1607"/>
      <c r="Y4" s="1607"/>
      <c r="Z4" s="1607"/>
      <c r="AA4" s="1607"/>
      <c r="AB4" s="1607"/>
      <c r="AC4" s="1608"/>
      <c r="AD4" s="1609"/>
      <c r="AE4" s="1609"/>
      <c r="AF4" s="1609"/>
      <c r="AG4" s="1609"/>
      <c r="AH4" s="1609"/>
      <c r="AI4" s="1609"/>
      <c r="AJ4" s="1610"/>
    </row>
    <row r="5" spans="1:36" s="2737" customFormat="1" ht="15.75" thickBot="1">
      <c r="A5" s="2728" t="s">
        <v>807</v>
      </c>
      <c r="B5" s="2729" t="s">
        <v>2827</v>
      </c>
      <c r="C5" s="916" t="e">
        <f>ROUND(IF(E2="商业",IF(F16="增加",C6*C7+C16,C6*C7-C16),IF(E2="住宅",IF(F16="增加",C6*C12+C16,C6*C12-C16),IF(F16="增加",C6+C16,C6-C16))),0)</f>
        <v>#DIV/0!</v>
      </c>
      <c r="D5" s="1788">
        <f>ROUND(IF(E2="商业",IF(F16="增加",C6+C16,C6-C16)),0)</f>
        <v>0</v>
      </c>
      <c r="E5" s="2730"/>
      <c r="F5" s="2730"/>
      <c r="G5" s="2731"/>
      <c r="H5" s="2731"/>
      <c r="I5" s="2731"/>
      <c r="J5" s="2732"/>
      <c r="K5" s="2733"/>
      <c r="L5" s="2725" t="s">
        <v>2828</v>
      </c>
      <c r="M5" s="1082">
        <f>SUMPRODUCT((区片价!B76:B109=I2)*(区片价!C3:F3=E2)*(区片价!C76:F109))</f>
        <v>0</v>
      </c>
      <c r="N5" s="1084">
        <f>SUMPRODUCT((因素修正幅度!B76:B109=I2)*(因素修正幅度!C3:F3=E2)*(因素修正幅度!C76:F109))</f>
        <v>0</v>
      </c>
      <c r="O5" s="1370"/>
      <c r="P5" s="1370"/>
      <c r="Q5" s="1370"/>
      <c r="R5" s="1603">
        <v>4</v>
      </c>
      <c r="S5" s="1603">
        <f>ROUND(IF(G3&gt;1,IF(R5&lt;7,SUMPRODUCT((B93:B98=R5)*(C92:N92=G2)*(C93:N98)),SUMIF(C92:N92,G2,C100:N100)),IF(R5&lt;7,SUMPRODUCT((B102:B107=R5)*(C92:N92=G2)*(C102:N107)),SUMIF(C92:N92,G2,C109:N109))),4)</f>
        <v>0</v>
      </c>
      <c r="T5" s="1603" t="e">
        <f t="shared" si="0"/>
        <v>#DIV/0!</v>
      </c>
      <c r="U5" s="1604"/>
      <c r="V5" s="1603" t="e">
        <f t="shared" si="1"/>
        <v>#DIV/0!</v>
      </c>
      <c r="W5" s="1607"/>
      <c r="X5" s="1607"/>
      <c r="Y5" s="1607"/>
      <c r="Z5" s="1607"/>
      <c r="AA5" s="1607"/>
      <c r="AB5" s="1607"/>
      <c r="AC5" s="2734"/>
      <c r="AD5" s="2735"/>
      <c r="AE5" s="2735"/>
      <c r="AF5" s="2735"/>
      <c r="AG5" s="2735"/>
      <c r="AH5" s="2735"/>
      <c r="AI5" s="2735"/>
      <c r="AJ5" s="2736"/>
    </row>
    <row r="6" spans="1:36" ht="15.75" thickBot="1">
      <c r="A6" s="2738" t="s">
        <v>2829</v>
      </c>
      <c r="B6" s="2739" t="s">
        <v>2830</v>
      </c>
      <c r="C6" s="917">
        <f>SUMIF(L1:L12,G2,M1:M12)</f>
        <v>0</v>
      </c>
      <c r="D6" s="2740" t="s">
        <v>2831</v>
      </c>
      <c r="E6" s="2741"/>
      <c r="F6" s="2741"/>
      <c r="G6" s="2742"/>
      <c r="H6" s="2742"/>
      <c r="I6" s="2742"/>
      <c r="J6" s="2743"/>
      <c r="K6" s="1843"/>
      <c r="L6" s="2725" t="s">
        <v>2832</v>
      </c>
      <c r="M6" s="1082">
        <f>SUMPRODUCT((区片价!B110:B157=I2)*(区片价!C3:F3=E2)*(区片价!C110:F157))</f>
        <v>0</v>
      </c>
      <c r="N6" s="1084">
        <f>SUMPRODUCT((因素修正幅度!B110:B157=I2)*(因素修正幅度!C3:F3=E2)*(因素修正幅度!C110:F157))</f>
        <v>0</v>
      </c>
      <c r="O6" s="1370"/>
      <c r="P6" s="1370"/>
      <c r="Q6" s="1370"/>
      <c r="R6" s="1603">
        <v>5</v>
      </c>
      <c r="S6" s="1603">
        <f>ROUND(IF(G3&gt;1,IF(R6&lt;7,SUMPRODUCT((B93:B98=R6)*(C92:N92=G2)*(C93:N98)),SUMIF(C92:N92,G2,C100:N100)),IF(R6&lt;7,SUMPRODUCT((B102:B107=R6)*(C92:N92=G2)*(C102:N107)),SUMIF(C92:N92,G2,C109:N109))),4)</f>
        <v>0</v>
      </c>
      <c r="T6" s="1603" t="e">
        <f t="shared" si="0"/>
        <v>#DIV/0!</v>
      </c>
      <c r="U6" s="1604"/>
      <c r="V6" s="1603" t="e">
        <f t="shared" si="1"/>
        <v>#DIV/0!</v>
      </c>
      <c r="W6" s="1607"/>
      <c r="X6" s="1607"/>
      <c r="Y6" s="1607"/>
      <c r="Z6" s="1607"/>
      <c r="AA6" s="1607"/>
      <c r="AB6" s="1607"/>
      <c r="AC6" s="2734"/>
      <c r="AD6" s="2735"/>
      <c r="AE6" s="2735"/>
      <c r="AF6" s="2735"/>
      <c r="AG6" s="2735"/>
      <c r="AH6" s="2735"/>
      <c r="AI6" s="2735"/>
      <c r="AJ6" s="2736"/>
    </row>
    <row r="7" spans="1:36" ht="24">
      <c r="A7" s="3243" t="str">
        <f>IF(E2="商业",IF(C8="不临58条商业街","",2),"")</f>
        <v/>
      </c>
      <c r="B7" s="2744" t="s">
        <v>2833</v>
      </c>
      <c r="C7" s="918" t="e">
        <f>IF(C8="不临58条商业街",1,ROUND(1+(1.6*E8+1.2*E9+0.8*E10+0.4*E11)*C9,4))</f>
        <v>#DIV/0!</v>
      </c>
      <c r="D7" s="2745" t="s">
        <v>2834</v>
      </c>
      <c r="E7" s="947"/>
      <c r="F7" s="2746"/>
      <c r="G7" s="2747"/>
      <c r="H7" s="2747"/>
      <c r="I7" s="2747"/>
      <c r="J7" s="2748"/>
      <c r="K7" s="1843"/>
      <c r="L7" s="2725" t="s">
        <v>2835</v>
      </c>
      <c r="M7" s="1082">
        <f>SUMPRODUCT((区片价!B158:B205=I2)*(区片价!C3:F3=E2)*(区片价!C158:F205))</f>
        <v>0</v>
      </c>
      <c r="N7" s="1084">
        <f>SUMPRODUCT((因素修正幅度!B158:B205=I2)*(因素修正幅度!C3:F3=E2)*(因素修正幅度!C158:F205))</f>
        <v>0</v>
      </c>
      <c r="O7" s="1370"/>
      <c r="P7" s="1370"/>
      <c r="Q7" s="1370"/>
      <c r="R7" s="1603">
        <v>6</v>
      </c>
      <c r="S7" s="1603">
        <f>ROUND(IF(G3&gt;1,IF(R7&lt;7,SUMPRODUCT((B93:B98=R7)*(C92:N92=G2)*(C93:N98)),SUMIF(C92:N92,G2,C100:N100)),IF(R7&lt;7,SUMPRODUCT((B102:B107=R7)*(C92:N92=G2)*(C102:N107)),SUMIF(C92:N92,G2,C109:N109))),4)</f>
        <v>0</v>
      </c>
      <c r="T7" s="1603" t="e">
        <f t="shared" si="0"/>
        <v>#DIV/0!</v>
      </c>
      <c r="U7" s="1604"/>
      <c r="V7" s="1603" t="e">
        <f t="shared" si="1"/>
        <v>#DIV/0!</v>
      </c>
      <c r="W7" s="1817" t="s">
        <v>2836</v>
      </c>
      <c r="X7" s="1605">
        <f>G2</f>
        <v>0</v>
      </c>
      <c r="Y7" s="1605" t="s">
        <v>2837</v>
      </c>
      <c r="Z7" s="1606">
        <f>G3</f>
        <v>2.39</v>
      </c>
      <c r="AA7" s="1607"/>
      <c r="AB7" s="1607"/>
      <c r="AC7" s="1608"/>
      <c r="AD7" s="1609"/>
      <c r="AE7" s="1609"/>
      <c r="AF7" s="1609"/>
      <c r="AG7" s="1609"/>
      <c r="AH7" s="1609"/>
      <c r="AI7" s="1609"/>
      <c r="AJ7" s="1610"/>
    </row>
    <row r="8" spans="1:36" ht="15">
      <c r="A8" s="3244"/>
      <c r="B8" s="197" t="s">
        <v>2838</v>
      </c>
      <c r="C8" s="2749"/>
      <c r="D8" s="919" t="s">
        <v>139</v>
      </c>
      <c r="E8" s="920" t="e">
        <f>ROUND(C11/E7,4)</f>
        <v>#DIV/0!</v>
      </c>
      <c r="F8" s="2750" t="s">
        <v>2839</v>
      </c>
      <c r="G8" s="2751"/>
      <c r="H8" s="2751"/>
      <c r="I8" s="2751"/>
      <c r="J8" s="2752"/>
      <c r="K8" s="1370"/>
      <c r="L8" s="2725" t="s">
        <v>2840</v>
      </c>
      <c r="M8" s="1082">
        <f>SUMPRODUCT((区片价!B206:B244=I2)*(区片价!C3:F3=E2)*(区片价!C206:F244))</f>
        <v>0</v>
      </c>
      <c r="N8" s="1084">
        <f>SUMPRODUCT((因素修正幅度!B206:B244=I2)*(因素修正幅度!C3:F3=E2)*(因素修正幅度!C206:F244))</f>
        <v>0</v>
      </c>
      <c r="O8" s="1370"/>
      <c r="P8" s="1370"/>
      <c r="Q8" s="1370"/>
      <c r="R8" s="1603">
        <v>7</v>
      </c>
      <c r="S8" s="1604"/>
      <c r="T8" s="1603" t="e">
        <f t="shared" si="0"/>
        <v>#DIV/0!</v>
      </c>
      <c r="U8" s="1604"/>
      <c r="V8" s="1603" t="e">
        <f t="shared" si="1"/>
        <v>#DIV/0!</v>
      </c>
      <c r="W8" s="3236" t="s">
        <v>2841</v>
      </c>
      <c r="X8" s="3237"/>
      <c r="Y8" s="1611" t="s">
        <v>2842</v>
      </c>
      <c r="Z8" s="1611" t="s">
        <v>2843</v>
      </c>
      <c r="AA8" s="1611" t="s">
        <v>2844</v>
      </c>
      <c r="AB8" s="1611" t="s">
        <v>2845</v>
      </c>
      <c r="AC8" s="1611" t="s">
        <v>2846</v>
      </c>
      <c r="AD8" s="1611" t="s">
        <v>2847</v>
      </c>
      <c r="AE8" s="1611" t="s">
        <v>2848</v>
      </c>
      <c r="AF8" s="1611" t="s">
        <v>2849</v>
      </c>
      <c r="AG8" s="1611" t="s">
        <v>2850</v>
      </c>
      <c r="AH8" s="1611" t="s">
        <v>2851</v>
      </c>
      <c r="AI8" s="1611" t="s">
        <v>2852</v>
      </c>
      <c r="AJ8" s="1611" t="s">
        <v>2853</v>
      </c>
    </row>
    <row r="9" spans="1:36" ht="15">
      <c r="A9" s="3244"/>
      <c r="B9" s="197" t="s">
        <v>2854</v>
      </c>
      <c r="C9" s="921">
        <f>SUMIF(修正!C59:C119,C8,修正!E59:E119)</f>
        <v>0</v>
      </c>
      <c r="D9" s="199" t="s">
        <v>140</v>
      </c>
      <c r="E9" s="199" t="e">
        <f>ROUND(C11/E7,4)</f>
        <v>#DIV/0!</v>
      </c>
      <c r="F9" s="2750" t="s">
        <v>2855</v>
      </c>
      <c r="G9" s="2751"/>
      <c r="H9" s="2751"/>
      <c r="I9" s="2751"/>
      <c r="J9" s="2752"/>
      <c r="K9" s="1370"/>
      <c r="L9" s="2725" t="s">
        <v>2856</v>
      </c>
      <c r="M9" s="1082">
        <f>SUMPRODUCT((区片价!B245:B289=I2)*(区片价!C3:F3=E2)*(区片价!C245:F289))</f>
        <v>0</v>
      </c>
      <c r="N9" s="1084">
        <f>SUMPRODUCT((因素修正幅度!B245:B289=I2)*(因素修正幅度!C3:F3=E2)*(因素修正幅度!C245:F289))</f>
        <v>0</v>
      </c>
      <c r="O9" s="1370"/>
      <c r="P9" s="1370"/>
      <c r="Q9" s="1370"/>
      <c r="R9" s="1603">
        <v>8</v>
      </c>
      <c r="S9" s="1604"/>
      <c r="T9" s="1603" t="e">
        <f t="shared" si="0"/>
        <v>#DIV/0!</v>
      </c>
      <c r="U9" s="1604"/>
      <c r="V9" s="1603" t="e">
        <f t="shared" si="1"/>
        <v>#DIV/0!</v>
      </c>
      <c r="W9" s="3238" t="s">
        <v>2857</v>
      </c>
      <c r="X9" s="1612" t="s">
        <v>2858</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244"/>
      <c r="B10" s="197" t="s">
        <v>2859</v>
      </c>
      <c r="C10" s="199">
        <f>SUMIF(修正!C59:C119,C8,修正!F59:F119)</f>
        <v>0</v>
      </c>
      <c r="D10" s="199" t="s">
        <v>141</v>
      </c>
      <c r="E10" s="199" t="e">
        <f>ROUND(C11/E7,4)</f>
        <v>#DIV/0!</v>
      </c>
      <c r="F10" s="2750" t="s">
        <v>2860</v>
      </c>
      <c r="G10" s="2751"/>
      <c r="H10" s="2751"/>
      <c r="I10" s="2751"/>
      <c r="J10" s="2752"/>
      <c r="K10" s="1370"/>
      <c r="L10" s="2725" t="s">
        <v>2861</v>
      </c>
      <c r="M10" s="1082">
        <f>SUMPRODUCT((区片价!B290:B316=I2)*(区片价!C3:F3=E2)*(区片价!C290:F316))</f>
        <v>0</v>
      </c>
      <c r="N10" s="1084">
        <f>SUMPRODUCT((因素修正幅度!B290:B316=I2)*(因素修正幅度!C3:F3=E2)*(因素修正幅度!C290:F316))</f>
        <v>0</v>
      </c>
      <c r="O10" s="1370"/>
      <c r="P10" s="1370"/>
      <c r="Q10" s="1370"/>
      <c r="R10" s="1603">
        <v>9</v>
      </c>
      <c r="S10" s="1604"/>
      <c r="T10" s="1603" t="e">
        <f t="shared" si="0"/>
        <v>#DIV/0!</v>
      </c>
      <c r="U10" s="1604"/>
      <c r="V10" s="1603" t="e">
        <f t="shared" si="1"/>
        <v>#DIV/0!</v>
      </c>
      <c r="W10" s="3238"/>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244"/>
      <c r="B11" s="2753" t="s">
        <v>2862</v>
      </c>
      <c r="C11" s="922">
        <f>C10/4</f>
        <v>0</v>
      </c>
      <c r="D11" s="922" t="s">
        <v>142</v>
      </c>
      <c r="E11" s="922" t="e">
        <f>ROUND(C11/E7,4)</f>
        <v>#DIV/0!</v>
      </c>
      <c r="F11" s="2754" t="s">
        <v>2863</v>
      </c>
      <c r="G11" s="2755"/>
      <c r="H11" s="2755"/>
      <c r="I11" s="2755"/>
      <c r="J11" s="2756"/>
      <c r="K11" s="1370"/>
      <c r="L11" s="2725" t="s">
        <v>2864</v>
      </c>
      <c r="M11" s="1082">
        <f>SUMPRODUCT((区片价!B317:B337=I2)*(区片价!C3:F3=E2)*(区片价!C317:F337))</f>
        <v>0</v>
      </c>
      <c r="N11" s="1084">
        <f>SUMPRODUCT((因素修正幅度!B317:B337=I2)*(因素修正幅度!C3:F3=E2)*(因素修正幅度!C317:F337))</f>
        <v>0</v>
      </c>
      <c r="O11" s="1370"/>
      <c r="P11" s="1370"/>
      <c r="Q11" s="1370"/>
      <c r="R11" s="1603">
        <v>10</v>
      </c>
      <c r="S11" s="1604"/>
      <c r="T11" s="1603" t="e">
        <f t="shared" si="0"/>
        <v>#DIV/0!</v>
      </c>
      <c r="U11" s="1604"/>
      <c r="V11" s="1603" t="e">
        <f t="shared" si="1"/>
        <v>#DIV/0!</v>
      </c>
      <c r="W11" s="3238" t="s">
        <v>2865</v>
      </c>
      <c r="X11" s="1615" t="s">
        <v>2866</v>
      </c>
      <c r="Y11" s="1616">
        <f>$G$3</f>
        <v>2.39</v>
      </c>
      <c r="Z11" s="1616">
        <f t="shared" ref="Z11:AJ11" si="3">$G$3</f>
        <v>2.39</v>
      </c>
      <c r="AA11" s="1616">
        <f t="shared" si="3"/>
        <v>2.39</v>
      </c>
      <c r="AB11" s="1616">
        <f t="shared" si="3"/>
        <v>2.39</v>
      </c>
      <c r="AC11" s="1616">
        <f t="shared" si="3"/>
        <v>2.39</v>
      </c>
      <c r="AD11" s="1616">
        <f t="shared" si="3"/>
        <v>2.39</v>
      </c>
      <c r="AE11" s="1616">
        <f t="shared" si="3"/>
        <v>2.39</v>
      </c>
      <c r="AF11" s="1616">
        <f t="shared" si="3"/>
        <v>2.39</v>
      </c>
      <c r="AG11" s="1616">
        <f t="shared" si="3"/>
        <v>2.39</v>
      </c>
      <c r="AH11" s="1616">
        <f t="shared" si="3"/>
        <v>2.39</v>
      </c>
      <c r="AI11" s="1616">
        <f t="shared" si="3"/>
        <v>2.39</v>
      </c>
      <c r="AJ11" s="1616">
        <f t="shared" si="3"/>
        <v>2.39</v>
      </c>
    </row>
    <row r="12" spans="1:36" ht="25.5" thickBot="1">
      <c r="A12" s="3243" t="s">
        <v>2867</v>
      </c>
      <c r="B12" s="2757" t="s">
        <v>2868</v>
      </c>
      <c r="C12" s="918">
        <f>ROUND(C15*D15*E15*F15*G15*H15*I15*J15,4)</f>
        <v>1</v>
      </c>
      <c r="D12" s="2758" t="s">
        <v>2869</v>
      </c>
      <c r="E12" s="2759"/>
      <c r="F12" s="2759"/>
      <c r="G12" s="2760"/>
      <c r="H12" s="2760"/>
      <c r="I12" s="2760"/>
      <c r="J12" s="2761"/>
      <c r="K12" s="1370"/>
      <c r="L12" s="2762" t="s">
        <v>2870</v>
      </c>
      <c r="M12" s="1083">
        <f>SUMPRODUCT((区片价!B338:B344=I2)*(区片价!C3:F3=E2)*(区片价!C338:F344))</f>
        <v>0</v>
      </c>
      <c r="N12" s="1084">
        <f>SUMPRODUCT((因素修正幅度!B338:B344=I2)*(因素修正幅度!C3:F3=E2)*(因素修正幅度!C338:F344))</f>
        <v>0</v>
      </c>
      <c r="O12" s="1370"/>
      <c r="P12" s="1370"/>
      <c r="Q12" s="1370"/>
      <c r="R12" s="1603">
        <v>11</v>
      </c>
      <c r="S12" s="1604"/>
      <c r="T12" s="1603" t="e">
        <f t="shared" si="0"/>
        <v>#DIV/0!</v>
      </c>
      <c r="U12" s="1604"/>
      <c r="V12" s="1603" t="e">
        <f t="shared" si="1"/>
        <v>#DIV/0!</v>
      </c>
      <c r="W12" s="3238"/>
      <c r="X12" s="1617" t="s">
        <v>2871</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245"/>
      <c r="B13" s="2763" t="s">
        <v>2872</v>
      </c>
      <c r="C13" s="2764" t="s">
        <v>2873</v>
      </c>
      <c r="D13" s="1809" t="s">
        <v>2874</v>
      </c>
      <c r="E13" s="1809" t="s">
        <v>2875</v>
      </c>
      <c r="F13" s="30" t="s">
        <v>2876</v>
      </c>
      <c r="G13" s="2765" t="s">
        <v>2877</v>
      </c>
      <c r="H13" s="2765" t="s">
        <v>2877</v>
      </c>
      <c r="I13" s="2765" t="s">
        <v>2877</v>
      </c>
      <c r="J13" s="2766" t="s">
        <v>2877</v>
      </c>
      <c r="K13" s="1370"/>
      <c r="L13" s="1370"/>
      <c r="M13" s="1370"/>
      <c r="N13" s="1370"/>
      <c r="O13" s="1370"/>
      <c r="P13" s="1370"/>
      <c r="Q13" s="1370"/>
      <c r="R13" s="1603">
        <v>12</v>
      </c>
      <c r="S13" s="1604"/>
      <c r="T13" s="1603" t="e">
        <f t="shared" si="0"/>
        <v>#DIV/0!</v>
      </c>
      <c r="U13" s="1604"/>
      <c r="V13" s="1603" t="e">
        <f t="shared" si="1"/>
        <v>#DIV/0!</v>
      </c>
      <c r="W13" s="3238"/>
      <c r="X13" s="1617"/>
      <c r="Y13" s="1614">
        <f>(-0.163*(Y12^2)-0.59*Y12+7617)*(10^(-4))/Y11</f>
        <v>0.31870292887029289</v>
      </c>
      <c r="Z13" s="1614">
        <f t="shared" ref="Z13:AJ13" si="5">(-0.163*(Z12^2)-0.59*Z12+7617)*(10^(-4))/Z11</f>
        <v>0.31870292887029289</v>
      </c>
      <c r="AA13" s="1614">
        <f t="shared" si="5"/>
        <v>0.31870292887029289</v>
      </c>
      <c r="AB13" s="1614">
        <f t="shared" si="5"/>
        <v>0.31870292887029289</v>
      </c>
      <c r="AC13" s="1614">
        <f t="shared" si="5"/>
        <v>0.31870292887029289</v>
      </c>
      <c r="AD13" s="1614">
        <f t="shared" si="5"/>
        <v>0.31870292887029289</v>
      </c>
      <c r="AE13" s="1614">
        <f t="shared" si="5"/>
        <v>0.31870292887029289</v>
      </c>
      <c r="AF13" s="1614">
        <f t="shared" si="5"/>
        <v>0.31870292887029289</v>
      </c>
      <c r="AG13" s="1614">
        <f t="shared" si="5"/>
        <v>0.31870292887029289</v>
      </c>
      <c r="AH13" s="1614">
        <f t="shared" si="5"/>
        <v>0.31870292887029289</v>
      </c>
      <c r="AI13" s="1614">
        <f t="shared" si="5"/>
        <v>0.31870292887029289</v>
      </c>
      <c r="AJ13" s="1614">
        <f t="shared" si="5"/>
        <v>0.31870292887029289</v>
      </c>
    </row>
    <row r="14" spans="1:36" ht="15">
      <c r="A14" s="3245"/>
      <c r="B14" s="2767"/>
      <c r="C14" s="2768"/>
      <c r="D14" s="2769"/>
      <c r="E14" s="2769"/>
      <c r="F14" s="2770"/>
      <c r="G14" s="2771" t="s">
        <v>2878</v>
      </c>
      <c r="H14" s="2772"/>
      <c r="I14" s="2773"/>
      <c r="J14" s="2774"/>
      <c r="K14" s="1370"/>
      <c r="L14" s="1370"/>
      <c r="M14" s="1370"/>
      <c r="N14" s="1370"/>
      <c r="O14" s="1370"/>
      <c r="P14" s="1370"/>
      <c r="Q14" s="1370"/>
      <c r="R14" s="1603">
        <v>13</v>
      </c>
      <c r="S14" s="1604"/>
      <c r="T14" s="1603" t="e">
        <f t="shared" si="0"/>
        <v>#DIV/0!</v>
      </c>
      <c r="U14" s="1604"/>
      <c r="V14" s="1603" t="e">
        <f t="shared" si="1"/>
        <v>#DIV/0!</v>
      </c>
      <c r="W14" s="1607"/>
      <c r="X14" s="1607"/>
      <c r="Y14" s="1607"/>
      <c r="Z14" s="1607"/>
      <c r="AA14" s="1607"/>
      <c r="AB14" s="1607"/>
      <c r="AC14" s="1608"/>
      <c r="AD14" s="1609"/>
      <c r="AE14" s="1609"/>
      <c r="AF14" s="1609"/>
      <c r="AG14" s="1609"/>
      <c r="AH14" s="1609"/>
      <c r="AI14" s="1609"/>
      <c r="AJ14" s="1610"/>
    </row>
    <row r="15" spans="1:36" ht="15.75" thickBot="1">
      <c r="A15" s="3246"/>
      <c r="B15" s="2775" t="s">
        <v>2879</v>
      </c>
      <c r="C15" s="228">
        <f>IF(C14="有",1.1,1)</f>
        <v>1</v>
      </c>
      <c r="D15" s="228">
        <f>IF(D14="有",1.1,1)</f>
        <v>1</v>
      </c>
      <c r="E15" s="228">
        <f>IF(E14="有",1.1,1)</f>
        <v>1</v>
      </c>
      <c r="F15" s="228">
        <f>IF(F14="500米范围内",1.2,IF(F14="500-1000米",1.1,1))</f>
        <v>1</v>
      </c>
      <c r="G15" s="948">
        <v>1</v>
      </c>
      <c r="H15" s="948">
        <v>1</v>
      </c>
      <c r="I15" s="948">
        <v>1</v>
      </c>
      <c r="J15" s="949">
        <v>1</v>
      </c>
      <c r="K15" s="1370"/>
      <c r="L15" s="2776" t="s">
        <v>2815</v>
      </c>
      <c r="M15" s="919" t="s">
        <v>2880</v>
      </c>
      <c r="N15" s="919" t="s">
        <v>2881</v>
      </c>
      <c r="O15" s="919" t="s">
        <v>2882</v>
      </c>
      <c r="P15" s="2777" t="s">
        <v>2883</v>
      </c>
      <c r="Q15" s="1370"/>
      <c r="R15" s="1603">
        <v>14</v>
      </c>
      <c r="S15" s="1604"/>
      <c r="T15" s="1603" t="e">
        <f t="shared" si="0"/>
        <v>#DIV/0!</v>
      </c>
      <c r="U15" s="1604"/>
      <c r="V15" s="1603" t="e">
        <f t="shared" si="1"/>
        <v>#DIV/0!</v>
      </c>
      <c r="W15" s="1607"/>
      <c r="X15" s="1607"/>
      <c r="Y15" s="1607"/>
      <c r="Z15" s="1607"/>
      <c r="AA15" s="1607"/>
      <c r="AB15" s="1607"/>
      <c r="AC15" s="1608"/>
      <c r="AD15" s="1609"/>
      <c r="AE15" s="1609"/>
      <c r="AF15" s="1609"/>
      <c r="AG15" s="1609"/>
      <c r="AH15" s="1609"/>
      <c r="AI15" s="1609"/>
      <c r="AJ15" s="1610"/>
    </row>
    <row r="16" spans="1:36" ht="24">
      <c r="A16" s="3243" t="s">
        <v>2884</v>
      </c>
      <c r="B16" s="2744" t="s">
        <v>2885</v>
      </c>
      <c r="C16" s="1802" t="e">
        <f>ROUND(SUM(G17:J17)/C17,0)</f>
        <v>#DIV/0!</v>
      </c>
      <c r="D16" s="2778" t="s">
        <v>2886</v>
      </c>
      <c r="E16" s="2779"/>
      <c r="F16" s="2780"/>
      <c r="G16" s="2781"/>
      <c r="H16" s="2781"/>
      <c r="I16" s="2781"/>
      <c r="J16" s="2782"/>
      <c r="K16" s="1370"/>
      <c r="L16" s="2783" t="s">
        <v>2887</v>
      </c>
      <c r="M16" s="921">
        <v>0.25</v>
      </c>
      <c r="N16" s="921">
        <v>0.2</v>
      </c>
      <c r="O16" s="921">
        <v>0.15</v>
      </c>
      <c r="P16" s="1369">
        <v>0.1</v>
      </c>
      <c r="Q16" s="1370"/>
      <c r="R16" s="1603">
        <v>15</v>
      </c>
      <c r="S16" s="1604"/>
      <c r="T16" s="1603" t="e">
        <f t="shared" si="0"/>
        <v>#DIV/0!</v>
      </c>
      <c r="U16" s="1604"/>
      <c r="V16" s="1603" t="e">
        <f t="shared" si="1"/>
        <v>#DIV/0!</v>
      </c>
      <c r="W16" s="1607"/>
      <c r="X16" s="1607"/>
      <c r="Y16" s="1607"/>
      <c r="Z16" s="1607"/>
      <c r="AA16" s="1607"/>
      <c r="AB16" s="1607"/>
      <c r="AC16" s="1608"/>
      <c r="AD16" s="1609"/>
      <c r="AE16" s="1609"/>
      <c r="AF16" s="1609"/>
      <c r="AG16" s="1609"/>
      <c r="AH16" s="1609"/>
      <c r="AI16" s="1609"/>
      <c r="AJ16" s="1610"/>
    </row>
    <row r="17" spans="1:37" ht="13.5" thickBot="1">
      <c r="A17" s="3244"/>
      <c r="B17" s="2784" t="s">
        <v>2888</v>
      </c>
      <c r="C17" s="923">
        <f>SUMPRODUCT((修正!A2:A5=E2)*(修正!B1:M1=G2)*(修正!B2:M5))</f>
        <v>0</v>
      </c>
      <c r="D17" s="2785" t="s">
        <v>2889</v>
      </c>
      <c r="E17" s="922" t="str">
        <f>IF(OR(G2="八级",G2="九级",G2="十级",G2="十一级",G2="十二级"),"五通一平","七通一平")</f>
        <v>七通一平</v>
      </c>
      <c r="F17" s="923" t="s">
        <v>2890</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0"/>
      <c r="L17" s="2786" t="s">
        <v>2891</v>
      </c>
      <c r="M17" s="210">
        <f ca="1">ROUND($E$20*(1+M16),3)</f>
        <v>5.3999999999999999E-2</v>
      </c>
      <c r="N17" s="210">
        <f ca="1">ROUND($E$20*(1+N16),3)</f>
        <v>5.1999999999999998E-2</v>
      </c>
      <c r="O17" s="210">
        <f ca="1">ROUND($E$20*(1+O16),3)</f>
        <v>0.05</v>
      </c>
      <c r="P17" s="1373">
        <f ca="1">ROUND($E$20*(1+P16),3)</f>
        <v>4.8000000000000001E-2</v>
      </c>
      <c r="Q17" s="1370"/>
      <c r="R17" s="1370"/>
      <c r="S17" s="1370"/>
      <c r="T17" s="1370"/>
      <c r="U17" s="1370"/>
      <c r="V17" s="1370"/>
      <c r="W17" s="1370"/>
      <c r="X17" s="1370"/>
      <c r="Y17" s="1370"/>
      <c r="Z17" s="1371"/>
      <c r="AE17" s="2787"/>
      <c r="AF17" s="2787"/>
      <c r="AG17" s="2719"/>
      <c r="AH17" s="2719"/>
      <c r="AI17" s="2719"/>
      <c r="AJ17" s="2719"/>
    </row>
    <row r="18" spans="1:37" s="2737" customFormat="1" ht="15.75" thickBot="1">
      <c r="A18" s="2788" t="s">
        <v>808</v>
      </c>
      <c r="B18" s="2789" t="s">
        <v>2892</v>
      </c>
      <c r="C18" s="925">
        <f>SUMIF(修正!C18:C39,E3,修正!E18:E39)</f>
        <v>0</v>
      </c>
      <c r="D18" s="2790"/>
      <c r="E18" s="2791"/>
      <c r="F18" s="2792"/>
      <c r="G18" s="2793"/>
      <c r="H18" s="2793"/>
      <c r="I18" s="2793"/>
      <c r="J18" s="2794"/>
      <c r="K18" s="1377"/>
      <c r="O18" s="1375"/>
      <c r="P18" s="1375"/>
      <c r="Q18" s="1376"/>
      <c r="R18" s="1376"/>
      <c r="S18" s="1376"/>
      <c r="T18" s="1371"/>
      <c r="U18" s="1371"/>
      <c r="V18" s="1371"/>
      <c r="W18" s="1370"/>
      <c r="X18" s="1370"/>
      <c r="Y18" s="1370"/>
      <c r="Z18" s="1377"/>
      <c r="AA18" s="1378"/>
      <c r="AB18" s="1378"/>
      <c r="AC18" s="1378"/>
      <c r="AD18" s="1378"/>
      <c r="AE18" s="1372"/>
      <c r="AF18" s="1372"/>
      <c r="AG18" s="2795"/>
      <c r="AH18" s="2795"/>
      <c r="AI18" s="2795"/>
    </row>
    <row r="19" spans="1:37" s="2737" customFormat="1" ht="27.75" thickBot="1">
      <c r="A19" s="2788" t="s">
        <v>809</v>
      </c>
      <c r="B19" s="2789" t="s">
        <v>2893</v>
      </c>
      <c r="C19" s="926" t="e">
        <f>ROUND(IF(H19="按公示增长率计算",SUMPRODUCT((地价!A3:A20=YEAR(G19)&amp;"-"&amp;ROUNDUP(MONTH(G19)/3,0))*(地价!X2:AB2=E2)*(地价!X3:AB20)),IF(H19="地价指数",M20/M19,(1+I19)^O19)),4)</f>
        <v>#DIV/0!</v>
      </c>
      <c r="D19" s="2796" t="s">
        <v>2894</v>
      </c>
      <c r="E19" s="927">
        <v>41640</v>
      </c>
      <c r="F19" s="2796" t="s">
        <v>2895</v>
      </c>
      <c r="G19" s="928">
        <f>'数据-取费表'!B2</f>
        <v>43025</v>
      </c>
      <c r="H19" s="2797" t="s">
        <v>2896</v>
      </c>
      <c r="I19" s="929" t="str">
        <f>IF(H19="季度增幅（自定义）",SUMIF(N21:N24,E2,O21:O24),"")</f>
        <v/>
      </c>
      <c r="J19" s="2794"/>
      <c r="K19" s="1377"/>
      <c r="L19" s="2798" t="s">
        <v>2897</v>
      </c>
      <c r="M19" s="1735">
        <f>ROUND(SUMIF(地价!B2:F2,E2,地价!B20:F20),0)</f>
        <v>0</v>
      </c>
      <c r="N19" s="2799" t="s">
        <v>2898</v>
      </c>
      <c r="O19" s="930">
        <f>ROUNDDOWN(DATEDIF(E19,G19,"M")/3,0)</f>
        <v>15</v>
      </c>
      <c r="P19" s="1374"/>
      <c r="Q19" s="1376"/>
      <c r="R19" s="1376"/>
      <c r="S19" s="1376"/>
      <c r="T19" s="1371"/>
      <c r="U19" s="1371"/>
      <c r="V19" s="1371"/>
      <c r="W19" s="1370"/>
      <c r="X19" s="1370"/>
      <c r="Y19" s="1370"/>
      <c r="Z19" s="1377"/>
      <c r="AA19" s="1378"/>
      <c r="AB19" s="1378"/>
      <c r="AC19" s="1378"/>
      <c r="AD19" s="1378"/>
      <c r="AE19" s="1378"/>
      <c r="AF19" s="2800"/>
      <c r="AG19" s="2801"/>
      <c r="AH19" s="2795"/>
      <c r="AI19" s="2802"/>
      <c r="AJ19" s="2802"/>
      <c r="AK19" s="2802"/>
    </row>
    <row r="20" spans="1:37" s="2737" customFormat="1" ht="27.75" thickBot="1">
      <c r="A20" s="2803" t="s">
        <v>810</v>
      </c>
      <c r="B20" s="2804" t="s">
        <v>2899</v>
      </c>
      <c r="C20" s="931" t="e">
        <f>ROUND(POWER(1+G20,J20-I20)*(POWER(1+G20,I20)-1)/(POWER(1+G20,J20)-1),4)</f>
        <v>#DIV/0!</v>
      </c>
      <c r="D20" s="2805" t="s">
        <v>2900</v>
      </c>
      <c r="E20" s="1769">
        <f ca="1">存贷款利率!D4/100</f>
        <v>4.3499999999999997E-2</v>
      </c>
      <c r="F20" s="2805" t="s">
        <v>2891</v>
      </c>
      <c r="G20" s="936">
        <f>SUMIF(M15:P15,E2,M17:P17)</f>
        <v>0</v>
      </c>
      <c r="H20" s="2805" t="s">
        <v>2901</v>
      </c>
      <c r="I20" s="937" t="e">
        <f>SUMIF('数据-取费表'!C6:C15,E2,'数据-取费表'!F6:F15)/COUNTIF('数据-取费表'!C6:C15,E2)</f>
        <v>#DIV/0!</v>
      </c>
      <c r="J20" s="938">
        <f>IF(E2="住宅",70,IF(E2="商业",40,50))</f>
        <v>50</v>
      </c>
      <c r="K20" s="1377"/>
      <c r="L20" s="2806" t="s">
        <v>2902</v>
      </c>
      <c r="M20" s="1736">
        <f>ROUND(SUMPRODUCT((地价!A5:A20=YEAR(G19)&amp;"-"&amp;ROUNDUP(MONTH(G19)/3,0))*(地价!B2:F2=E2)*(地价!B5:F20)),0)</f>
        <v>0</v>
      </c>
      <c r="N20" s="2807" t="s">
        <v>2903</v>
      </c>
      <c r="O20" s="2808" t="s">
        <v>2904</v>
      </c>
      <c r="P20" s="2809" t="s">
        <v>2905</v>
      </c>
      <c r="R20" s="1376"/>
      <c r="S20" s="1376"/>
      <c r="T20" s="1371"/>
      <c r="U20" s="1371"/>
      <c r="V20" s="1371"/>
      <c r="W20" s="1370"/>
      <c r="X20" s="1370"/>
      <c r="Y20" s="1370"/>
      <c r="Z20" s="1377"/>
      <c r="AA20" s="1378"/>
      <c r="AB20" s="1378"/>
      <c r="AC20" s="1378"/>
      <c r="AD20" s="1378"/>
      <c r="AE20" s="1378"/>
      <c r="AF20" s="1378"/>
    </row>
    <row r="21" spans="1:37" s="2737" customFormat="1" ht="15">
      <c r="A21" s="2810" t="s">
        <v>811</v>
      </c>
      <c r="B21" s="2811" t="s">
        <v>2906</v>
      </c>
      <c r="C21" s="939">
        <f>IF(B21="容积率修正",IF(G3&lt;=10,D22,J22),C23)</f>
        <v>0</v>
      </c>
      <c r="D21" s="2812"/>
      <c r="E21" s="2812"/>
      <c r="F21" s="2812"/>
      <c r="G21" s="2812"/>
      <c r="H21" s="2812"/>
      <c r="I21" s="2812"/>
      <c r="J21" s="2813"/>
      <c r="K21" s="1377"/>
      <c r="N21" s="2814" t="s">
        <v>2907</v>
      </c>
      <c r="O21" s="1562"/>
      <c r="P21" s="1563">
        <f>SUMPRODUCT((地价!A3:A20=YEAR(G19)&amp;"-"&amp;ROUNDUP(MONTH(G19)/3,0))*(地价!AD2:AH2=N21)*(地价!AD3:AH20))</f>
        <v>1.6400000000000001E-2</v>
      </c>
      <c r="R21" s="1376"/>
      <c r="S21" s="1376"/>
      <c r="T21" s="1371"/>
      <c r="U21" s="1371"/>
      <c r="V21" s="1371"/>
      <c r="W21" s="1370"/>
      <c r="X21" s="1370"/>
      <c r="Y21" s="1370"/>
      <c r="Z21" s="1377"/>
      <c r="AA21" s="1378"/>
      <c r="AB21" s="1378"/>
      <c r="AC21" s="1378"/>
      <c r="AD21" s="1378"/>
      <c r="AE21" s="1378"/>
      <c r="AF21" s="1378"/>
    </row>
    <row r="22" spans="1:37" s="2737" customFormat="1" ht="14.25">
      <c r="A22" s="2663" t="s">
        <v>2908</v>
      </c>
      <c r="B22" s="2815" t="s">
        <v>2909</v>
      </c>
      <c r="C22" s="1811" t="s">
        <v>2910</v>
      </c>
      <c r="D22" s="1811">
        <f>IF(E22=G22,F22,IF(G3&lt;=10,ROUND(F22+(H22-F22)*(G3-E22)/(G22-E22),4),"——"))</f>
        <v>0</v>
      </c>
      <c r="E22" s="915">
        <f>ROUNDDOWN(G3,1)</f>
        <v>2.2999999999999998</v>
      </c>
      <c r="F22" s="181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2.4</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1" t="s">
        <v>155</v>
      </c>
      <c r="J22" s="940" t="str">
        <f>IF(G3&gt;10,D113,"——")</f>
        <v>——</v>
      </c>
      <c r="K22" s="1377"/>
      <c r="N22" s="2814" t="s">
        <v>2911</v>
      </c>
      <c r="O22" s="1562"/>
      <c r="P22" s="1563">
        <f>SUMPRODUCT((地价!A3:A20=YEAR(G19)&amp;"-"&amp;ROUNDUP(MONTH(G19)/3,0))*(地价!AD2:AH2=N22)*(地价!AD3:AH20))</f>
        <v>1.6400000000000001E-2</v>
      </c>
      <c r="R22" s="1376"/>
      <c r="S22" s="1376"/>
      <c r="T22" s="1371"/>
      <c r="U22" s="1371"/>
      <c r="V22" s="1371"/>
      <c r="W22" s="1370"/>
      <c r="X22" s="1370"/>
      <c r="Y22" s="1370"/>
      <c r="Z22" s="1377"/>
      <c r="AA22" s="1378"/>
      <c r="AB22" s="1378"/>
      <c r="AC22" s="1378"/>
      <c r="AD22" s="1378"/>
      <c r="AE22" s="1378"/>
      <c r="AF22" s="1378"/>
    </row>
    <row r="23" spans="1:37" ht="27.75" thickBot="1">
      <c r="A23" s="2663" t="s">
        <v>2912</v>
      </c>
      <c r="B23" s="2816" t="s">
        <v>2913</v>
      </c>
      <c r="C23" s="1014">
        <f>ROUND(IF(G3&gt;1,IF(I3&lt;7,SUMPRODUCT((B93:B98=I3)*(C92:N92=G2)*(C93:N98)),SUMIF(C92:N92,G2,C100:N100)),IF(I3&lt;7,SUMPRODUCT((B102:B107=I3)*(C92:N92=G2)*(C102:N107)),SUMIF(C92:N92,G2,C109:N109))),4)</f>
        <v>0</v>
      </c>
      <c r="D23" s="2772"/>
      <c r="E23" s="2772"/>
      <c r="F23" s="2817"/>
      <c r="G23" s="2818"/>
      <c r="H23" s="2819"/>
      <c r="I23" s="2820"/>
      <c r="J23" s="2821"/>
      <c r="K23" s="1370"/>
      <c r="N23" s="2814" t="s">
        <v>2914</v>
      </c>
      <c r="O23" s="1562"/>
      <c r="P23" s="1563">
        <f>SUMPRODUCT((地价!A3:A20=YEAR(G19)&amp;"-"&amp;ROUNDUP(MONTH(G19)/3,0))*(地价!AD2:AH2=N23)*(地价!AD3:AH20))</f>
        <v>2.7799999999999998E-2</v>
      </c>
      <c r="R23" s="1376"/>
      <c r="S23" s="1376"/>
      <c r="T23" s="1371"/>
      <c r="U23" s="1371"/>
      <c r="V23" s="1371"/>
      <c r="W23" s="1370"/>
      <c r="X23" s="1370"/>
      <c r="Y23" s="1370"/>
      <c r="Z23" s="1377"/>
      <c r="AA23" s="1378"/>
      <c r="AB23" s="1378"/>
      <c r="AC23" s="1378"/>
      <c r="AD23" s="1378"/>
      <c r="AK23" s="2795"/>
    </row>
    <row r="24" spans="1:37" s="2737" customFormat="1" ht="15.75" thickBot="1">
      <c r="A24" s="2803" t="s">
        <v>812</v>
      </c>
      <c r="B24" s="2789" t="s">
        <v>2915</v>
      </c>
      <c r="C24" s="926">
        <f>SUMIF(A45:A88,E2,B45:B88)</f>
        <v>0</v>
      </c>
      <c r="D24" s="2792"/>
      <c r="E24" s="2822"/>
      <c r="F24" s="2822"/>
      <c r="G24" s="2822"/>
      <c r="H24" s="2822"/>
      <c r="I24" s="2822"/>
      <c r="J24" s="2823"/>
      <c r="K24" s="1377"/>
      <c r="N24" s="2824" t="s">
        <v>2916</v>
      </c>
      <c r="O24" s="1564"/>
      <c r="P24" s="1565">
        <f>SUMPRODUCT((地价!A3:A20=YEAR(G19)&amp;"-"&amp;ROUNDUP(MONTH(G19)/3,0))*(地价!AD2:AH2=N24)*(地价!AD3:AH20))</f>
        <v>1.3899999999999999E-2</v>
      </c>
      <c r="R24" s="1376"/>
      <c r="S24" s="1376"/>
      <c r="T24" s="1371"/>
      <c r="U24" s="1371"/>
      <c r="V24" s="1371"/>
      <c r="W24" s="1370"/>
      <c r="X24" s="1370"/>
      <c r="Y24" s="1370"/>
      <c r="Z24" s="1377"/>
      <c r="AA24" s="1378"/>
      <c r="AB24" s="1378"/>
      <c r="AC24" s="1378"/>
      <c r="AD24" s="1378"/>
      <c r="AE24" s="1378"/>
      <c r="AF24" s="1378"/>
    </row>
    <row r="25" spans="1:37" ht="15.75" thickBot="1">
      <c r="A25" s="2803" t="s">
        <v>813</v>
      </c>
      <c r="B25" s="2825" t="s">
        <v>2917</v>
      </c>
      <c r="C25" s="932"/>
      <c r="D25" s="2747"/>
      <c r="E25" s="2747"/>
      <c r="F25" s="2826"/>
      <c r="G25" s="2747"/>
      <c r="H25" s="2747"/>
      <c r="I25" s="2747"/>
      <c r="J25" s="2748"/>
      <c r="K25" s="1370"/>
      <c r="N25" s="2827" t="s">
        <v>2918</v>
      </c>
      <c r="O25" s="1566"/>
      <c r="P25" s="1565">
        <f>SUMPRODUCT((地价!A3:A20=YEAR(G19)&amp;"-"&amp;ROUNDUP(MONTH(G19)/3,0))*(地价!AD2:AH2=N25)*(地价!AD3:AH20))</f>
        <v>2.4899999999999999E-2</v>
      </c>
      <c r="R25" s="1376"/>
      <c r="S25" s="1376"/>
      <c r="T25" s="1371"/>
      <c r="U25" s="1371"/>
      <c r="V25" s="1371"/>
      <c r="W25" s="1370"/>
      <c r="X25" s="1370"/>
      <c r="Y25" s="1370"/>
      <c r="Z25" s="1377"/>
      <c r="AA25" s="1378"/>
      <c r="AB25" s="1378"/>
      <c r="AC25" s="1378"/>
      <c r="AD25" s="1378"/>
    </row>
    <row r="26" spans="1:37" ht="15">
      <c r="A26" s="2828"/>
      <c r="B26" s="2815" t="s">
        <v>2919</v>
      </c>
      <c r="C26" s="205" t="e">
        <f>E29+SUM(E33:E39)</f>
        <v>#DIV/0!</v>
      </c>
      <c r="D26" s="2829"/>
      <c r="E26" s="2772"/>
      <c r="F26" s="2830"/>
      <c r="G26" s="2772"/>
      <c r="H26" s="2772"/>
      <c r="I26" s="2772"/>
      <c r="J26" s="2831"/>
      <c r="K26" s="1370"/>
      <c r="R26" s="1376"/>
      <c r="S26" s="1376"/>
      <c r="T26" s="1371"/>
      <c r="U26" s="1371"/>
      <c r="V26" s="1371"/>
      <c r="W26" s="1370"/>
      <c r="X26" s="1370"/>
      <c r="Y26" s="1370"/>
      <c r="Z26" s="1377"/>
      <c r="AA26" s="1378"/>
      <c r="AB26" s="1378"/>
      <c r="AC26" s="1378"/>
      <c r="AD26" s="1378"/>
    </row>
    <row r="27" spans="1:37" ht="15.75" thickBot="1">
      <c r="A27" s="2828"/>
      <c r="B27" s="2832" t="s">
        <v>2920</v>
      </c>
      <c r="C27" s="933" t="e">
        <f>E30+SUM(I33:I39)</f>
        <v>#DIV/0!</v>
      </c>
      <c r="D27" s="2833"/>
      <c r="E27" s="2834"/>
      <c r="F27" s="2835"/>
      <c r="G27" s="2834"/>
      <c r="H27" s="2834"/>
      <c r="I27" s="2834"/>
      <c r="J27" s="2836"/>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7"/>
      <c r="B28" s="2838" t="s">
        <v>2921</v>
      </c>
      <c r="C28" s="2839" t="s">
        <v>2922</v>
      </c>
      <c r="D28" s="2839" t="s">
        <v>2923</v>
      </c>
      <c r="E28" s="2840" t="s">
        <v>2924</v>
      </c>
      <c r="F28" s="2841"/>
      <c r="G28" s="2760"/>
      <c r="H28" s="2760"/>
      <c r="I28" s="2760"/>
      <c r="J28" s="2761"/>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2"/>
      <c r="B29" s="2843" t="s">
        <v>2925</v>
      </c>
      <c r="C29" s="205" t="e">
        <f>ROUND(C5*C18*C19*C20*C21*C24,0)</f>
        <v>#DIV/0!</v>
      </c>
      <c r="D29" s="2844"/>
      <c r="E29" s="944" t="e">
        <f>ROUND(C29*D29/10000,0)</f>
        <v>#DIV/0!</v>
      </c>
      <c r="F29" s="2845" t="s">
        <v>2926</v>
      </c>
      <c r="G29" s="2846"/>
      <c r="H29" s="2846"/>
      <c r="I29" s="2846"/>
      <c r="J29" s="2847"/>
      <c r="K29" s="1370"/>
      <c r="L29" s="1370"/>
      <c r="M29" s="1370"/>
      <c r="N29" s="1370"/>
      <c r="O29" s="1375"/>
      <c r="P29" s="1375"/>
      <c r="Q29" s="1376"/>
      <c r="R29" s="1376"/>
      <c r="S29" s="1376"/>
      <c r="T29" s="1371"/>
      <c r="U29" s="1371"/>
      <c r="V29" s="1371"/>
      <c r="W29" s="1370"/>
      <c r="X29" s="1370"/>
      <c r="Y29" s="1370"/>
      <c r="Z29" s="1377"/>
      <c r="AA29" s="1378"/>
      <c r="AB29" s="1378"/>
      <c r="AC29" s="1378"/>
      <c r="AD29" s="1378"/>
      <c r="AE29" s="2787"/>
      <c r="AF29" s="2787"/>
      <c r="AG29" s="2719"/>
      <c r="AH29" s="2719"/>
      <c r="AI29" s="2719"/>
      <c r="AJ29" s="2719"/>
    </row>
    <row r="30" spans="1:37" ht="25.5" thickBot="1">
      <c r="A30" s="2848"/>
      <c r="B30" s="2849" t="s">
        <v>2927</v>
      </c>
      <c r="C30" s="228" t="e">
        <f>ROUND(IF(E2="工业",C29*M39,C29*M38),0)</f>
        <v>#DIV/0!</v>
      </c>
      <c r="D30" s="2850"/>
      <c r="E30" s="944" t="e">
        <f>ROUND(C30*D30/10000,0)</f>
        <v>#DIV/0!</v>
      </c>
      <c r="F30" s="2851" t="s">
        <v>2928</v>
      </c>
      <c r="G30" s="2852"/>
      <c r="H30" s="2852"/>
      <c r="I30" s="2852"/>
      <c r="J30" s="2853"/>
      <c r="K30" s="1370"/>
      <c r="L30" s="1370"/>
      <c r="M30" s="1370"/>
      <c r="N30" s="1370"/>
      <c r="O30" s="1375"/>
      <c r="P30" s="1375"/>
      <c r="Q30" s="1376"/>
      <c r="R30" s="1376"/>
      <c r="S30" s="1376"/>
      <c r="T30" s="1371"/>
      <c r="U30" s="1371"/>
      <c r="V30" s="1371"/>
      <c r="W30" s="1370"/>
      <c r="X30" s="1370"/>
      <c r="Y30" s="1370"/>
      <c r="Z30" s="1377"/>
      <c r="AA30" s="1378"/>
      <c r="AB30" s="1378"/>
      <c r="AC30" s="1378"/>
      <c r="AD30" s="1378"/>
      <c r="AE30" s="2787"/>
      <c r="AF30" s="2787"/>
      <c r="AG30" s="2719"/>
      <c r="AH30" s="2719"/>
      <c r="AI30" s="2719"/>
      <c r="AJ30" s="2719"/>
    </row>
    <row r="31" spans="1:37" ht="14.25">
      <c r="A31" s="2854"/>
      <c r="B31" s="2855" t="s">
        <v>2929</v>
      </c>
      <c r="C31" s="2856" t="s">
        <v>2930</v>
      </c>
      <c r="D31" s="2760"/>
      <c r="E31" s="2856"/>
      <c r="F31" s="2856"/>
      <c r="G31" s="2758" t="s">
        <v>2931</v>
      </c>
      <c r="H31" s="2760"/>
      <c r="I31" s="2857"/>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7"/>
      <c r="AF31" s="2787"/>
      <c r="AG31" s="2719"/>
      <c r="AH31" s="2719"/>
      <c r="AI31" s="2719"/>
      <c r="AJ31" s="2719"/>
    </row>
    <row r="32" spans="1:37" ht="24">
      <c r="A32" s="2842"/>
      <c r="B32" s="2858"/>
      <c r="C32" s="500" t="s">
        <v>2922</v>
      </c>
      <c r="D32" s="497" t="s">
        <v>2923</v>
      </c>
      <c r="E32" s="497" t="s">
        <v>2924</v>
      </c>
      <c r="F32" s="387" t="s">
        <v>2932</v>
      </c>
      <c r="G32" s="2859" t="s">
        <v>2922</v>
      </c>
      <c r="H32" s="2859" t="s">
        <v>2923</v>
      </c>
      <c r="I32" s="2859" t="s">
        <v>2924</v>
      </c>
      <c r="J32" s="286"/>
      <c r="K32" s="1370"/>
      <c r="L32" s="1370"/>
      <c r="M32" s="1370"/>
      <c r="N32" s="1370"/>
      <c r="O32" s="1375"/>
      <c r="P32" s="1375"/>
      <c r="Q32" s="1376"/>
      <c r="R32" s="1376"/>
      <c r="S32" s="1376"/>
      <c r="T32" s="1371"/>
      <c r="U32" s="1371"/>
      <c r="V32" s="1371"/>
      <c r="W32" s="1370"/>
      <c r="X32" s="1370"/>
      <c r="Y32" s="1370"/>
      <c r="Z32" s="1377"/>
      <c r="AA32" s="1378"/>
      <c r="AB32" s="1378"/>
      <c r="AC32" s="1378"/>
      <c r="AD32" s="1378"/>
      <c r="AE32" s="2787"/>
      <c r="AF32" s="2787"/>
      <c r="AG32" s="2719"/>
      <c r="AH32" s="2719"/>
      <c r="AI32" s="2719"/>
      <c r="AJ32" s="2719"/>
    </row>
    <row r="33" spans="1:37" ht="36" customHeight="1">
      <c r="A33" s="3253" t="s">
        <v>2933</v>
      </c>
      <c r="B33" s="2860" t="s">
        <v>2934</v>
      </c>
      <c r="C33" s="205" t="e">
        <f>ROUND(D5*C19*C20*C24*F33,0)</f>
        <v>#DIV/0!</v>
      </c>
      <c r="D33" s="2844"/>
      <c r="E33" s="199" t="e">
        <f>ROUND(C33*D33/10000,0)</f>
        <v>#DIV/0!</v>
      </c>
      <c r="F33" s="199">
        <f>SUMIF(修正!A45:A56,G2,修正!B45:B56)</f>
        <v>0</v>
      </c>
      <c r="G33" s="199" t="e">
        <f t="shared" ref="G33:G39" si="6">ROUND(IF(E2="工业",C33*$M$39,C33*$M$38),0)</f>
        <v>#DIV/0!</v>
      </c>
      <c r="H33" s="199">
        <f>D33</f>
        <v>0</v>
      </c>
      <c r="I33" s="199" t="e">
        <f>ROUND(G33*H33/10000,0)</f>
        <v>#DIV/0!</v>
      </c>
      <c r="J33" s="2861"/>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54"/>
      <c r="B34" s="2764" t="s">
        <v>2935</v>
      </c>
      <c r="C34" s="205" t="e">
        <f>ROUND(D5*C19*C20*C24*F34,0)</f>
        <v>#DIV/0!</v>
      </c>
      <c r="D34" s="2844"/>
      <c r="E34" s="199" t="e">
        <f t="shared" ref="E34:E39" si="7">ROUND(C34*D34/10000,0)</f>
        <v>#DIV/0!</v>
      </c>
      <c r="F34" s="199">
        <f>SUMIF(修正!A45:A56,G2,修正!C45:C56)</f>
        <v>0</v>
      </c>
      <c r="G34" s="199" t="e">
        <f t="shared" si="6"/>
        <v>#DIV/0!</v>
      </c>
      <c r="H34" s="199">
        <f t="shared" ref="H34:H39" si="8">D34</f>
        <v>0</v>
      </c>
      <c r="I34" s="199" t="e">
        <f t="shared" ref="I34:I39" si="9">ROUND(G34*H34/10000,0)</f>
        <v>#DIV/0!</v>
      </c>
      <c r="J34" s="2861"/>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54"/>
      <c r="B35" s="2764" t="s">
        <v>2936</v>
      </c>
      <c r="C35" s="205" t="e">
        <f>ROUND(D5*C19*C20*C24*F35,0)</f>
        <v>#DIV/0!</v>
      </c>
      <c r="D35" s="2844"/>
      <c r="E35" s="199" t="e">
        <f t="shared" si="7"/>
        <v>#DIV/0!</v>
      </c>
      <c r="F35" s="199">
        <f>SUMIF(修正!A45:A56,G2,修正!D45:D56)</f>
        <v>0</v>
      </c>
      <c r="G35" s="199" t="e">
        <f t="shared" si="6"/>
        <v>#DIV/0!</v>
      </c>
      <c r="H35" s="199">
        <f t="shared" si="8"/>
        <v>0</v>
      </c>
      <c r="I35" s="199" t="e">
        <f t="shared" si="9"/>
        <v>#DIV/0!</v>
      </c>
      <c r="J35" s="2861"/>
      <c r="K35" s="1370"/>
      <c r="L35" s="1370"/>
      <c r="M35" s="1370"/>
      <c r="N35" s="1370"/>
      <c r="O35" s="1370"/>
      <c r="P35" s="1370"/>
      <c r="Q35" s="1370"/>
      <c r="R35" s="1370"/>
      <c r="S35" s="1370"/>
      <c r="T35" s="1370"/>
      <c r="U35" s="1370"/>
      <c r="V35" s="1370"/>
      <c r="W35" s="1370"/>
      <c r="X35" s="1370"/>
      <c r="Y35" s="1370"/>
      <c r="Z35" s="1371"/>
    </row>
    <row r="36" spans="1:37" ht="13.5" thickBot="1">
      <c r="A36" s="3255"/>
      <c r="B36" s="2764" t="s">
        <v>2937</v>
      </c>
      <c r="C36" s="205" t="e">
        <f>ROUND(D5*C19*C20*C24*F36,0)</f>
        <v>#DIV/0!</v>
      </c>
      <c r="D36" s="2844"/>
      <c r="E36" s="199" t="e">
        <f t="shared" si="7"/>
        <v>#DIV/0!</v>
      </c>
      <c r="F36" s="199">
        <f>SUMIF(修正!A45:A56,G2,修正!E45:E56)</f>
        <v>0</v>
      </c>
      <c r="G36" s="199" t="e">
        <f t="shared" si="6"/>
        <v>#DIV/0!</v>
      </c>
      <c r="H36" s="199">
        <f t="shared" si="8"/>
        <v>0</v>
      </c>
      <c r="I36" s="199" t="e">
        <f t="shared" si="9"/>
        <v>#DIV/0!</v>
      </c>
      <c r="J36" s="2861"/>
      <c r="K36" s="1370"/>
      <c r="L36" s="2718"/>
      <c r="M36" s="2718"/>
      <c r="N36" s="1370"/>
      <c r="O36" s="1370"/>
      <c r="P36" s="1370"/>
      <c r="Q36" s="1370"/>
      <c r="R36" s="1370"/>
      <c r="S36" s="1370"/>
      <c r="T36" s="1370"/>
      <c r="U36" s="1370"/>
      <c r="V36" s="1370"/>
      <c r="W36" s="1370"/>
      <c r="X36" s="1370"/>
      <c r="Y36" s="1370"/>
      <c r="Z36" s="1371"/>
    </row>
    <row r="37" spans="1:37">
      <c r="A37" s="2862"/>
      <c r="B37" s="2764" t="s">
        <v>2938</v>
      </c>
      <c r="C37" s="199" t="e">
        <f>ROUND(C5*C19*C20*C24*F37,0)</f>
        <v>#DIV/0!</v>
      </c>
      <c r="D37" s="2844"/>
      <c r="E37" s="199" t="e">
        <f t="shared" si="7"/>
        <v>#DIV/0!</v>
      </c>
      <c r="F37" s="205">
        <f>SUMIF(修正!A45:A56,G2,修正!F45:F56)</f>
        <v>0</v>
      </c>
      <c r="G37" s="199" t="e">
        <f t="shared" si="6"/>
        <v>#DIV/0!</v>
      </c>
      <c r="H37" s="199">
        <f t="shared" si="8"/>
        <v>0</v>
      </c>
      <c r="I37" s="199" t="e">
        <f t="shared" si="9"/>
        <v>#DIV/0!</v>
      </c>
      <c r="J37" s="2861"/>
      <c r="K37" s="1370"/>
      <c r="L37" s="2863" t="s">
        <v>2939</v>
      </c>
      <c r="M37" s="2864"/>
      <c r="N37" s="1370"/>
      <c r="O37" s="1370"/>
      <c r="P37" s="1370"/>
      <c r="Q37" s="1370"/>
      <c r="R37" s="1370"/>
      <c r="S37" s="1370"/>
      <c r="T37" s="1370"/>
      <c r="U37" s="1370"/>
      <c r="V37" s="1370"/>
      <c r="W37" s="1370"/>
      <c r="X37" s="1370"/>
      <c r="Y37" s="1370"/>
      <c r="Z37" s="1371"/>
    </row>
    <row r="38" spans="1:37">
      <c r="A38" s="2862"/>
      <c r="B38" s="2764" t="s">
        <v>2940</v>
      </c>
      <c r="C38" s="199" t="e">
        <f>ROUND(C5*C19*C20*C24*F38,0)</f>
        <v>#DIV/0!</v>
      </c>
      <c r="D38" s="2844"/>
      <c r="E38" s="199" t="e">
        <f t="shared" si="7"/>
        <v>#DIV/0!</v>
      </c>
      <c r="F38" s="205">
        <f>SUMIF(修正!A45:A56,G2,修正!G45:G56)</f>
        <v>0</v>
      </c>
      <c r="G38" s="199" t="e">
        <f t="shared" si="6"/>
        <v>#DIV/0!</v>
      </c>
      <c r="H38" s="199">
        <f t="shared" si="8"/>
        <v>0</v>
      </c>
      <c r="I38" s="199" t="e">
        <f t="shared" si="9"/>
        <v>#DIV/0!</v>
      </c>
      <c r="J38" s="2861"/>
      <c r="K38" s="1370"/>
      <c r="L38" s="1888" t="s">
        <v>2941</v>
      </c>
      <c r="M38" s="2865">
        <v>0.25</v>
      </c>
      <c r="N38" s="1370"/>
      <c r="O38" s="1370"/>
      <c r="P38" s="1370"/>
      <c r="Q38" s="1370"/>
      <c r="R38" s="1370"/>
      <c r="S38" s="1370"/>
      <c r="T38" s="1370"/>
      <c r="U38" s="1370"/>
      <c r="V38" s="1370"/>
      <c r="W38" s="1370"/>
      <c r="X38" s="1370"/>
      <c r="Y38" s="1370"/>
      <c r="Z38" s="1371"/>
    </row>
    <row r="39" spans="1:37" ht="13.5" thickBot="1">
      <c r="A39" s="2848"/>
      <c r="B39" s="2866" t="s">
        <v>2942</v>
      </c>
      <c r="C39" s="228" t="e">
        <f>ROUND(C5*C19*C20*C24*F39,0)</f>
        <v>#DIV/0!</v>
      </c>
      <c r="D39" s="2850"/>
      <c r="E39" s="228" t="e">
        <f t="shared" si="7"/>
        <v>#DIV/0!</v>
      </c>
      <c r="F39" s="934">
        <f>SUMIF(修正!A45:A56,G2,修正!H45:H56)</f>
        <v>0</v>
      </c>
      <c r="G39" s="228" t="e">
        <f t="shared" si="6"/>
        <v>#DIV/0!</v>
      </c>
      <c r="H39" s="228">
        <f t="shared" si="8"/>
        <v>0</v>
      </c>
      <c r="I39" s="228" t="e">
        <f t="shared" si="9"/>
        <v>#DIV/0!</v>
      </c>
      <c r="J39" s="2867"/>
      <c r="K39" s="1370"/>
      <c r="L39" s="2868" t="s">
        <v>2883</v>
      </c>
      <c r="M39" s="2869">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0"/>
      <c r="Z41" s="1371"/>
      <c r="AA41" s="1371"/>
      <c r="AB41" s="1371"/>
      <c r="AC41" s="1371"/>
      <c r="AD41" s="1371"/>
      <c r="AE41" s="1371"/>
      <c r="AF41" s="1371"/>
      <c r="AG41" s="1371"/>
      <c r="AH41" s="1371"/>
      <c r="AI41" s="1371"/>
      <c r="AJ41" s="1371"/>
    </row>
    <row r="42" spans="1:37" s="1370" customFormat="1">
      <c r="A42" s="1371"/>
      <c r="B42" s="2870"/>
      <c r="Z42" s="1371"/>
      <c r="AA42" s="1371"/>
      <c r="AB42" s="1371"/>
      <c r="AC42" s="1371"/>
      <c r="AD42" s="1371"/>
      <c r="AE42" s="1371"/>
      <c r="AF42" s="1371"/>
      <c r="AG42" s="1371"/>
      <c r="AH42" s="1371"/>
      <c r="AI42" s="1371"/>
      <c r="AJ42" s="1371"/>
    </row>
    <row r="43" spans="1:37" s="1370" customFormat="1">
      <c r="A43" s="1371"/>
      <c r="B43" s="2870"/>
      <c r="Z43" s="1371"/>
      <c r="AA43" s="1371"/>
      <c r="AB43" s="1371"/>
      <c r="AC43" s="1371"/>
      <c r="AD43" s="1371"/>
      <c r="AE43" s="1371"/>
      <c r="AF43" s="1371"/>
      <c r="AG43" s="1371"/>
      <c r="AH43" s="1371"/>
      <c r="AI43" s="1371"/>
      <c r="AJ43" s="1371"/>
    </row>
    <row r="44" spans="1:37" s="1370" customFormat="1">
      <c r="A44" s="1371"/>
      <c r="B44" s="2870"/>
      <c r="Z44" s="1371"/>
      <c r="AA44" s="1371"/>
      <c r="AB44" s="1371"/>
      <c r="AC44" s="1371"/>
      <c r="AD44" s="1371"/>
      <c r="AE44" s="1371"/>
      <c r="AF44" s="1371"/>
      <c r="AG44" s="1371"/>
      <c r="AH44" s="1371"/>
      <c r="AI44" s="1371"/>
      <c r="AJ44" s="1371"/>
    </row>
    <row r="45" spans="1:37" s="1370" customFormat="1" ht="15.75" thickBot="1">
      <c r="A45" s="2871" t="s">
        <v>2943</v>
      </c>
      <c r="B45" s="2872"/>
      <c r="C45" s="7"/>
      <c r="D45" s="7"/>
      <c r="E45" s="7"/>
      <c r="F45" s="6"/>
      <c r="G45" s="6"/>
      <c r="H45" s="6"/>
      <c r="I45" s="7"/>
      <c r="J45" s="7"/>
      <c r="K45" s="7"/>
      <c r="L45" s="7"/>
      <c r="M45" s="7"/>
      <c r="N45" s="2787"/>
      <c r="Z45" s="1371"/>
      <c r="AA45" s="1371"/>
      <c r="AB45" s="1371"/>
      <c r="AC45" s="1371"/>
      <c r="AD45" s="1371"/>
      <c r="AE45" s="1371"/>
      <c r="AF45" s="1371"/>
      <c r="AG45" s="1371"/>
      <c r="AH45" s="1371"/>
      <c r="AI45" s="1371"/>
      <c r="AJ45" s="1371"/>
    </row>
    <row r="46" spans="1:37" s="1370" customFormat="1" ht="15">
      <c r="A46" s="2873" t="s">
        <v>2944</v>
      </c>
      <c r="B46" s="2874">
        <f>1+E48</f>
        <v>1</v>
      </c>
      <c r="C46" s="2875"/>
      <c r="D46" s="813"/>
      <c r="E46" s="814"/>
      <c r="F46" s="2876"/>
      <c r="G46" s="6"/>
      <c r="H46" s="7"/>
      <c r="I46" s="7"/>
      <c r="J46" s="7"/>
      <c r="K46" s="7"/>
      <c r="L46" s="7"/>
      <c r="M46" s="7"/>
      <c r="N46" s="2787"/>
      <c r="Z46" s="1371"/>
      <c r="AA46" s="1371"/>
      <c r="AB46" s="1371"/>
      <c r="AC46" s="1371"/>
      <c r="AD46" s="1371"/>
      <c r="AE46" s="1371"/>
      <c r="AF46" s="1371"/>
      <c r="AG46" s="1371"/>
      <c r="AH46" s="1371"/>
      <c r="AI46" s="1371"/>
      <c r="AJ46" s="1371"/>
    </row>
    <row r="47" spans="1:37" s="1370" customFormat="1" ht="24.75">
      <c r="A47" s="2877" t="s">
        <v>2945</v>
      </c>
      <c r="B47" s="1810" t="s">
        <v>2946</v>
      </c>
      <c r="C47" s="1810" t="s">
        <v>2947</v>
      </c>
      <c r="D47" s="1810" t="s">
        <v>2948</v>
      </c>
      <c r="E47" s="818" t="s">
        <v>2949</v>
      </c>
      <c r="F47" s="2878" t="s">
        <v>2950</v>
      </c>
      <c r="G47" s="1810" t="s">
        <v>754</v>
      </c>
      <c r="H47" s="2879" t="s">
        <v>2951</v>
      </c>
      <c r="I47" s="1810" t="s">
        <v>2952</v>
      </c>
      <c r="J47" s="602" t="s">
        <v>2598</v>
      </c>
      <c r="K47" s="602" t="s">
        <v>2599</v>
      </c>
      <c r="L47" s="602" t="s">
        <v>2600</v>
      </c>
      <c r="M47" s="602" t="s">
        <v>2601</v>
      </c>
      <c r="N47" s="602" t="s">
        <v>2602</v>
      </c>
      <c r="AA47" s="1371"/>
      <c r="AB47" s="1371"/>
      <c r="AC47" s="1371"/>
      <c r="AD47" s="1371"/>
      <c r="AE47" s="1371"/>
      <c r="AF47" s="1371"/>
      <c r="AG47" s="1371"/>
      <c r="AH47" s="1371"/>
      <c r="AI47" s="1371"/>
      <c r="AJ47" s="1371"/>
      <c r="AK47" s="1371"/>
    </row>
    <row r="48" spans="1:37" s="1370" customFormat="1" ht="38.25">
      <c r="A48" s="2877" t="s">
        <v>2953</v>
      </c>
      <c r="B48" s="2880" t="str">
        <f>估价对象房地状况!C4</f>
        <v>估价对象位于XX商圈，周边商业氛围成熟，人流量大，商业繁华度好</v>
      </c>
      <c r="C48" s="2769"/>
      <c r="D48" s="1286">
        <f t="shared" ref="D48:D56" si="10">SUMIF($J$47:$N$47,C48,J48:N48)</f>
        <v>0</v>
      </c>
      <c r="E48" s="820">
        <f>ROUND(SUM(D48:D56),4)</f>
        <v>0</v>
      </c>
      <c r="F48" s="2500" t="str">
        <f>IF(E2="商业",SUMIF(L1:L12,G2,N1:N12),"——")</f>
        <v>——</v>
      </c>
      <c r="G48" s="1284"/>
      <c r="H48" s="1288" t="str">
        <f t="shared" ref="H48:H56" si="11">IFERROR(ROUNDDOWN($F$48*I48/2,4),"——")</f>
        <v>——</v>
      </c>
      <c r="I48" s="819">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7" t="s">
        <v>2954</v>
      </c>
      <c r="B49" s="2881" t="str">
        <f>估价对象房地状况!C18</f>
        <v>估价对象周边道路状况、公共交通通达情况、停车便捷程度，综合评价交通便捷度较好</v>
      </c>
      <c r="C49" s="2769"/>
      <c r="D49" s="1286">
        <f t="shared" si="10"/>
        <v>0</v>
      </c>
      <c r="E49" s="821"/>
      <c r="F49" s="2500"/>
      <c r="G49" s="1284"/>
      <c r="H49" s="1288" t="str">
        <f t="shared" si="11"/>
        <v>——</v>
      </c>
      <c r="I49" s="819">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7" t="s">
        <v>2955</v>
      </c>
      <c r="B50" s="2881">
        <f>估价对象房地状况!C19</f>
        <v>0</v>
      </c>
      <c r="C50" s="2769"/>
      <c r="D50" s="1286">
        <f t="shared" si="10"/>
        <v>0</v>
      </c>
      <c r="E50" s="821"/>
      <c r="F50" s="2500"/>
      <c r="G50" s="1284"/>
      <c r="H50" s="1288" t="str">
        <f t="shared" si="11"/>
        <v>——</v>
      </c>
      <c r="I50" s="819">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7" t="s">
        <v>2956</v>
      </c>
      <c r="B51" s="2882" t="s">
        <v>2957</v>
      </c>
      <c r="C51" s="2769"/>
      <c r="D51" s="1286">
        <f t="shared" si="10"/>
        <v>0</v>
      </c>
      <c r="E51" s="821"/>
      <c r="F51" s="2500"/>
      <c r="G51" s="1284"/>
      <c r="H51" s="1288" t="str">
        <f t="shared" si="11"/>
        <v>——</v>
      </c>
      <c r="I51" s="819">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7" t="s">
        <v>2958</v>
      </c>
      <c r="B52" s="2881">
        <f>估价对象房地状况!C24</f>
        <v>0</v>
      </c>
      <c r="C52" s="2769"/>
      <c r="D52" s="1286">
        <f t="shared" si="10"/>
        <v>0</v>
      </c>
      <c r="E52" s="821"/>
      <c r="F52" s="2500"/>
      <c r="G52" s="1284"/>
      <c r="H52" s="1288" t="str">
        <f t="shared" si="11"/>
        <v>——</v>
      </c>
      <c r="I52" s="819">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7" t="s">
        <v>2959</v>
      </c>
      <c r="B53" s="2883" t="s">
        <v>2960</v>
      </c>
      <c r="C53" s="2769"/>
      <c r="D53" s="1286">
        <f t="shared" si="10"/>
        <v>0</v>
      </c>
      <c r="E53" s="821"/>
      <c r="F53" s="2500"/>
      <c r="G53" s="1284"/>
      <c r="H53" s="1288" t="str">
        <f t="shared" si="11"/>
        <v>——</v>
      </c>
      <c r="I53" s="819">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4" t="s">
        <v>2961</v>
      </c>
      <c r="B54" s="1726" t="str">
        <f>估价对象房地状况!C21</f>
        <v>估价对象所在区域公共配套设施齐备情况</v>
      </c>
      <c r="C54" s="2769"/>
      <c r="D54" s="1286">
        <f t="shared" si="10"/>
        <v>0</v>
      </c>
      <c r="E54" s="821"/>
      <c r="F54" s="2500"/>
      <c r="G54" s="1284"/>
      <c r="H54" s="1288" t="str">
        <f t="shared" si="11"/>
        <v>——</v>
      </c>
      <c r="I54" s="819">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4" t="s">
        <v>2962</v>
      </c>
      <c r="B55" s="2881" t="str">
        <f>估价对象房地状况!C22</f>
        <v>估价对象所在区域基础设施水平</v>
      </c>
      <c r="C55" s="2769"/>
      <c r="D55" s="1286">
        <f t="shared" si="10"/>
        <v>0</v>
      </c>
      <c r="E55" s="821"/>
      <c r="F55" s="2500"/>
      <c r="G55" s="1284"/>
      <c r="H55" s="1288" t="str">
        <f t="shared" si="11"/>
        <v>——</v>
      </c>
      <c r="I55" s="819">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5" t="s">
        <v>2963</v>
      </c>
      <c r="B56" s="2886" t="str">
        <f>估价对象房地状况!C20</f>
        <v>区域自然环境：；人文环境；综合评价环境状况一般</v>
      </c>
      <c r="C56" s="2769"/>
      <c r="D56" s="1286">
        <f t="shared" si="10"/>
        <v>0</v>
      </c>
      <c r="E56" s="824"/>
      <c r="F56" s="2500"/>
      <c r="G56" s="1284"/>
      <c r="H56" s="1288" t="str">
        <f t="shared" si="11"/>
        <v>——</v>
      </c>
      <c r="I56" s="823">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3" t="s">
        <v>2964</v>
      </c>
      <c r="B57" s="2874">
        <f>1+E59</f>
        <v>1</v>
      </c>
      <c r="C57" s="813"/>
      <c r="D57" s="813"/>
      <c r="E57" s="814"/>
      <c r="F57" s="2876"/>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7" t="s">
        <v>2945</v>
      </c>
      <c r="B58" s="1810"/>
      <c r="C58" s="1810" t="s">
        <v>2947</v>
      </c>
      <c r="D58" s="1810" t="s">
        <v>2948</v>
      </c>
      <c r="E58" s="818" t="s">
        <v>2949</v>
      </c>
      <c r="F58" s="2878" t="s">
        <v>2965</v>
      </c>
      <c r="G58" s="1810" t="s">
        <v>754</v>
      </c>
      <c r="H58" s="2879" t="s">
        <v>2951</v>
      </c>
      <c r="I58" s="1810" t="s">
        <v>2952</v>
      </c>
      <c r="J58" s="602" t="s">
        <v>2598</v>
      </c>
      <c r="K58" s="602" t="s">
        <v>2599</v>
      </c>
      <c r="L58" s="602" t="s">
        <v>2600</v>
      </c>
      <c r="M58" s="602" t="s">
        <v>2601</v>
      </c>
      <c r="N58" s="602" t="s">
        <v>2602</v>
      </c>
      <c r="AA58" s="1371"/>
      <c r="AB58" s="1371"/>
      <c r="AC58" s="1371"/>
      <c r="AD58" s="1371"/>
      <c r="AE58" s="1371"/>
      <c r="AF58" s="1371"/>
      <c r="AG58" s="1371"/>
      <c r="AH58" s="1371"/>
      <c r="AI58" s="1371"/>
      <c r="AJ58" s="1371"/>
      <c r="AK58" s="1371"/>
    </row>
    <row r="59" spans="1:37" s="1370" customFormat="1" ht="38.25">
      <c r="A59" s="2877" t="s">
        <v>2966</v>
      </c>
      <c r="B59" s="2880" t="str">
        <f>估价对象房地状况!C17</f>
        <v>估价对象位于XX商圈，周边办公楼项目较多，入驻率高，办公集聚程度较好</v>
      </c>
      <c r="C59" s="2769"/>
      <c r="D59" s="1286">
        <f t="shared" ref="D59:D67" si="15">SUMIF($J$58:$N$58,C59,J59:N59)</f>
        <v>0</v>
      </c>
      <c r="E59" s="820">
        <f>ROUND(SUM(D59:D67),4)</f>
        <v>0</v>
      </c>
      <c r="F59" s="2500" t="str">
        <f>IF(E2="办公",SUMIF(L1:L12,G2,N1:N12),"——")</f>
        <v>——</v>
      </c>
      <c r="G59" s="1284"/>
      <c r="H59" s="1288" t="str">
        <f t="shared" ref="H59:H67" si="16">IFERROR(ROUNDDOWN($F$59*I59/2,4),"——")</f>
        <v>——</v>
      </c>
      <c r="I59" s="819">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7" t="s">
        <v>2954</v>
      </c>
      <c r="B60" s="2881" t="str">
        <f>估价对象房地状况!C18</f>
        <v>估价对象周边道路状况、公共交通通达情况、停车便捷程度，综合评价交通便捷度较好</v>
      </c>
      <c r="C60" s="2769"/>
      <c r="D60" s="1286">
        <f t="shared" si="15"/>
        <v>0</v>
      </c>
      <c r="E60" s="821"/>
      <c r="F60" s="2500"/>
      <c r="G60" s="1284"/>
      <c r="H60" s="1288" t="str">
        <f t="shared" si="16"/>
        <v>——</v>
      </c>
      <c r="I60" s="819">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7" t="s">
        <v>2955</v>
      </c>
      <c r="B61" s="2881">
        <f>估价对象房地状况!C19</f>
        <v>0</v>
      </c>
      <c r="C61" s="2769"/>
      <c r="D61" s="1286">
        <f t="shared" si="15"/>
        <v>0</v>
      </c>
      <c r="E61" s="821"/>
      <c r="F61" s="2500"/>
      <c r="G61" s="1284"/>
      <c r="H61" s="1288" t="str">
        <f t="shared" si="16"/>
        <v>——</v>
      </c>
      <c r="I61" s="819">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7" t="s">
        <v>2956</v>
      </c>
      <c r="B62" s="2882" t="s">
        <v>2957</v>
      </c>
      <c r="C62" s="2769"/>
      <c r="D62" s="1286">
        <f t="shared" si="15"/>
        <v>0</v>
      </c>
      <c r="E62" s="821"/>
      <c r="F62" s="2500"/>
      <c r="G62" s="1284"/>
      <c r="H62" s="1288" t="str">
        <f t="shared" si="16"/>
        <v>——</v>
      </c>
      <c r="I62" s="819">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7" t="s">
        <v>2958</v>
      </c>
      <c r="B63" s="2881">
        <f>估价对象房地状况!C24</f>
        <v>0</v>
      </c>
      <c r="C63" s="2769"/>
      <c r="D63" s="1286">
        <f t="shared" si="15"/>
        <v>0</v>
      </c>
      <c r="E63" s="821"/>
      <c r="F63" s="2500"/>
      <c r="G63" s="1284"/>
      <c r="H63" s="1288" t="str">
        <f t="shared" si="16"/>
        <v>——</v>
      </c>
      <c r="I63" s="819">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7" t="s">
        <v>2959</v>
      </c>
      <c r="B64" s="2883" t="s">
        <v>2960</v>
      </c>
      <c r="C64" s="2769"/>
      <c r="D64" s="1286">
        <f t="shared" si="15"/>
        <v>0</v>
      </c>
      <c r="E64" s="821"/>
      <c r="F64" s="2500"/>
      <c r="G64" s="1284"/>
      <c r="H64" s="1288" t="str">
        <f t="shared" si="16"/>
        <v>——</v>
      </c>
      <c r="I64" s="819">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7" t="s">
        <v>2961</v>
      </c>
      <c r="B65" s="1726" t="str">
        <f>估价对象房地状况!C21</f>
        <v>估价对象所在区域公共配套设施齐备情况</v>
      </c>
      <c r="C65" s="2769"/>
      <c r="D65" s="1286">
        <f t="shared" si="15"/>
        <v>0</v>
      </c>
      <c r="E65" s="821"/>
      <c r="F65" s="2500"/>
      <c r="G65" s="1284"/>
      <c r="H65" s="1288" t="str">
        <f t="shared" si="16"/>
        <v>——</v>
      </c>
      <c r="I65" s="819">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7" t="s">
        <v>2962</v>
      </c>
      <c r="B66" s="1726" t="str">
        <f>估价对象房地状况!C22</f>
        <v>估价对象所在区域基础设施水平</v>
      </c>
      <c r="C66" s="2769"/>
      <c r="D66" s="1286">
        <f t="shared" si="15"/>
        <v>0</v>
      </c>
      <c r="E66" s="821"/>
      <c r="F66" s="2500"/>
      <c r="G66" s="1284"/>
      <c r="H66" s="1288" t="str">
        <f t="shared" si="16"/>
        <v>——</v>
      </c>
      <c r="I66" s="819">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5" t="s">
        <v>2963</v>
      </c>
      <c r="B67" s="2887" t="str">
        <f>估价对象房地状况!C20</f>
        <v>区域自然环境：；人文环境；综合评价环境状况一般</v>
      </c>
      <c r="C67" s="2769"/>
      <c r="D67" s="1286">
        <f t="shared" si="15"/>
        <v>0</v>
      </c>
      <c r="E67" s="824"/>
      <c r="F67" s="2500"/>
      <c r="G67" s="1284"/>
      <c r="H67" s="1288" t="str">
        <f t="shared" si="16"/>
        <v>——</v>
      </c>
      <c r="I67" s="823">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3" t="s">
        <v>2967</v>
      </c>
      <c r="B68" s="2874">
        <f>1+E70</f>
        <v>1</v>
      </c>
      <c r="C68" s="813"/>
      <c r="D68" s="813"/>
      <c r="E68" s="814"/>
      <c r="F68" s="2876"/>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7" t="s">
        <v>2945</v>
      </c>
      <c r="B69" s="1810"/>
      <c r="C69" s="1810" t="s">
        <v>2947</v>
      </c>
      <c r="D69" s="1810" t="s">
        <v>2948</v>
      </c>
      <c r="E69" s="818" t="s">
        <v>2949</v>
      </c>
      <c r="F69" s="2878" t="s">
        <v>2965</v>
      </c>
      <c r="G69" s="1810" t="s">
        <v>754</v>
      </c>
      <c r="H69" s="2879" t="s">
        <v>2951</v>
      </c>
      <c r="I69" s="1810" t="s">
        <v>2952</v>
      </c>
      <c r="J69" s="602" t="s">
        <v>2598</v>
      </c>
      <c r="K69" s="602" t="s">
        <v>2599</v>
      </c>
      <c r="L69" s="602" t="s">
        <v>2600</v>
      </c>
      <c r="M69" s="602" t="s">
        <v>2601</v>
      </c>
      <c r="N69" s="602" t="s">
        <v>2602</v>
      </c>
      <c r="AA69" s="1371"/>
      <c r="AB69" s="1371"/>
      <c r="AC69" s="1371"/>
      <c r="AD69" s="1371"/>
      <c r="AE69" s="1371"/>
      <c r="AF69" s="1371"/>
      <c r="AG69" s="1371"/>
      <c r="AH69" s="1371"/>
      <c r="AI69" s="1371"/>
      <c r="AJ69" s="1371"/>
      <c r="AK69" s="1371"/>
    </row>
    <row r="70" spans="1:37" s="1370" customFormat="1" ht="51">
      <c r="A70" s="2877" t="s">
        <v>2968</v>
      </c>
      <c r="B70" s="2880" t="str">
        <f>估价对象房地状况!C15</f>
        <v>估价对象周边居住用地比例、居住小区规模和社区发展完善程度，综合评价居住社区成熟度一般</v>
      </c>
      <c r="C70" s="2769"/>
      <c r="D70" s="1286">
        <f t="shared" ref="D70:D78" si="20">SUMIF($J$69:$N$69,C70,J70:N70)</f>
        <v>0</v>
      </c>
      <c r="E70" s="820">
        <f>ROUND(SUM(D70:D78),4)</f>
        <v>0</v>
      </c>
      <c r="F70" s="2500" t="str">
        <f>IF(E2="住宅",SUMIF(L1:L12,G2,N1:N12),"——")</f>
        <v>——</v>
      </c>
      <c r="G70" s="1284"/>
      <c r="H70" s="1288" t="str">
        <f t="shared" ref="H70:H78" si="21">IFERROR(ROUNDDOWN($F$70*I70/2,4),"——")</f>
        <v>——</v>
      </c>
      <c r="I70" s="819">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7" t="s">
        <v>2954</v>
      </c>
      <c r="B71" s="2881" t="str">
        <f>估价对象房地状况!C18</f>
        <v>估价对象周边道路状况、公共交通通达情况、停车便捷程度，综合评价交通便捷度较好</v>
      </c>
      <c r="C71" s="2769"/>
      <c r="D71" s="1286">
        <f t="shared" si="20"/>
        <v>0</v>
      </c>
      <c r="E71" s="825"/>
      <c r="F71" s="2500"/>
      <c r="G71" s="1284"/>
      <c r="H71" s="1288" t="str">
        <f t="shared" si="21"/>
        <v>——</v>
      </c>
      <c r="I71" s="819">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7" t="s">
        <v>2955</v>
      </c>
      <c r="B72" s="2881">
        <f>估价对象房地状况!C19</f>
        <v>0</v>
      </c>
      <c r="C72" s="2769"/>
      <c r="D72" s="1286">
        <f t="shared" si="20"/>
        <v>0</v>
      </c>
      <c r="E72" s="825"/>
      <c r="F72" s="2500"/>
      <c r="G72" s="1284"/>
      <c r="H72" s="1288" t="str">
        <f t="shared" si="21"/>
        <v>——</v>
      </c>
      <c r="I72" s="819">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7" t="s">
        <v>2969</v>
      </c>
      <c r="B73" s="2881">
        <f>估价对象房地状况!C24</f>
        <v>0</v>
      </c>
      <c r="C73" s="2769"/>
      <c r="D73" s="1286">
        <f t="shared" si="20"/>
        <v>0</v>
      </c>
      <c r="E73" s="825"/>
      <c r="F73" s="2500"/>
      <c r="G73" s="1284"/>
      <c r="H73" s="1288" t="str">
        <f t="shared" si="21"/>
        <v>——</v>
      </c>
      <c r="I73" s="819">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7" t="s">
        <v>2961</v>
      </c>
      <c r="B74" s="1726" t="str">
        <f>估价对象房地状况!C21</f>
        <v>估价对象所在区域公共配套设施齐备情况</v>
      </c>
      <c r="C74" s="2769"/>
      <c r="D74" s="1286">
        <f t="shared" si="20"/>
        <v>0</v>
      </c>
      <c r="E74" s="825"/>
      <c r="F74" s="2500"/>
      <c r="G74" s="1284"/>
      <c r="H74" s="1288" t="str">
        <f t="shared" si="21"/>
        <v>——</v>
      </c>
      <c r="I74" s="819">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7" t="s">
        <v>2962</v>
      </c>
      <c r="B75" s="1726" t="str">
        <f>估价对象房地状况!C22</f>
        <v>估价对象所在区域基础设施水平</v>
      </c>
      <c r="C75" s="2769"/>
      <c r="D75" s="1286">
        <f t="shared" si="20"/>
        <v>0</v>
      </c>
      <c r="E75" s="825"/>
      <c r="F75" s="2500"/>
      <c r="G75" s="1284"/>
      <c r="H75" s="1288" t="str">
        <f t="shared" si="21"/>
        <v>——</v>
      </c>
      <c r="I75" s="819">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77" t="s">
        <v>2959</v>
      </c>
      <c r="B76" s="2883" t="s">
        <v>2960</v>
      </c>
      <c r="C76" s="2769"/>
      <c r="D76" s="1286">
        <f t="shared" si="20"/>
        <v>0</v>
      </c>
      <c r="E76" s="825"/>
      <c r="F76" s="2500"/>
      <c r="G76" s="1284"/>
      <c r="H76" s="1288" t="str">
        <f t="shared" si="21"/>
        <v>——</v>
      </c>
      <c r="I76" s="819">
        <v>0.05</v>
      </c>
      <c r="J76" s="1285">
        <f t="shared" si="22"/>
        <v>0</v>
      </c>
      <c r="K76" s="1285">
        <f t="shared" si="23"/>
        <v>0</v>
      </c>
      <c r="L76" s="1285">
        <v>0</v>
      </c>
      <c r="M76" s="1285">
        <f t="shared" si="24"/>
        <v>0</v>
      </c>
      <c r="N76" s="1285">
        <f t="shared" si="24"/>
        <v>0</v>
      </c>
      <c r="AA76" s="2888"/>
      <c r="AB76" s="1371"/>
      <c r="AC76" s="1371"/>
      <c r="AD76" s="1371"/>
      <c r="AE76" s="1371"/>
      <c r="AF76" s="1371"/>
      <c r="AG76" s="1371"/>
      <c r="AH76" s="2888"/>
      <c r="AI76" s="2888"/>
      <c r="AJ76" s="2888"/>
      <c r="AK76" s="2888"/>
    </row>
    <row r="77" spans="1:37" ht="38.25">
      <c r="A77" s="2877" t="s">
        <v>2963</v>
      </c>
      <c r="B77" s="2880" t="str">
        <f>估价对象房地状况!C20</f>
        <v>区域自然环境：；人文环境；综合评价环境状况一般</v>
      </c>
      <c r="C77" s="2769"/>
      <c r="D77" s="1286">
        <f t="shared" si="20"/>
        <v>0</v>
      </c>
      <c r="E77" s="825"/>
      <c r="F77" s="2500"/>
      <c r="G77" s="1284"/>
      <c r="H77" s="1288" t="str">
        <f t="shared" si="21"/>
        <v>——</v>
      </c>
      <c r="I77" s="819">
        <v>0.15</v>
      </c>
      <c r="J77" s="1285">
        <f t="shared" si="22"/>
        <v>0</v>
      </c>
      <c r="K77" s="1285">
        <f t="shared" si="23"/>
        <v>0</v>
      </c>
      <c r="L77" s="1285">
        <v>0</v>
      </c>
      <c r="M77" s="1285">
        <f t="shared" si="24"/>
        <v>0</v>
      </c>
      <c r="N77" s="1285">
        <f t="shared" si="24"/>
        <v>0</v>
      </c>
      <c r="Z77" s="2719"/>
      <c r="AA77" s="2795"/>
      <c r="AG77" s="1372"/>
      <c r="AK77" s="2795"/>
    </row>
    <row r="78" spans="1:37" ht="24.75" thickBot="1">
      <c r="A78" s="2885" t="s">
        <v>2970</v>
      </c>
      <c r="B78" s="2889"/>
      <c r="C78" s="2769"/>
      <c r="D78" s="1286">
        <f t="shared" si="20"/>
        <v>0</v>
      </c>
      <c r="E78" s="826"/>
      <c r="F78" s="2500"/>
      <c r="G78" s="1284"/>
      <c r="H78" s="1288" t="str">
        <f t="shared" si="21"/>
        <v>——</v>
      </c>
      <c r="I78" s="823">
        <v>0.04</v>
      </c>
      <c r="J78" s="1285">
        <f t="shared" si="22"/>
        <v>0</v>
      </c>
      <c r="K78" s="1285">
        <f t="shared" si="23"/>
        <v>0</v>
      </c>
      <c r="L78" s="1285">
        <v>0</v>
      </c>
      <c r="M78" s="1285">
        <f t="shared" si="24"/>
        <v>0</v>
      </c>
      <c r="N78" s="1285">
        <f t="shared" si="24"/>
        <v>0</v>
      </c>
      <c r="Z78" s="2719"/>
      <c r="AA78" s="2795"/>
      <c r="AG78" s="1372"/>
      <c r="AK78" s="2795"/>
    </row>
    <row r="79" spans="1:37" ht="15">
      <c r="A79" s="2873" t="s">
        <v>2971</v>
      </c>
      <c r="B79" s="2874">
        <f>1+E81</f>
        <v>1</v>
      </c>
      <c r="C79" s="813"/>
      <c r="D79" s="813"/>
      <c r="E79" s="814"/>
      <c r="F79" s="2876"/>
      <c r="G79" s="6"/>
      <c r="H79" s="6"/>
      <c r="I79" s="6"/>
      <c r="J79" s="7"/>
      <c r="K79" s="7"/>
      <c r="L79" s="7"/>
      <c r="M79" s="7"/>
      <c r="N79" s="7"/>
      <c r="Z79" s="2719"/>
      <c r="AA79" s="2795"/>
      <c r="AG79" s="1372"/>
      <c r="AK79" s="2795"/>
    </row>
    <row r="80" spans="1:37" ht="24.75">
      <c r="A80" s="2877" t="s">
        <v>2945</v>
      </c>
      <c r="B80" s="1810"/>
      <c r="C80" s="1810" t="s">
        <v>2947</v>
      </c>
      <c r="D80" s="1810" t="s">
        <v>2948</v>
      </c>
      <c r="E80" s="818" t="s">
        <v>2949</v>
      </c>
      <c r="F80" s="2878" t="s">
        <v>2965</v>
      </c>
      <c r="G80" s="1810" t="s">
        <v>754</v>
      </c>
      <c r="H80" s="2879" t="s">
        <v>2951</v>
      </c>
      <c r="I80" s="1810" t="s">
        <v>2952</v>
      </c>
      <c r="J80" s="602" t="s">
        <v>2598</v>
      </c>
      <c r="K80" s="602" t="s">
        <v>2599</v>
      </c>
      <c r="L80" s="602" t="s">
        <v>2600</v>
      </c>
      <c r="M80" s="602" t="s">
        <v>2601</v>
      </c>
      <c r="N80" s="602" t="s">
        <v>2602</v>
      </c>
      <c r="Z80" s="2719"/>
      <c r="AA80" s="2795"/>
      <c r="AG80" s="1372"/>
      <c r="AK80" s="2795"/>
    </row>
    <row r="81" spans="1:37" ht="38.25">
      <c r="A81" s="2877" t="s">
        <v>2972</v>
      </c>
      <c r="B81" s="2881" t="str">
        <f>估价对象房地状况!G15</f>
        <v>估价对象位于XX开发区，园区建设成熟度XX，产业集聚程度XX</v>
      </c>
      <c r="C81" s="2769"/>
      <c r="D81" s="1286">
        <f t="shared" ref="D81:D88" si="25">SUMIF($J$80:$N$80,C81,J81:N81)</f>
        <v>0</v>
      </c>
      <c r="E81" s="820">
        <f>ROUND(SUM(D81:D88),4)</f>
        <v>0</v>
      </c>
      <c r="F81" s="2500" t="str">
        <f>IF(E2="工业",SUMIF(L1:L12,G2,N1:N12),"——")</f>
        <v>——</v>
      </c>
      <c r="G81" s="1284"/>
      <c r="H81" s="1288" t="str">
        <f t="shared" ref="H81:H88" si="26">IFERROR(ROUNDDOWN($F$81*I81/2,4),"——")</f>
        <v>——</v>
      </c>
      <c r="I81" s="819">
        <v>0.26</v>
      </c>
      <c r="J81" s="1285">
        <f t="shared" ref="J81:J88" si="27">K81+$G81</f>
        <v>0</v>
      </c>
      <c r="K81" s="1285">
        <f t="shared" ref="K81:K88" si="28">$L81+$G81</f>
        <v>0</v>
      </c>
      <c r="L81" s="1285">
        <v>0</v>
      </c>
      <c r="M81" s="1285">
        <f t="shared" ref="M81:N88" si="29">L81-$G81</f>
        <v>0</v>
      </c>
      <c r="N81" s="1285">
        <f t="shared" si="29"/>
        <v>0</v>
      </c>
      <c r="Z81" s="2719"/>
      <c r="AA81" s="2795"/>
      <c r="AG81" s="1372"/>
      <c r="AK81" s="2795"/>
    </row>
    <row r="82" spans="1:37" ht="51">
      <c r="A82" s="2877" t="s">
        <v>2954</v>
      </c>
      <c r="B82" s="2881" t="str">
        <f>估价对象房地状况!G16</f>
        <v>估价对象周边道路状况、公共交通通达情况、停车便捷程度，综合评价交通便捷度较好</v>
      </c>
      <c r="C82" s="2769"/>
      <c r="D82" s="1286">
        <f t="shared" si="25"/>
        <v>0</v>
      </c>
      <c r="E82" s="825"/>
      <c r="F82" s="2500"/>
      <c r="G82" s="1284"/>
      <c r="H82" s="1288" t="str">
        <f t="shared" si="26"/>
        <v>——</v>
      </c>
      <c r="I82" s="819">
        <v>0.33</v>
      </c>
      <c r="J82" s="1285">
        <f t="shared" si="27"/>
        <v>0</v>
      </c>
      <c r="K82" s="1285">
        <f t="shared" si="28"/>
        <v>0</v>
      </c>
      <c r="L82" s="1285">
        <v>0</v>
      </c>
      <c r="M82" s="1285">
        <f t="shared" si="29"/>
        <v>0</v>
      </c>
      <c r="N82" s="1285">
        <f t="shared" si="29"/>
        <v>0</v>
      </c>
      <c r="Z82" s="2719"/>
      <c r="AA82" s="2795"/>
      <c r="AG82" s="1372"/>
      <c r="AK82" s="2795"/>
    </row>
    <row r="83" spans="1:37" ht="24">
      <c r="A83" s="2877" t="s">
        <v>2955</v>
      </c>
      <c r="B83" s="2881">
        <f>估价对象房地状况!G17</f>
        <v>0</v>
      </c>
      <c r="C83" s="2769"/>
      <c r="D83" s="1286">
        <f t="shared" si="25"/>
        <v>0</v>
      </c>
      <c r="E83" s="825"/>
      <c r="F83" s="2500"/>
      <c r="G83" s="1284"/>
      <c r="H83" s="1288" t="str">
        <f t="shared" si="26"/>
        <v>——</v>
      </c>
      <c r="I83" s="819">
        <v>0.05</v>
      </c>
      <c r="J83" s="1285">
        <f t="shared" si="27"/>
        <v>0</v>
      </c>
      <c r="K83" s="1285">
        <f t="shared" si="28"/>
        <v>0</v>
      </c>
      <c r="L83" s="1285">
        <v>0</v>
      </c>
      <c r="M83" s="1285">
        <f t="shared" si="29"/>
        <v>0</v>
      </c>
      <c r="N83" s="1285">
        <f t="shared" si="29"/>
        <v>0</v>
      </c>
      <c r="Z83" s="2719"/>
      <c r="AA83" s="2795"/>
      <c r="AG83" s="1372"/>
      <c r="AK83" s="2795"/>
    </row>
    <row r="84" spans="1:37" ht="14.25">
      <c r="A84" s="2877" t="s">
        <v>2969</v>
      </c>
      <c r="B84" s="2881">
        <f>估价对象房地状况!G22</f>
        <v>0</v>
      </c>
      <c r="C84" s="2769"/>
      <c r="D84" s="1286">
        <f t="shared" si="25"/>
        <v>0</v>
      </c>
      <c r="E84" s="825"/>
      <c r="F84" s="2500"/>
      <c r="G84" s="1284"/>
      <c r="H84" s="1288" t="str">
        <f t="shared" si="26"/>
        <v>——</v>
      </c>
      <c r="I84" s="819">
        <v>0.04</v>
      </c>
      <c r="J84" s="1285">
        <f t="shared" si="27"/>
        <v>0</v>
      </c>
      <c r="K84" s="1285">
        <f t="shared" si="28"/>
        <v>0</v>
      </c>
      <c r="L84" s="1285">
        <v>0</v>
      </c>
      <c r="M84" s="1285">
        <f t="shared" si="29"/>
        <v>0</v>
      </c>
      <c r="N84" s="1285">
        <f t="shared" si="29"/>
        <v>0</v>
      </c>
      <c r="Z84" s="2719"/>
      <c r="AA84" s="2795"/>
      <c r="AG84" s="1372"/>
      <c r="AK84" s="2795"/>
    </row>
    <row r="85" spans="1:37" ht="25.5">
      <c r="A85" s="2877" t="s">
        <v>2961</v>
      </c>
      <c r="B85" s="1726" t="str">
        <f>估价对象房地状况!G19</f>
        <v>估价对象所在区域公共配套设施齐备情况</v>
      </c>
      <c r="C85" s="2769"/>
      <c r="D85" s="1286">
        <f t="shared" si="25"/>
        <v>0</v>
      </c>
      <c r="E85" s="825"/>
      <c r="F85" s="2500"/>
      <c r="G85" s="1284"/>
      <c r="H85" s="1288" t="str">
        <f t="shared" si="26"/>
        <v>——</v>
      </c>
      <c r="I85" s="819">
        <v>0.06</v>
      </c>
      <c r="J85" s="1285">
        <f t="shared" si="27"/>
        <v>0</v>
      </c>
      <c r="K85" s="1285">
        <f t="shared" si="28"/>
        <v>0</v>
      </c>
      <c r="L85" s="1285">
        <v>0</v>
      </c>
      <c r="M85" s="1285">
        <f t="shared" si="29"/>
        <v>0</v>
      </c>
      <c r="N85" s="1285">
        <f t="shared" si="29"/>
        <v>0</v>
      </c>
      <c r="Z85" s="2719"/>
      <c r="AA85" s="2795"/>
      <c r="AG85" s="1372"/>
      <c r="AK85" s="2795"/>
    </row>
    <row r="86" spans="1:37" ht="25.5">
      <c r="A86" s="2877" t="s">
        <v>2962</v>
      </c>
      <c r="B86" s="1726" t="str">
        <f>估价对象房地状况!G20</f>
        <v>估价对象所在区域基础设施水平</v>
      </c>
      <c r="C86" s="2769"/>
      <c r="D86" s="1286">
        <f t="shared" si="25"/>
        <v>0</v>
      </c>
      <c r="E86" s="825"/>
      <c r="F86" s="2500"/>
      <c r="G86" s="1284"/>
      <c r="H86" s="1288" t="str">
        <f t="shared" si="26"/>
        <v>——</v>
      </c>
      <c r="I86" s="819">
        <v>0.15</v>
      </c>
      <c r="J86" s="1285">
        <f t="shared" si="27"/>
        <v>0</v>
      </c>
      <c r="K86" s="1285">
        <f t="shared" si="28"/>
        <v>0</v>
      </c>
      <c r="L86" s="1285">
        <v>0</v>
      </c>
      <c r="M86" s="1285">
        <f t="shared" si="29"/>
        <v>0</v>
      </c>
      <c r="N86" s="1285">
        <f t="shared" si="29"/>
        <v>0</v>
      </c>
      <c r="Z86" s="2719"/>
      <c r="AA86" s="2795"/>
      <c r="AG86" s="1372"/>
      <c r="AK86" s="2795"/>
    </row>
    <row r="87" spans="1:37" ht="24">
      <c r="A87" s="2877" t="s">
        <v>2959</v>
      </c>
      <c r="B87" s="2883" t="s">
        <v>2973</v>
      </c>
      <c r="C87" s="2769"/>
      <c r="D87" s="1286">
        <f t="shared" si="25"/>
        <v>0</v>
      </c>
      <c r="E87" s="825"/>
      <c r="F87" s="2500"/>
      <c r="G87" s="1284"/>
      <c r="H87" s="1288" t="str">
        <f t="shared" si="26"/>
        <v>——</v>
      </c>
      <c r="I87" s="819">
        <v>0.05</v>
      </c>
      <c r="J87" s="1285">
        <f t="shared" si="27"/>
        <v>0</v>
      </c>
      <c r="K87" s="1285">
        <f t="shared" si="28"/>
        <v>0</v>
      </c>
      <c r="L87" s="1285">
        <v>0</v>
      </c>
      <c r="M87" s="1285">
        <f t="shared" si="29"/>
        <v>0</v>
      </c>
      <c r="N87" s="1285">
        <f t="shared" si="29"/>
        <v>0</v>
      </c>
      <c r="Z87" s="2719"/>
      <c r="AA87" s="2795"/>
      <c r="AG87" s="1372"/>
      <c r="AK87" s="2795"/>
    </row>
    <row r="88" spans="1:37" ht="39" thickBot="1">
      <c r="A88" s="2885" t="s">
        <v>2974</v>
      </c>
      <c r="B88" s="2890" t="str">
        <f>估价对象房地状况!G18</f>
        <v>该园区内是否有污染型企业，绿化情况，卫生条件，整体环境状况判断</v>
      </c>
      <c r="C88" s="2769"/>
      <c r="D88" s="1286">
        <f t="shared" si="25"/>
        <v>0</v>
      </c>
      <c r="E88" s="826"/>
      <c r="F88" s="2500"/>
      <c r="G88" s="1284"/>
      <c r="H88" s="1288" t="str">
        <f t="shared" si="26"/>
        <v>——</v>
      </c>
      <c r="I88" s="823">
        <v>0.06</v>
      </c>
      <c r="J88" s="1285">
        <f t="shared" si="27"/>
        <v>0</v>
      </c>
      <c r="K88" s="1285">
        <f t="shared" si="28"/>
        <v>0</v>
      </c>
      <c r="L88" s="1285">
        <v>0</v>
      </c>
      <c r="M88" s="1285">
        <f t="shared" si="29"/>
        <v>0</v>
      </c>
      <c r="N88" s="1285">
        <f t="shared" si="29"/>
        <v>0</v>
      </c>
      <c r="Z88" s="2719"/>
      <c r="AA88" s="2795"/>
      <c r="AG88" s="1372"/>
      <c r="AK88" s="2795"/>
    </row>
    <row r="90" spans="1:37">
      <c r="A90" s="3247" t="s">
        <v>2975</v>
      </c>
      <c r="B90" s="3247"/>
      <c r="C90" s="3247"/>
      <c r="D90" s="3247"/>
      <c r="E90" s="3247"/>
      <c r="F90" s="3247"/>
      <c r="G90" s="3247"/>
      <c r="H90" s="3247"/>
      <c r="I90" s="3247"/>
      <c r="J90" s="3247"/>
      <c r="K90" s="2891"/>
      <c r="L90" s="2891"/>
      <c r="M90" s="2891"/>
      <c r="N90" s="2891"/>
    </row>
    <row r="91" spans="1:37">
      <c r="A91" s="3249" t="s">
        <v>2976</v>
      </c>
      <c r="B91" s="3249" t="s">
        <v>2977</v>
      </c>
      <c r="C91" s="2845" t="s">
        <v>2978</v>
      </c>
      <c r="D91" s="2846"/>
      <c r="E91" s="2846"/>
      <c r="F91" s="2846"/>
      <c r="G91" s="2846"/>
      <c r="H91" s="2846"/>
      <c r="I91" s="2846"/>
      <c r="J91" s="2892"/>
      <c r="K91" s="2893"/>
      <c r="L91" s="2893"/>
      <c r="M91" s="2893"/>
      <c r="N91" s="2893"/>
    </row>
    <row r="92" spans="1:37">
      <c r="A92" s="3249"/>
      <c r="B92" s="3249"/>
      <c r="C92" s="944" t="s">
        <v>2842</v>
      </c>
      <c r="D92" s="944" t="s">
        <v>2843</v>
      </c>
      <c r="E92" s="944" t="s">
        <v>2844</v>
      </c>
      <c r="F92" s="944" t="s">
        <v>2845</v>
      </c>
      <c r="G92" s="944" t="s">
        <v>2846</v>
      </c>
      <c r="H92" s="944" t="s">
        <v>2847</v>
      </c>
      <c r="I92" s="944" t="s">
        <v>2848</v>
      </c>
      <c r="J92" s="944" t="s">
        <v>2849</v>
      </c>
      <c r="K92" s="944" t="s">
        <v>2850</v>
      </c>
      <c r="L92" s="944" t="s">
        <v>2851</v>
      </c>
      <c r="M92" s="944" t="s">
        <v>2852</v>
      </c>
      <c r="N92" s="944" t="s">
        <v>2853</v>
      </c>
    </row>
    <row r="93" spans="1:37">
      <c r="A93" s="3250" t="s">
        <v>2979</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251"/>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251"/>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251"/>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251"/>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251"/>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251"/>
      <c r="B99" s="2894" t="s">
        <v>2858</v>
      </c>
      <c r="C99" s="2896">
        <f>$I$3</f>
        <v>0</v>
      </c>
      <c r="D99" s="2896">
        <f t="shared" ref="D99:M99" si="30">$I$3</f>
        <v>0</v>
      </c>
      <c r="E99" s="2896">
        <f t="shared" si="30"/>
        <v>0</v>
      </c>
      <c r="F99" s="2896">
        <f t="shared" si="30"/>
        <v>0</v>
      </c>
      <c r="G99" s="2896">
        <f t="shared" si="30"/>
        <v>0</v>
      </c>
      <c r="H99" s="2896">
        <f t="shared" si="30"/>
        <v>0</v>
      </c>
      <c r="I99" s="2896">
        <f t="shared" si="30"/>
        <v>0</v>
      </c>
      <c r="J99" s="2896">
        <f t="shared" si="30"/>
        <v>0</v>
      </c>
      <c r="K99" s="2896">
        <f t="shared" si="30"/>
        <v>0</v>
      </c>
      <c r="L99" s="2896">
        <f t="shared" si="30"/>
        <v>0</v>
      </c>
      <c r="M99" s="2896">
        <f t="shared" si="30"/>
        <v>0</v>
      </c>
      <c r="N99" s="2896">
        <f>$I$3</f>
        <v>0</v>
      </c>
    </row>
    <row r="100" spans="1:14">
      <c r="A100" s="3252"/>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250" t="s">
        <v>2980</v>
      </c>
      <c r="B101" s="2898" t="s">
        <v>2981</v>
      </c>
      <c r="C101" s="2899">
        <f>$G$3</f>
        <v>2.39</v>
      </c>
      <c r="D101" s="2899">
        <f t="shared" ref="D101:N101" si="31">$G$3</f>
        <v>2.39</v>
      </c>
      <c r="E101" s="2899">
        <f t="shared" si="31"/>
        <v>2.39</v>
      </c>
      <c r="F101" s="2899">
        <f t="shared" si="31"/>
        <v>2.39</v>
      </c>
      <c r="G101" s="2899">
        <f t="shared" si="31"/>
        <v>2.39</v>
      </c>
      <c r="H101" s="2899">
        <f t="shared" si="31"/>
        <v>2.39</v>
      </c>
      <c r="I101" s="2899">
        <f t="shared" si="31"/>
        <v>2.39</v>
      </c>
      <c r="J101" s="2899">
        <f t="shared" si="31"/>
        <v>2.39</v>
      </c>
      <c r="K101" s="2899">
        <f t="shared" si="31"/>
        <v>2.39</v>
      </c>
      <c r="L101" s="2899">
        <f t="shared" si="31"/>
        <v>2.39</v>
      </c>
      <c r="M101" s="2899">
        <f t="shared" si="31"/>
        <v>2.39</v>
      </c>
      <c r="N101" s="2899">
        <f t="shared" si="31"/>
        <v>2.39</v>
      </c>
    </row>
    <row r="102" spans="1:14">
      <c r="A102" s="3251"/>
      <c r="B102" s="2894">
        <v>1</v>
      </c>
      <c r="C102" s="2895">
        <f>1.9362/C101</f>
        <v>0.81012552301255225</v>
      </c>
      <c r="D102" s="2895">
        <f>1.9362/D101</f>
        <v>0.81012552301255225</v>
      </c>
      <c r="E102" s="2895">
        <f>1.8629/E101</f>
        <v>0.77945606694560665</v>
      </c>
      <c r="F102" s="2895">
        <f>1.8629/F101</f>
        <v>0.77945606694560665</v>
      </c>
      <c r="G102" s="2895">
        <f>1.8629/G101</f>
        <v>0.77945606694560665</v>
      </c>
      <c r="H102" s="2895">
        <f>1.8629/H101</f>
        <v>0.77945606694560665</v>
      </c>
      <c r="I102" s="2895">
        <f>1.8629/I101</f>
        <v>0.77945606694560665</v>
      </c>
      <c r="J102" s="2895">
        <f>1.942/J101</f>
        <v>0.81255230125523004</v>
      </c>
      <c r="K102" s="2895">
        <f>1.942/K101</f>
        <v>0.81255230125523004</v>
      </c>
      <c r="L102" s="2895">
        <f>1.942/L101</f>
        <v>0.81255230125523004</v>
      </c>
      <c r="M102" s="2895">
        <f>1.942/M101</f>
        <v>0.81255230125523004</v>
      </c>
      <c r="N102" s="2895">
        <f>1.942/N101</f>
        <v>0.81255230125523004</v>
      </c>
    </row>
    <row r="103" spans="1:14">
      <c r="A103" s="3251"/>
      <c r="B103" s="2894">
        <v>2</v>
      </c>
      <c r="C103" s="2895">
        <f>1.4198/C101</f>
        <v>0.59405857740585766</v>
      </c>
      <c r="D103" s="2895">
        <f>1.4198/D101</f>
        <v>0.59405857740585766</v>
      </c>
      <c r="E103" s="2895">
        <f>1.3372/E101</f>
        <v>0.55949790794979071</v>
      </c>
      <c r="F103" s="2895">
        <f>1.3372/F101</f>
        <v>0.55949790794979071</v>
      </c>
      <c r="G103" s="2895">
        <f>1.3372/G101</f>
        <v>0.55949790794979071</v>
      </c>
      <c r="H103" s="2895">
        <f>1.3372/H101</f>
        <v>0.55949790794979071</v>
      </c>
      <c r="I103" s="2895">
        <f>1.3372/I101</f>
        <v>0.55949790794979071</v>
      </c>
      <c r="J103" s="2895">
        <f>1.2799/J101</f>
        <v>0.53552301255230128</v>
      </c>
      <c r="K103" s="2895">
        <f>1.2799/K101</f>
        <v>0.53552301255230128</v>
      </c>
      <c r="L103" s="2895">
        <f>1.2799/L101</f>
        <v>0.53552301255230128</v>
      </c>
      <c r="M103" s="2895">
        <f>1.2799/M101</f>
        <v>0.53552301255230128</v>
      </c>
      <c r="N103" s="2895">
        <f>1.2799/N101</f>
        <v>0.53552301255230128</v>
      </c>
    </row>
    <row r="104" spans="1:14">
      <c r="A104" s="3251"/>
      <c r="B104" s="2894">
        <v>3</v>
      </c>
      <c r="C104" s="2895">
        <f>1.1594/C101</f>
        <v>0.48510460251046023</v>
      </c>
      <c r="D104" s="2895">
        <f>1.1594/D101</f>
        <v>0.48510460251046023</v>
      </c>
      <c r="E104" s="2895">
        <f>1.0788/E101</f>
        <v>0.4513807531380753</v>
      </c>
      <c r="F104" s="2895">
        <f>1.0788/F101</f>
        <v>0.4513807531380753</v>
      </c>
      <c r="G104" s="2895">
        <f>1.0788/G101</f>
        <v>0.4513807531380753</v>
      </c>
      <c r="H104" s="2895">
        <f>1.0788/H101</f>
        <v>0.4513807531380753</v>
      </c>
      <c r="I104" s="2895">
        <f>1.0788/I101</f>
        <v>0.4513807531380753</v>
      </c>
      <c r="J104" s="2895">
        <f>1.0072/J101</f>
        <v>0.42142259414225941</v>
      </c>
      <c r="K104" s="2895">
        <f>1.0072/K101</f>
        <v>0.42142259414225941</v>
      </c>
      <c r="L104" s="2895">
        <f>1.0072/L101</f>
        <v>0.42142259414225941</v>
      </c>
      <c r="M104" s="2895">
        <f>1.0072/M101</f>
        <v>0.42142259414225941</v>
      </c>
      <c r="N104" s="2895">
        <f>1.0072/N101</f>
        <v>0.42142259414225941</v>
      </c>
    </row>
    <row r="105" spans="1:14">
      <c r="A105" s="3251"/>
      <c r="B105" s="2894">
        <v>4</v>
      </c>
      <c r="C105" s="2895">
        <f>0.9622/C101</f>
        <v>0.4025941422594142</v>
      </c>
      <c r="D105" s="2895">
        <f>0.9622/D101</f>
        <v>0.4025941422594142</v>
      </c>
      <c r="E105" s="2895">
        <f>0.8656/E101</f>
        <v>0.36217573221757321</v>
      </c>
      <c r="F105" s="2895">
        <f>0.8656/F101</f>
        <v>0.36217573221757321</v>
      </c>
      <c r="G105" s="2895">
        <f>0.8656/G101</f>
        <v>0.36217573221757321</v>
      </c>
      <c r="H105" s="2895">
        <f>0.8656/H101</f>
        <v>0.36217573221757321</v>
      </c>
      <c r="I105" s="2895">
        <f>0.8656/I101</f>
        <v>0.36217573221757321</v>
      </c>
      <c r="J105" s="2895">
        <f>0.7525/J101</f>
        <v>0.31485355648535562</v>
      </c>
      <c r="K105" s="2895">
        <f>0.7525/K101</f>
        <v>0.31485355648535562</v>
      </c>
      <c r="L105" s="2895">
        <f>0.7525/L101</f>
        <v>0.31485355648535562</v>
      </c>
      <c r="M105" s="2895">
        <f>0.7525/M101</f>
        <v>0.31485355648535562</v>
      </c>
      <c r="N105" s="2895">
        <f>0.7525/N101</f>
        <v>0.31485355648535562</v>
      </c>
    </row>
    <row r="106" spans="1:14">
      <c r="A106" s="3251"/>
      <c r="B106" s="2894">
        <v>5</v>
      </c>
      <c r="C106" s="2895">
        <f>0.8417/C101</f>
        <v>0.3521757322175732</v>
      </c>
      <c r="D106" s="2895">
        <f>0.8417/D101</f>
        <v>0.3521757322175732</v>
      </c>
      <c r="E106" s="2895">
        <f>0.7371/E101</f>
        <v>0.30841004184100418</v>
      </c>
      <c r="F106" s="2895">
        <f>0.7371/F101</f>
        <v>0.30841004184100418</v>
      </c>
      <c r="G106" s="2895">
        <f>0.7371/G101</f>
        <v>0.30841004184100418</v>
      </c>
      <c r="H106" s="2895">
        <f>0.7371/H101</f>
        <v>0.30841004184100418</v>
      </c>
      <c r="I106" s="2895">
        <f>0.7371/I101</f>
        <v>0.30841004184100418</v>
      </c>
      <c r="J106" s="2895">
        <f>0.5659/J101</f>
        <v>0.23677824267782424</v>
      </c>
      <c r="K106" s="2895">
        <f>0.5659/K101</f>
        <v>0.23677824267782424</v>
      </c>
      <c r="L106" s="2895">
        <f>0.5659/L101</f>
        <v>0.23677824267782424</v>
      </c>
      <c r="M106" s="2895">
        <f>0.5659/M101</f>
        <v>0.23677824267782424</v>
      </c>
      <c r="N106" s="2895">
        <f>0.5659/N101</f>
        <v>0.23677824267782424</v>
      </c>
    </row>
    <row r="107" spans="1:14">
      <c r="A107" s="3251"/>
      <c r="B107" s="2894">
        <v>6</v>
      </c>
      <c r="C107" s="2895">
        <f>0.7608/C101</f>
        <v>0.31832635983263596</v>
      </c>
      <c r="D107" s="2895">
        <f>0.7608/D101</f>
        <v>0.31832635983263596</v>
      </c>
      <c r="E107" s="2895">
        <f>0.6482/E101</f>
        <v>0.27121338912133891</v>
      </c>
      <c r="F107" s="2895">
        <f>0.6482/F101</f>
        <v>0.27121338912133891</v>
      </c>
      <c r="G107" s="2895">
        <f>0.6482/G101</f>
        <v>0.27121338912133891</v>
      </c>
      <c r="H107" s="2895">
        <f>0.6482/H101</f>
        <v>0.27121338912133891</v>
      </c>
      <c r="I107" s="2895">
        <f>0.6482/I101</f>
        <v>0.27121338912133891</v>
      </c>
      <c r="J107" s="2895">
        <f>0.4525/J101</f>
        <v>0.1893305439330544</v>
      </c>
      <c r="K107" s="2895">
        <f>0.4525/K101</f>
        <v>0.1893305439330544</v>
      </c>
      <c r="L107" s="2895">
        <f>0.4525/L101</f>
        <v>0.1893305439330544</v>
      </c>
      <c r="M107" s="2895">
        <f>0.4525/M101</f>
        <v>0.1893305439330544</v>
      </c>
      <c r="N107" s="2895">
        <f>0.4525/N101</f>
        <v>0.1893305439330544</v>
      </c>
    </row>
    <row r="108" spans="1:14">
      <c r="A108" s="3251"/>
      <c r="B108" s="3105" t="s">
        <v>2982</v>
      </c>
      <c r="C108" s="2896">
        <f>C99</f>
        <v>0</v>
      </c>
      <c r="D108" s="2896">
        <f t="shared" ref="D108:N108" si="32">D99</f>
        <v>0</v>
      </c>
      <c r="E108" s="2896">
        <f t="shared" si="32"/>
        <v>0</v>
      </c>
      <c r="F108" s="2896">
        <f t="shared" si="32"/>
        <v>0</v>
      </c>
      <c r="G108" s="2896">
        <f t="shared" si="32"/>
        <v>0</v>
      </c>
      <c r="H108" s="2896">
        <f t="shared" si="32"/>
        <v>0</v>
      </c>
      <c r="I108" s="2896">
        <f t="shared" si="32"/>
        <v>0</v>
      </c>
      <c r="J108" s="2896">
        <f t="shared" si="32"/>
        <v>0</v>
      </c>
      <c r="K108" s="2896">
        <f t="shared" si="32"/>
        <v>0</v>
      </c>
      <c r="L108" s="2896">
        <f t="shared" si="32"/>
        <v>0</v>
      </c>
      <c r="M108" s="2896">
        <f t="shared" si="32"/>
        <v>0</v>
      </c>
      <c r="N108" s="2896">
        <f t="shared" si="32"/>
        <v>0</v>
      </c>
    </row>
    <row r="109" spans="1:14">
      <c r="A109" s="3252"/>
      <c r="B109" s="3106"/>
      <c r="C109" s="2897">
        <f>(-0.163*(C108^2)-0.59*C108+7617)*(10^(-4))/C101</f>
        <v>0.31870292887029289</v>
      </c>
      <c r="D109" s="2897">
        <f>(-0.163*(D108^2)-0.59*D108+7617)*(10^(-4))/D101</f>
        <v>0.31870292887029289</v>
      </c>
      <c r="E109" s="2897">
        <f>(-0.161*(E108^2)-7.509*E108+6533)*(10^(-4))/E101</f>
        <v>0.27334728033472799</v>
      </c>
      <c r="F109" s="2897">
        <f>(-0.161*(F108^2)-7.509*F108+6533)*(10^(-4))/F101</f>
        <v>0.27334728033472799</v>
      </c>
      <c r="G109" s="2897">
        <f>(-0.161*(G108^2)-7.509*G108+6533)*(10^(-4))/G101</f>
        <v>0.27334728033472799</v>
      </c>
      <c r="H109" s="2897">
        <f>(-0.161*(H108^2)-7.509*H108+6533)*(10^(-4))/H101</f>
        <v>0.27334728033472799</v>
      </c>
      <c r="I109" s="2897">
        <f>(-0.161*(I108^2)-7.509*I108+6533)*(10^(-4))/I101</f>
        <v>0.27334728033472799</v>
      </c>
      <c r="J109" s="2897">
        <f>(-0.214*(J108^2)-21.991*J108+4665)*(10^(-4))/J101</f>
        <v>0.19518828451882844</v>
      </c>
      <c r="K109" s="2897">
        <f>(-0.214*(K108^2)-21.991*K108+4665)*(10^(-4))/K101</f>
        <v>0.19518828451882844</v>
      </c>
      <c r="L109" s="2897">
        <f>(-0.214*(L108^2)-21.991*L108+4665)*(10^(-4))/L101</f>
        <v>0.19518828451882844</v>
      </c>
      <c r="M109" s="2897">
        <f>(-0.214*(M108^2)-21.991*M108+4665)*(10^(-4))/M101</f>
        <v>0.19518828451882844</v>
      </c>
      <c r="N109" s="2897">
        <f>(-0.214*(N108^2)-21.991*N108+4665)*(10^(-4))/N101</f>
        <v>0.19518828451882844</v>
      </c>
    </row>
    <row r="110" spans="1:14">
      <c r="A110" s="3248" t="s">
        <v>2983</v>
      </c>
      <c r="B110" s="3248"/>
      <c r="C110" s="3248"/>
      <c r="D110" s="3248"/>
      <c r="E110" s="3248"/>
      <c r="F110" s="3248"/>
      <c r="G110" s="3248"/>
      <c r="H110" s="3248"/>
      <c r="I110" s="3248"/>
      <c r="J110" s="3248"/>
      <c r="K110" s="2900"/>
      <c r="L110" s="2900"/>
      <c r="M110" s="2900"/>
      <c r="N110" s="2900"/>
    </row>
    <row r="112" spans="1:14" ht="13.5" thickBot="1"/>
    <row r="113" spans="1:13" ht="25.5" thickBot="1">
      <c r="A113" s="902" t="s">
        <v>2984</v>
      </c>
      <c r="B113" s="1287">
        <f>G3</f>
        <v>2.39</v>
      </c>
      <c r="C113" s="903" t="s">
        <v>2985</v>
      </c>
      <c r="D113" s="904">
        <f>SUMPRODUCT((A115:A118=F113)*(B114:M114=H113)*B115:M118)</f>
        <v>0</v>
      </c>
      <c r="E113" s="2723" t="s">
        <v>2815</v>
      </c>
      <c r="F113" s="2902">
        <f>E2</f>
        <v>0</v>
      </c>
      <c r="G113" s="2723" t="s">
        <v>2816</v>
      </c>
      <c r="H113" s="2902">
        <f>G2</f>
        <v>0</v>
      </c>
      <c r="I113" s="2723"/>
      <c r="J113" s="2903"/>
      <c r="K113" s="2903"/>
      <c r="L113" s="2903"/>
      <c r="M113" s="2903"/>
    </row>
    <row r="114" spans="1:13">
      <c r="A114" s="907"/>
      <c r="B114" s="2904" t="s">
        <v>2986</v>
      </c>
      <c r="C114" s="2904" t="s">
        <v>2987</v>
      </c>
      <c r="D114" s="2904" t="s">
        <v>2988</v>
      </c>
      <c r="E114" s="2905" t="s">
        <v>2989</v>
      </c>
      <c r="F114" s="2905" t="s">
        <v>2990</v>
      </c>
      <c r="G114" s="2905" t="s">
        <v>2991</v>
      </c>
      <c r="H114" s="2906" t="s">
        <v>2992</v>
      </c>
      <c r="I114" s="2906" t="s">
        <v>2993</v>
      </c>
      <c r="J114" s="2907" t="s">
        <v>2994</v>
      </c>
      <c r="K114" s="2907" t="s">
        <v>2995</v>
      </c>
      <c r="L114" s="2907" t="s">
        <v>2996</v>
      </c>
      <c r="M114" s="2908" t="s">
        <v>2997</v>
      </c>
    </row>
    <row r="115" spans="1:13">
      <c r="A115" s="908" t="s">
        <v>2880</v>
      </c>
      <c r="B115" s="909">
        <f>ROUND(0.9335-0.0094*B113,4)</f>
        <v>0.91100000000000003</v>
      </c>
      <c r="C115" s="909">
        <f>B115</f>
        <v>0.91100000000000003</v>
      </c>
      <c r="D115" s="909">
        <f>ROUND(0.8331-0.0109*B113,4)</f>
        <v>0.80700000000000005</v>
      </c>
      <c r="E115" s="909">
        <f>D115</f>
        <v>0.80700000000000005</v>
      </c>
      <c r="F115" s="909">
        <f>E115</f>
        <v>0.80700000000000005</v>
      </c>
      <c r="G115" s="909">
        <f>F115</f>
        <v>0.80700000000000005</v>
      </c>
      <c r="H115" s="909">
        <f>G115</f>
        <v>0.80700000000000005</v>
      </c>
      <c r="I115" s="909">
        <f>ROUND(0.689-0.0155*B113,4)</f>
        <v>0.65200000000000002</v>
      </c>
      <c r="J115" s="909">
        <f t="shared" ref="J115:M118" si="33">I115</f>
        <v>0.65200000000000002</v>
      </c>
      <c r="K115" s="909">
        <f t="shared" si="33"/>
        <v>0.65200000000000002</v>
      </c>
      <c r="L115" s="909">
        <f t="shared" si="33"/>
        <v>0.65200000000000002</v>
      </c>
      <c r="M115" s="910">
        <f t="shared" si="33"/>
        <v>0.65200000000000002</v>
      </c>
    </row>
    <row r="116" spans="1:13">
      <c r="A116" s="908" t="s">
        <v>2881</v>
      </c>
      <c r="B116" s="909">
        <f>ROUND(0.949-0.012*B113,4)</f>
        <v>0.92030000000000001</v>
      </c>
      <c r="C116" s="909">
        <f>B116</f>
        <v>0.92030000000000001</v>
      </c>
      <c r="D116" s="909">
        <f>ROUND(0.8567-0.013*B113,4)</f>
        <v>0.8256</v>
      </c>
      <c r="E116" s="909">
        <f t="shared" ref="E116:H117" si="34">D116</f>
        <v>0.8256</v>
      </c>
      <c r="F116" s="909">
        <f t="shared" si="34"/>
        <v>0.8256</v>
      </c>
      <c r="G116" s="909">
        <f t="shared" si="34"/>
        <v>0.8256</v>
      </c>
      <c r="H116" s="909">
        <f t="shared" si="34"/>
        <v>0.8256</v>
      </c>
      <c r="I116" s="909">
        <f>ROUND(0.7694-0.014*B113,4)</f>
        <v>0.7359</v>
      </c>
      <c r="J116" s="909">
        <f t="shared" si="33"/>
        <v>0.7359</v>
      </c>
      <c r="K116" s="909">
        <f t="shared" si="33"/>
        <v>0.7359</v>
      </c>
      <c r="L116" s="909">
        <f t="shared" si="33"/>
        <v>0.7359</v>
      </c>
      <c r="M116" s="910">
        <f t="shared" si="33"/>
        <v>0.7359</v>
      </c>
    </row>
    <row r="117" spans="1:13">
      <c r="A117" s="908" t="s">
        <v>2882</v>
      </c>
      <c r="B117" s="909">
        <f>ROUND(0.8808-0.006*B113,4)</f>
        <v>0.86650000000000005</v>
      </c>
      <c r="C117" s="909">
        <f>B117</f>
        <v>0.86650000000000005</v>
      </c>
      <c r="D117" s="909">
        <f>ROUND(0.8748-0.008*B113,4)</f>
        <v>0.85570000000000002</v>
      </c>
      <c r="E117" s="909">
        <f t="shared" si="34"/>
        <v>0.85570000000000002</v>
      </c>
      <c r="F117" s="909">
        <f t="shared" si="34"/>
        <v>0.85570000000000002</v>
      </c>
      <c r="G117" s="909">
        <f t="shared" si="34"/>
        <v>0.85570000000000002</v>
      </c>
      <c r="H117" s="909">
        <f t="shared" si="34"/>
        <v>0.85570000000000002</v>
      </c>
      <c r="I117" s="909">
        <f>ROUND(0.7412-0.0095*B113,4)</f>
        <v>0.71850000000000003</v>
      </c>
      <c r="J117" s="909">
        <f t="shared" si="33"/>
        <v>0.71850000000000003</v>
      </c>
      <c r="K117" s="909">
        <f t="shared" si="33"/>
        <v>0.71850000000000003</v>
      </c>
      <c r="L117" s="909">
        <f t="shared" si="33"/>
        <v>0.71850000000000003</v>
      </c>
      <c r="M117" s="910">
        <f t="shared" si="33"/>
        <v>0.71850000000000003</v>
      </c>
    </row>
    <row r="118" spans="1:13" ht="13.5" thickBot="1">
      <c r="A118" s="713" t="s">
        <v>2883</v>
      </c>
      <c r="B118" s="911">
        <f>ROUND(0.7275-0.01*B113,4)</f>
        <v>0.7036</v>
      </c>
      <c r="C118" s="911">
        <f>B118</f>
        <v>0.7036</v>
      </c>
      <c r="D118" s="911">
        <f>ROUND(0.7043-0.012*B113,4)</f>
        <v>0.67559999999999998</v>
      </c>
      <c r="E118" s="911">
        <f>D118</f>
        <v>0.67559999999999998</v>
      </c>
      <c r="F118" s="911">
        <f>E118</f>
        <v>0.67559999999999998</v>
      </c>
      <c r="G118" s="911">
        <f>ROUND(0.6299-0.0122*B113,4)</f>
        <v>0.60070000000000001</v>
      </c>
      <c r="H118" s="911">
        <f>G118</f>
        <v>0.60070000000000001</v>
      </c>
      <c r="I118" s="911">
        <f>ROUND(0.5667-0.0136*B113,4)</f>
        <v>0.53420000000000001</v>
      </c>
      <c r="J118" s="911">
        <f t="shared" si="33"/>
        <v>0.53420000000000001</v>
      </c>
      <c r="K118" s="911">
        <f t="shared" si="33"/>
        <v>0.53420000000000001</v>
      </c>
      <c r="L118" s="911">
        <f t="shared" si="33"/>
        <v>0.53420000000000001</v>
      </c>
      <c r="M118" s="912">
        <f t="shared" si="33"/>
        <v>0.53420000000000001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56" t="s">
        <v>183</v>
      </c>
      <c r="B18" s="881" t="s">
        <v>560</v>
      </c>
      <c r="C18" s="882" t="s">
        <v>561</v>
      </c>
      <c r="D18" s="883"/>
      <c r="E18" s="881">
        <v>1</v>
      </c>
      <c r="F18" s="884" t="s">
        <v>562</v>
      </c>
      <c r="G18" s="885"/>
      <c r="H18" s="877"/>
      <c r="I18" s="877"/>
    </row>
    <row r="19" spans="1:9" s="886" customFormat="1" ht="19.5" customHeight="1">
      <c r="A19" s="3256"/>
      <c r="B19" s="3256" t="s">
        <v>563</v>
      </c>
      <c r="C19" s="882" t="s">
        <v>564</v>
      </c>
      <c r="D19" s="883"/>
      <c r="E19" s="881">
        <v>0.9</v>
      </c>
      <c r="F19" s="884" t="s">
        <v>565</v>
      </c>
      <c r="G19" s="885"/>
      <c r="H19" s="877"/>
      <c r="I19" s="877"/>
    </row>
    <row r="20" spans="1:9" s="886" customFormat="1" ht="19.5" customHeight="1">
      <c r="A20" s="3256"/>
      <c r="B20" s="3256"/>
      <c r="C20" s="882" t="s">
        <v>566</v>
      </c>
      <c r="D20" s="883"/>
      <c r="E20" s="881">
        <v>1.1000000000000001</v>
      </c>
      <c r="F20" s="884" t="s">
        <v>567</v>
      </c>
      <c r="G20" s="885"/>
      <c r="H20" s="877"/>
      <c r="I20" s="877"/>
    </row>
    <row r="21" spans="1:9" s="886" customFormat="1" ht="19.5" customHeight="1">
      <c r="A21" s="3256"/>
      <c r="B21" s="3256"/>
      <c r="C21" s="882" t="s">
        <v>568</v>
      </c>
      <c r="D21" s="883"/>
      <c r="E21" s="881">
        <v>0.8</v>
      </c>
      <c r="F21" s="884" t="s">
        <v>569</v>
      </c>
      <c r="G21" s="885"/>
      <c r="H21" s="877"/>
      <c r="I21" s="877"/>
    </row>
    <row r="22" spans="1:9" s="886" customFormat="1" ht="19.5" customHeight="1">
      <c r="A22" s="3256"/>
      <c r="B22" s="3256"/>
      <c r="C22" s="882" t="s">
        <v>570</v>
      </c>
      <c r="D22" s="883"/>
      <c r="E22" s="881">
        <v>0.5</v>
      </c>
      <c r="F22" s="884"/>
      <c r="G22" s="885"/>
      <c r="H22" s="877"/>
      <c r="I22" s="877"/>
    </row>
    <row r="23" spans="1:9" s="886" customFormat="1" ht="19.5" customHeight="1">
      <c r="A23" s="3256" t="s">
        <v>184</v>
      </c>
      <c r="B23" s="881" t="s">
        <v>560</v>
      </c>
      <c r="C23" s="882" t="s">
        <v>571</v>
      </c>
      <c r="D23" s="883"/>
      <c r="E23" s="881">
        <v>1</v>
      </c>
      <c r="F23" s="884" t="s">
        <v>572</v>
      </c>
      <c r="G23" s="885"/>
      <c r="H23" s="877"/>
      <c r="I23" s="877"/>
    </row>
    <row r="24" spans="1:9" s="886" customFormat="1" ht="19.5" customHeight="1">
      <c r="A24" s="3256"/>
      <c r="B24" s="3256" t="s">
        <v>563</v>
      </c>
      <c r="C24" s="882" t="s">
        <v>573</v>
      </c>
      <c r="D24" s="883"/>
      <c r="E24" s="881">
        <v>0.5</v>
      </c>
      <c r="F24" s="884"/>
      <c r="G24" s="885"/>
      <c r="H24" s="877"/>
      <c r="I24" s="877"/>
    </row>
    <row r="25" spans="1:9" s="886" customFormat="1" ht="19.5" customHeight="1">
      <c r="A25" s="3256"/>
      <c r="B25" s="3256"/>
      <c r="C25" s="882" t="s">
        <v>574</v>
      </c>
      <c r="D25" s="883"/>
      <c r="E25" s="881">
        <v>1.1000000000000001</v>
      </c>
      <c r="F25" s="884"/>
      <c r="G25" s="885"/>
      <c r="H25" s="877"/>
      <c r="I25" s="877"/>
    </row>
    <row r="26" spans="1:9" s="886" customFormat="1" ht="19.5" customHeight="1">
      <c r="A26" s="3256"/>
      <c r="B26" s="3256"/>
      <c r="C26" s="882" t="s">
        <v>575</v>
      </c>
      <c r="D26" s="883"/>
      <c r="E26" s="881">
        <v>1.1000000000000001</v>
      </c>
      <c r="F26" s="884"/>
      <c r="G26" s="885"/>
      <c r="H26" s="877"/>
      <c r="I26" s="877"/>
    </row>
    <row r="27" spans="1:9" s="886" customFormat="1" ht="19.5" customHeight="1">
      <c r="A27" s="3256"/>
      <c r="B27" s="3256"/>
      <c r="C27" s="882" t="s">
        <v>576</v>
      </c>
      <c r="D27" s="883"/>
      <c r="E27" s="881">
        <v>0.9</v>
      </c>
      <c r="F27" s="884" t="s">
        <v>577</v>
      </c>
      <c r="G27" s="885"/>
      <c r="H27" s="877"/>
      <c r="I27" s="877"/>
    </row>
    <row r="28" spans="1:9" s="886" customFormat="1" ht="19.5" customHeight="1">
      <c r="A28" s="3256"/>
      <c r="B28" s="3256"/>
      <c r="C28" s="882" t="s">
        <v>578</v>
      </c>
      <c r="D28" s="883"/>
      <c r="E28" s="881">
        <v>0.9</v>
      </c>
      <c r="F28" s="884" t="s">
        <v>579</v>
      </c>
      <c r="G28" s="885"/>
      <c r="H28" s="877"/>
      <c r="I28" s="877"/>
    </row>
    <row r="29" spans="1:9" s="886" customFormat="1" ht="19.5" customHeight="1">
      <c r="A29" s="3256"/>
      <c r="B29" s="3256"/>
      <c r="C29" s="882" t="s">
        <v>580</v>
      </c>
      <c r="D29" s="883"/>
      <c r="E29" s="881">
        <v>0.9</v>
      </c>
      <c r="F29" s="884" t="s">
        <v>581</v>
      </c>
      <c r="G29" s="885"/>
      <c r="H29" s="877"/>
      <c r="I29" s="877"/>
    </row>
    <row r="30" spans="1:9" s="886" customFormat="1" ht="19.5" customHeight="1">
      <c r="A30" s="3256"/>
      <c r="B30" s="3256"/>
      <c r="C30" s="882" t="s">
        <v>582</v>
      </c>
      <c r="D30" s="883"/>
      <c r="E30" s="881">
        <v>0.9</v>
      </c>
      <c r="F30" s="884" t="s">
        <v>583</v>
      </c>
      <c r="G30" s="885"/>
      <c r="H30" s="877"/>
      <c r="I30" s="877"/>
    </row>
    <row r="31" spans="1:9" s="886" customFormat="1" ht="19.5" customHeight="1">
      <c r="A31" s="3256"/>
      <c r="B31" s="3256"/>
      <c r="C31" s="882" t="s">
        <v>584</v>
      </c>
      <c r="D31" s="883"/>
      <c r="E31" s="881">
        <v>0.8</v>
      </c>
      <c r="F31" s="884" t="s">
        <v>585</v>
      </c>
      <c r="G31" s="885"/>
      <c r="H31" s="877"/>
      <c r="I31" s="877"/>
    </row>
    <row r="32" spans="1:9" s="886" customFormat="1" ht="19.5" customHeight="1">
      <c r="A32" s="3256"/>
      <c r="B32" s="3256"/>
      <c r="C32" s="882" t="s">
        <v>586</v>
      </c>
      <c r="D32" s="883"/>
      <c r="E32" s="881">
        <v>0.8</v>
      </c>
      <c r="F32" s="884" t="s">
        <v>587</v>
      </c>
      <c r="G32" s="885"/>
      <c r="H32" s="877"/>
      <c r="I32" s="877"/>
    </row>
    <row r="33" spans="1:9" s="886" customFormat="1" ht="19.5" customHeight="1">
      <c r="A33" s="3256" t="s">
        <v>185</v>
      </c>
      <c r="B33" s="881" t="s">
        <v>560</v>
      </c>
      <c r="C33" s="882" t="s">
        <v>588</v>
      </c>
      <c r="D33" s="883"/>
      <c r="E33" s="881">
        <v>1</v>
      </c>
      <c r="F33" s="884" t="s">
        <v>589</v>
      </c>
      <c r="G33" s="885"/>
      <c r="H33" s="877"/>
      <c r="I33" s="877"/>
    </row>
    <row r="34" spans="1:9" s="886" customFormat="1" ht="19.5" customHeight="1">
      <c r="A34" s="3256"/>
      <c r="B34" s="881" t="s">
        <v>563</v>
      </c>
      <c r="C34" s="882" t="s">
        <v>590</v>
      </c>
      <c r="D34" s="883"/>
      <c r="E34" s="881">
        <v>1.5</v>
      </c>
      <c r="F34" s="884" t="s">
        <v>591</v>
      </c>
      <c r="G34" s="885"/>
      <c r="H34" s="877"/>
      <c r="I34" s="877"/>
    </row>
    <row r="35" spans="1:9" s="886" customFormat="1" ht="19.5" customHeight="1">
      <c r="A35" s="3256" t="s">
        <v>186</v>
      </c>
      <c r="B35" s="881" t="s">
        <v>560</v>
      </c>
      <c r="C35" s="882" t="s">
        <v>592</v>
      </c>
      <c r="D35" s="883"/>
      <c r="E35" s="881">
        <v>1</v>
      </c>
      <c r="F35" s="884" t="s">
        <v>593</v>
      </c>
      <c r="G35" s="885"/>
      <c r="H35" s="877"/>
      <c r="I35" s="877"/>
    </row>
    <row r="36" spans="1:9" s="886" customFormat="1" ht="19.5" customHeight="1">
      <c r="A36" s="3256"/>
      <c r="B36" s="3256" t="s">
        <v>563</v>
      </c>
      <c r="C36" s="882" t="s">
        <v>594</v>
      </c>
      <c r="D36" s="883"/>
      <c r="E36" s="881">
        <v>1</v>
      </c>
      <c r="F36" s="884" t="s">
        <v>595</v>
      </c>
      <c r="G36" s="885"/>
      <c r="H36" s="877"/>
      <c r="I36" s="877"/>
    </row>
    <row r="37" spans="1:9" s="886" customFormat="1" ht="19.5" customHeight="1">
      <c r="A37" s="3256"/>
      <c r="B37" s="3256"/>
      <c r="C37" s="882" t="s">
        <v>596</v>
      </c>
      <c r="D37" s="883"/>
      <c r="E37" s="881">
        <v>1.5</v>
      </c>
      <c r="F37" s="884" t="s">
        <v>597</v>
      </c>
      <c r="G37" s="885"/>
      <c r="H37" s="877"/>
      <c r="I37" s="877"/>
    </row>
    <row r="38" spans="1:9" s="886" customFormat="1" ht="19.5" customHeight="1">
      <c r="A38" s="3256"/>
      <c r="B38" s="3256"/>
      <c r="C38" s="882" t="s">
        <v>598</v>
      </c>
      <c r="D38" s="883"/>
      <c r="E38" s="881">
        <v>1</v>
      </c>
      <c r="F38" s="884" t="s">
        <v>599</v>
      </c>
      <c r="G38" s="885"/>
      <c r="H38" s="877"/>
      <c r="I38" s="877"/>
    </row>
    <row r="39" spans="1:9" s="886" customFormat="1" ht="19.5" customHeight="1">
      <c r="A39" s="3256"/>
      <c r="B39" s="3256"/>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56" t="s">
        <v>614</v>
      </c>
      <c r="C61" s="817" t="s">
        <v>615</v>
      </c>
      <c r="D61" s="817" t="s">
        <v>616</v>
      </c>
      <c r="E61" s="894">
        <v>0.5</v>
      </c>
      <c r="F61" s="881">
        <v>80</v>
      </c>
    </row>
    <row r="62" spans="1:8" s="877" customFormat="1" ht="24">
      <c r="A62" s="881">
        <v>2</v>
      </c>
      <c r="B62" s="3256"/>
      <c r="C62" s="817" t="s">
        <v>617</v>
      </c>
      <c r="D62" s="817" t="s">
        <v>618</v>
      </c>
      <c r="E62" s="894">
        <v>0.5</v>
      </c>
      <c r="F62" s="881">
        <v>80</v>
      </c>
    </row>
    <row r="63" spans="1:8" s="877" customFormat="1" ht="36">
      <c r="A63" s="881">
        <v>3</v>
      </c>
      <c r="B63" s="3256"/>
      <c r="C63" s="817" t="s">
        <v>619</v>
      </c>
      <c r="D63" s="817" t="s">
        <v>620</v>
      </c>
      <c r="E63" s="894">
        <v>0.5</v>
      </c>
      <c r="F63" s="881">
        <v>80</v>
      </c>
    </row>
    <row r="64" spans="1:8" s="877" customFormat="1" ht="36">
      <c r="A64" s="881">
        <v>4</v>
      </c>
      <c r="B64" s="3256"/>
      <c r="C64" s="817" t="s">
        <v>621</v>
      </c>
      <c r="D64" s="817" t="s">
        <v>622</v>
      </c>
      <c r="E64" s="894">
        <v>0.4</v>
      </c>
      <c r="F64" s="881">
        <v>60</v>
      </c>
    </row>
    <row r="65" spans="1:6" s="877" customFormat="1" ht="36">
      <c r="A65" s="881">
        <v>5</v>
      </c>
      <c r="B65" s="3256"/>
      <c r="C65" s="817" t="s">
        <v>623</v>
      </c>
      <c r="D65" s="817" t="s">
        <v>624</v>
      </c>
      <c r="E65" s="894">
        <v>0.2</v>
      </c>
      <c r="F65" s="881">
        <v>30</v>
      </c>
    </row>
    <row r="66" spans="1:6" s="877" customFormat="1" ht="36">
      <c r="A66" s="881">
        <v>6</v>
      </c>
      <c r="B66" s="3256"/>
      <c r="C66" s="817" t="s">
        <v>625</v>
      </c>
      <c r="D66" s="817" t="s">
        <v>626</v>
      </c>
      <c r="E66" s="894">
        <v>0.3</v>
      </c>
      <c r="F66" s="881">
        <v>50</v>
      </c>
    </row>
    <row r="67" spans="1:6" s="877" customFormat="1" ht="36">
      <c r="A67" s="881">
        <v>7</v>
      </c>
      <c r="B67" s="3256"/>
      <c r="C67" s="817" t="s">
        <v>627</v>
      </c>
      <c r="D67" s="817" t="s">
        <v>628</v>
      </c>
      <c r="E67" s="894">
        <v>0.2</v>
      </c>
      <c r="F67" s="881">
        <v>30</v>
      </c>
    </row>
    <row r="68" spans="1:6" s="877" customFormat="1" ht="36">
      <c r="A68" s="881">
        <v>8</v>
      </c>
      <c r="B68" s="3256"/>
      <c r="C68" s="817" t="s">
        <v>629</v>
      </c>
      <c r="D68" s="817" t="s">
        <v>630</v>
      </c>
      <c r="E68" s="894">
        <v>0.2</v>
      </c>
      <c r="F68" s="881">
        <v>30</v>
      </c>
    </row>
    <row r="69" spans="1:6" s="877" customFormat="1" ht="36">
      <c r="A69" s="881">
        <v>9</v>
      </c>
      <c r="B69" s="3256"/>
      <c r="C69" s="817" t="s">
        <v>631</v>
      </c>
      <c r="D69" s="817" t="s">
        <v>632</v>
      </c>
      <c r="E69" s="894">
        <v>0.2</v>
      </c>
      <c r="F69" s="881">
        <v>30</v>
      </c>
    </row>
    <row r="70" spans="1:6" s="877" customFormat="1" ht="48">
      <c r="A70" s="881">
        <v>10</v>
      </c>
      <c r="B70" s="3256"/>
      <c r="C70" s="817" t="s">
        <v>633</v>
      </c>
      <c r="D70" s="817" t="s">
        <v>634</v>
      </c>
      <c r="E70" s="894">
        <v>0.2</v>
      </c>
      <c r="F70" s="881">
        <v>30</v>
      </c>
    </row>
    <row r="71" spans="1:6" s="877" customFormat="1" ht="48">
      <c r="A71" s="881">
        <v>11</v>
      </c>
      <c r="B71" s="3256"/>
      <c r="C71" s="817" t="s">
        <v>635</v>
      </c>
      <c r="D71" s="817" t="s">
        <v>636</v>
      </c>
      <c r="E71" s="894">
        <v>0.2</v>
      </c>
      <c r="F71" s="881">
        <v>30</v>
      </c>
    </row>
    <row r="72" spans="1:6" s="877" customFormat="1" ht="36">
      <c r="A72" s="881">
        <v>12</v>
      </c>
      <c r="B72" s="3256"/>
      <c r="C72" s="817" t="s">
        <v>637</v>
      </c>
      <c r="D72" s="817" t="s">
        <v>638</v>
      </c>
      <c r="E72" s="894">
        <v>0.5</v>
      </c>
      <c r="F72" s="881">
        <v>80</v>
      </c>
    </row>
    <row r="73" spans="1:6" s="877" customFormat="1" ht="24">
      <c r="A73" s="881">
        <v>13</v>
      </c>
      <c r="B73" s="3256"/>
      <c r="C73" s="817" t="s">
        <v>639</v>
      </c>
      <c r="D73" s="817" t="s">
        <v>640</v>
      </c>
      <c r="E73" s="894">
        <v>0.4</v>
      </c>
      <c r="F73" s="881">
        <v>60</v>
      </c>
    </row>
    <row r="74" spans="1:6" s="877" customFormat="1" ht="24">
      <c r="A74" s="881">
        <v>14</v>
      </c>
      <c r="B74" s="3256"/>
      <c r="C74" s="817" t="s">
        <v>641</v>
      </c>
      <c r="D74" s="817" t="s">
        <v>642</v>
      </c>
      <c r="E74" s="894">
        <v>0.2</v>
      </c>
      <c r="F74" s="881">
        <v>30</v>
      </c>
    </row>
    <row r="75" spans="1:6" s="877" customFormat="1" ht="24">
      <c r="A75" s="881">
        <v>15</v>
      </c>
      <c r="B75" s="3256"/>
      <c r="C75" s="817" t="s">
        <v>643</v>
      </c>
      <c r="D75" s="817" t="s">
        <v>644</v>
      </c>
      <c r="E75" s="894">
        <v>0.2</v>
      </c>
      <c r="F75" s="881">
        <v>30</v>
      </c>
    </row>
    <row r="76" spans="1:6" s="877" customFormat="1" ht="24">
      <c r="A76" s="881">
        <v>16</v>
      </c>
      <c r="B76" s="3256" t="s">
        <v>645</v>
      </c>
      <c r="C76" s="817" t="s">
        <v>646</v>
      </c>
      <c r="D76" s="817" t="s">
        <v>647</v>
      </c>
      <c r="E76" s="894">
        <v>0.5</v>
      </c>
      <c r="F76" s="881">
        <v>80</v>
      </c>
    </row>
    <row r="77" spans="1:6" s="877" customFormat="1" ht="24">
      <c r="A77" s="881">
        <v>17</v>
      </c>
      <c r="B77" s="3256"/>
      <c r="C77" s="817" t="s">
        <v>648</v>
      </c>
      <c r="D77" s="817" t="s">
        <v>649</v>
      </c>
      <c r="E77" s="894">
        <v>0.5</v>
      </c>
      <c r="F77" s="881">
        <v>80</v>
      </c>
    </row>
    <row r="78" spans="1:6" s="877" customFormat="1" ht="24">
      <c r="A78" s="881">
        <v>18</v>
      </c>
      <c r="B78" s="3256"/>
      <c r="C78" s="817" t="s">
        <v>650</v>
      </c>
      <c r="D78" s="817" t="s">
        <v>651</v>
      </c>
      <c r="E78" s="894">
        <v>0.2</v>
      </c>
      <c r="F78" s="881">
        <v>30</v>
      </c>
    </row>
    <row r="79" spans="1:6" s="877" customFormat="1" ht="24">
      <c r="A79" s="881">
        <v>19</v>
      </c>
      <c r="B79" s="3256"/>
      <c r="C79" s="817" t="s">
        <v>652</v>
      </c>
      <c r="D79" s="817" t="s">
        <v>653</v>
      </c>
      <c r="E79" s="894">
        <v>0.5</v>
      </c>
      <c r="F79" s="881">
        <v>80</v>
      </c>
    </row>
    <row r="80" spans="1:6" s="877" customFormat="1" ht="36">
      <c r="A80" s="881">
        <v>20</v>
      </c>
      <c r="B80" s="3256"/>
      <c r="C80" s="817" t="s">
        <v>654</v>
      </c>
      <c r="D80" s="817" t="s">
        <v>655</v>
      </c>
      <c r="E80" s="894">
        <v>0.2</v>
      </c>
      <c r="F80" s="881">
        <v>30</v>
      </c>
    </row>
    <row r="81" spans="1:6" s="877" customFormat="1" ht="36">
      <c r="A81" s="881">
        <v>21</v>
      </c>
      <c r="B81" s="3256"/>
      <c r="C81" s="817" t="s">
        <v>656</v>
      </c>
      <c r="D81" s="817" t="s">
        <v>657</v>
      </c>
      <c r="E81" s="894">
        <v>0.2</v>
      </c>
      <c r="F81" s="881">
        <v>30</v>
      </c>
    </row>
    <row r="82" spans="1:6" s="877" customFormat="1" ht="48">
      <c r="A82" s="881">
        <v>22</v>
      </c>
      <c r="B82" s="3256"/>
      <c r="C82" s="817" t="s">
        <v>658</v>
      </c>
      <c r="D82" s="817" t="s">
        <v>659</v>
      </c>
      <c r="E82" s="894">
        <v>0.2</v>
      </c>
      <c r="F82" s="881">
        <v>30</v>
      </c>
    </row>
    <row r="83" spans="1:6" s="877" customFormat="1" ht="48">
      <c r="A83" s="881">
        <v>23</v>
      </c>
      <c r="B83" s="3256"/>
      <c r="C83" s="817" t="s">
        <v>660</v>
      </c>
      <c r="D83" s="817" t="s">
        <v>661</v>
      </c>
      <c r="E83" s="894">
        <v>0.2</v>
      </c>
      <c r="F83" s="881">
        <v>30</v>
      </c>
    </row>
    <row r="84" spans="1:6" s="877" customFormat="1" ht="36">
      <c r="A84" s="881">
        <v>24</v>
      </c>
      <c r="B84" s="3256"/>
      <c r="C84" s="817" t="s">
        <v>662</v>
      </c>
      <c r="D84" s="817" t="s">
        <v>663</v>
      </c>
      <c r="E84" s="894">
        <v>0.2</v>
      </c>
      <c r="F84" s="881">
        <v>30</v>
      </c>
    </row>
    <row r="85" spans="1:6" s="877" customFormat="1" ht="36">
      <c r="A85" s="881">
        <v>25</v>
      </c>
      <c r="B85" s="3256"/>
      <c r="C85" s="817" t="s">
        <v>664</v>
      </c>
      <c r="D85" s="817" t="s">
        <v>665</v>
      </c>
      <c r="E85" s="894">
        <v>0.5</v>
      </c>
      <c r="F85" s="881">
        <v>80</v>
      </c>
    </row>
    <row r="86" spans="1:6" s="877" customFormat="1" ht="36">
      <c r="A86" s="881">
        <v>26</v>
      </c>
      <c r="B86" s="3256"/>
      <c r="C86" s="817" t="s">
        <v>666</v>
      </c>
      <c r="D86" s="817" t="s">
        <v>667</v>
      </c>
      <c r="E86" s="894">
        <v>0.2</v>
      </c>
      <c r="F86" s="881">
        <v>30</v>
      </c>
    </row>
    <row r="87" spans="1:6" s="877" customFormat="1" ht="36">
      <c r="A87" s="881">
        <v>27</v>
      </c>
      <c r="B87" s="3256"/>
      <c r="C87" s="817" t="s">
        <v>668</v>
      </c>
      <c r="D87" s="817" t="s">
        <v>669</v>
      </c>
      <c r="E87" s="894">
        <v>0.2</v>
      </c>
      <c r="F87" s="881">
        <v>30</v>
      </c>
    </row>
    <row r="88" spans="1:6" s="877" customFormat="1" ht="36">
      <c r="A88" s="881">
        <v>28</v>
      </c>
      <c r="B88" s="3256"/>
      <c r="C88" s="817" t="s">
        <v>670</v>
      </c>
      <c r="D88" s="817" t="s">
        <v>671</v>
      </c>
      <c r="E88" s="894">
        <v>0.2</v>
      </c>
      <c r="F88" s="881">
        <v>30</v>
      </c>
    </row>
    <row r="89" spans="1:6" s="877" customFormat="1" ht="24">
      <c r="A89" s="881">
        <v>29</v>
      </c>
      <c r="B89" s="3256"/>
      <c r="C89" s="817" t="s">
        <v>672</v>
      </c>
      <c r="D89" s="817" t="s">
        <v>673</v>
      </c>
      <c r="E89" s="894">
        <v>0.2</v>
      </c>
      <c r="F89" s="881">
        <v>30</v>
      </c>
    </row>
    <row r="90" spans="1:6" s="877" customFormat="1" ht="24">
      <c r="A90" s="881">
        <v>30</v>
      </c>
      <c r="B90" s="3256"/>
      <c r="C90" s="817" t="s">
        <v>674</v>
      </c>
      <c r="D90" s="817" t="s">
        <v>675</v>
      </c>
      <c r="E90" s="894">
        <v>0.2</v>
      </c>
      <c r="F90" s="881">
        <v>30</v>
      </c>
    </row>
    <row r="91" spans="1:6" s="877" customFormat="1" ht="36">
      <c r="A91" s="881">
        <v>31</v>
      </c>
      <c r="B91" s="3256"/>
      <c r="C91" s="817" t="s">
        <v>676</v>
      </c>
      <c r="D91" s="817" t="s">
        <v>677</v>
      </c>
      <c r="E91" s="894">
        <v>0.2</v>
      </c>
      <c r="F91" s="881">
        <v>30</v>
      </c>
    </row>
    <row r="92" spans="1:6" s="877" customFormat="1" ht="24">
      <c r="A92" s="881">
        <v>32</v>
      </c>
      <c r="B92" s="3256" t="s">
        <v>678</v>
      </c>
      <c r="C92" s="881" t="s">
        <v>679</v>
      </c>
      <c r="D92" s="817" t="s">
        <v>680</v>
      </c>
      <c r="E92" s="894">
        <v>0.2</v>
      </c>
      <c r="F92" s="881">
        <v>30</v>
      </c>
    </row>
    <row r="93" spans="1:6" s="877" customFormat="1" ht="36">
      <c r="A93" s="881">
        <v>33</v>
      </c>
      <c r="B93" s="3256"/>
      <c r="C93" s="881" t="s">
        <v>681</v>
      </c>
      <c r="D93" s="817" t="s">
        <v>682</v>
      </c>
      <c r="E93" s="894">
        <v>0.2</v>
      </c>
      <c r="F93" s="881">
        <v>30</v>
      </c>
    </row>
    <row r="94" spans="1:6" s="877" customFormat="1" ht="48">
      <c r="A94" s="881">
        <v>34</v>
      </c>
      <c r="B94" s="3256"/>
      <c r="C94" s="881" t="s">
        <v>683</v>
      </c>
      <c r="D94" s="817" t="s">
        <v>684</v>
      </c>
      <c r="E94" s="894">
        <v>0.2</v>
      </c>
      <c r="F94" s="881">
        <v>30</v>
      </c>
    </row>
    <row r="95" spans="1:6" s="877" customFormat="1" ht="36">
      <c r="A95" s="881">
        <v>35</v>
      </c>
      <c r="B95" s="3256"/>
      <c r="C95" s="881" t="s">
        <v>685</v>
      </c>
      <c r="D95" s="817" t="s">
        <v>686</v>
      </c>
      <c r="E95" s="894">
        <v>0.2</v>
      </c>
      <c r="F95" s="881">
        <v>30</v>
      </c>
    </row>
    <row r="96" spans="1:6" s="877" customFormat="1" ht="48">
      <c r="A96" s="881">
        <v>36</v>
      </c>
      <c r="B96" s="3256"/>
      <c r="C96" s="817" t="s">
        <v>687</v>
      </c>
      <c r="D96" s="817" t="s">
        <v>688</v>
      </c>
      <c r="E96" s="894">
        <v>0.2</v>
      </c>
      <c r="F96" s="881">
        <v>30</v>
      </c>
    </row>
    <row r="97" spans="1:6" s="877" customFormat="1" ht="36">
      <c r="A97" s="881">
        <v>37</v>
      </c>
      <c r="B97" s="3256"/>
      <c r="C97" s="881" t="s">
        <v>689</v>
      </c>
      <c r="D97" s="817" t="s">
        <v>690</v>
      </c>
      <c r="E97" s="894">
        <v>0.2</v>
      </c>
      <c r="F97" s="881">
        <v>30</v>
      </c>
    </row>
    <row r="98" spans="1:6" s="877" customFormat="1" ht="36">
      <c r="A98" s="881">
        <v>38</v>
      </c>
      <c r="B98" s="3256"/>
      <c r="C98" s="881" t="s">
        <v>691</v>
      </c>
      <c r="D98" s="817" t="s">
        <v>692</v>
      </c>
      <c r="E98" s="894">
        <v>0.2</v>
      </c>
      <c r="F98" s="881">
        <v>30</v>
      </c>
    </row>
    <row r="99" spans="1:6" s="877" customFormat="1" ht="36">
      <c r="A99" s="881">
        <v>39</v>
      </c>
      <c r="B99" s="3256" t="s">
        <v>693</v>
      </c>
      <c r="C99" s="881" t="s">
        <v>694</v>
      </c>
      <c r="D99" s="817" t="s">
        <v>695</v>
      </c>
      <c r="E99" s="894">
        <v>0.3</v>
      </c>
      <c r="F99" s="881">
        <v>50</v>
      </c>
    </row>
    <row r="100" spans="1:6" s="877" customFormat="1" ht="24">
      <c r="A100" s="881">
        <v>40</v>
      </c>
      <c r="B100" s="3256"/>
      <c r="C100" s="881" t="s">
        <v>696</v>
      </c>
      <c r="D100" s="817" t="s">
        <v>697</v>
      </c>
      <c r="E100" s="894">
        <v>0.2</v>
      </c>
      <c r="F100" s="881">
        <v>30</v>
      </c>
    </row>
    <row r="101" spans="1:6" s="877" customFormat="1" ht="36">
      <c r="A101" s="881">
        <v>41</v>
      </c>
      <c r="B101" s="3256"/>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56" t="s">
        <v>708</v>
      </c>
      <c r="C105" s="881" t="s">
        <v>709</v>
      </c>
      <c r="D105" s="817" t="s">
        <v>710</v>
      </c>
      <c r="E105" s="894">
        <v>0.2</v>
      </c>
      <c r="F105" s="881">
        <v>30</v>
      </c>
    </row>
    <row r="106" spans="1:6" s="877" customFormat="1" ht="36">
      <c r="A106" s="881">
        <v>46</v>
      </c>
      <c r="B106" s="3256"/>
      <c r="C106" s="881" t="s">
        <v>711</v>
      </c>
      <c r="D106" s="817" t="s">
        <v>712</v>
      </c>
      <c r="E106" s="894">
        <v>0.2</v>
      </c>
      <c r="F106" s="881">
        <v>30</v>
      </c>
    </row>
    <row r="107" spans="1:6" s="877" customFormat="1" ht="36">
      <c r="A107" s="881">
        <v>47</v>
      </c>
      <c r="B107" s="3256" t="s">
        <v>713</v>
      </c>
      <c r="C107" s="881" t="s">
        <v>714</v>
      </c>
      <c r="D107" s="817" t="s">
        <v>715</v>
      </c>
      <c r="E107" s="894">
        <v>0.3</v>
      </c>
      <c r="F107" s="881">
        <v>50</v>
      </c>
    </row>
    <row r="108" spans="1:6" s="877" customFormat="1" ht="36">
      <c r="A108" s="881">
        <v>48</v>
      </c>
      <c r="B108" s="3256"/>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56" t="s">
        <v>724</v>
      </c>
      <c r="C111" s="881" t="s">
        <v>725</v>
      </c>
      <c r="D111" s="817" t="s">
        <v>726</v>
      </c>
      <c r="E111" s="894">
        <v>0.2</v>
      </c>
      <c r="F111" s="881">
        <v>30</v>
      </c>
    </row>
    <row r="112" spans="1:6" s="877" customFormat="1" ht="24">
      <c r="A112" s="881">
        <v>52</v>
      </c>
      <c r="B112" s="3256"/>
      <c r="C112" s="881" t="s">
        <v>727</v>
      </c>
      <c r="D112" s="817" t="s">
        <v>728</v>
      </c>
      <c r="E112" s="894">
        <v>0.2</v>
      </c>
      <c r="F112" s="881">
        <v>30</v>
      </c>
    </row>
    <row r="113" spans="1:6" s="877" customFormat="1" ht="24">
      <c r="A113" s="881">
        <v>53</v>
      </c>
      <c r="B113" s="3256"/>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56" t="s">
        <v>737</v>
      </c>
      <c r="C116" s="881" t="s">
        <v>738</v>
      </c>
      <c r="D116" s="817" t="s">
        <v>739</v>
      </c>
      <c r="E116" s="894">
        <v>0.2</v>
      </c>
      <c r="F116" s="881">
        <v>30</v>
      </c>
    </row>
    <row r="117" spans="1:6" ht="36">
      <c r="A117" s="881">
        <v>57</v>
      </c>
      <c r="B117" s="3256"/>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E13"/>
  <sheetViews>
    <sheetView workbookViewId="0">
      <selection activeCell="E23" sqref="E23"/>
    </sheetView>
  </sheetViews>
  <sheetFormatPr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60" t="s">
        <v>3006</v>
      </c>
    </row>
    <row r="2" spans="1:5" ht="15.75">
      <c r="A2" s="2909" t="s">
        <v>2998</v>
      </c>
      <c r="B2" s="2910" t="e">
        <f ca="1">SUMIF(B6:B13,"&lt;&gt;#ref!",B6:B13)</f>
        <v>#DIV/0!</v>
      </c>
      <c r="C2" s="2909" t="s">
        <v>2999</v>
      </c>
      <c r="D2" s="2909" t="s">
        <v>3000</v>
      </c>
      <c r="E2" s="2910" t="e">
        <f ca="1">SUM(E6:E13)</f>
        <v>#REF!</v>
      </c>
    </row>
    <row r="3" spans="1:5" ht="15.75">
      <c r="A3" s="2909" t="s">
        <v>3001</v>
      </c>
      <c r="B3" s="2910" t="e">
        <f ca="1">ROUND(B2*10000/E2,0)</f>
        <v>#DIV/0!</v>
      </c>
      <c r="C3" s="2909" t="s">
        <v>3007</v>
      </c>
      <c r="D3" s="2911"/>
      <c r="E3" s="2911"/>
    </row>
    <row r="4" spans="1:5" ht="15.75">
      <c r="A4" s="2912"/>
      <c r="B4" s="2911"/>
      <c r="C4" s="2911"/>
      <c r="D4" s="2911"/>
      <c r="E4" s="2911"/>
    </row>
    <row r="5" spans="1:5" ht="28.5">
      <c r="A5" s="2913" t="s">
        <v>3002</v>
      </c>
      <c r="B5" s="2909" t="s">
        <v>3003</v>
      </c>
      <c r="C5" s="2910"/>
      <c r="D5" s="2911"/>
      <c r="E5" s="2909" t="s">
        <v>3004</v>
      </c>
    </row>
    <row r="6" spans="1:5" ht="15.75">
      <c r="A6" s="2914" t="s">
        <v>3005</v>
      </c>
      <c r="B6" s="2910" t="e">
        <f ca="1">SUMIF(INDIRECT("'"&amp;A6&amp;"'"&amp;"!A:A"),"总价",INDIRECT("'"&amp;A6&amp;"'"&amp;"!B:B"))</f>
        <v>#DIV/0!</v>
      </c>
      <c r="C6" s="2909" t="s">
        <v>2999</v>
      </c>
      <c r="D6" s="2911"/>
      <c r="E6" s="2574">
        <f ca="1">SUMIF(INDIRECT("'"&amp;A6&amp;"'"&amp;"!C:C"),"建筑面积",INDIRECT("'"&amp;A6&amp;"'"&amp;"!D:D"))</f>
        <v>0</v>
      </c>
    </row>
    <row r="7" spans="1:5" ht="15.75">
      <c r="A7" s="2914"/>
      <c r="B7" s="2910" t="e">
        <f ca="1">SUMIF(INDIRECT("'"&amp;A7&amp;"'"&amp;"!A:A"),"总价",INDIRECT("'"&amp;A7&amp;"'"&amp;"!B:B"))</f>
        <v>#REF!</v>
      </c>
      <c r="C7" s="2909" t="s">
        <v>2999</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2999</v>
      </c>
      <c r="D8" s="2911"/>
      <c r="E8" s="2574" t="e">
        <f t="shared" ca="1" si="0"/>
        <v>#REF!</v>
      </c>
    </row>
    <row r="9" spans="1:5" ht="15.75">
      <c r="A9" s="2914"/>
      <c r="B9" s="2910" t="e">
        <f t="shared" ca="1" si="1"/>
        <v>#REF!</v>
      </c>
      <c r="C9" s="2909" t="s">
        <v>2999</v>
      </c>
      <c r="D9" s="2911"/>
      <c r="E9" s="2574" t="e">
        <f t="shared" ca="1" si="0"/>
        <v>#REF!</v>
      </c>
    </row>
    <row r="10" spans="1:5" ht="15.75">
      <c r="A10" s="2914"/>
      <c r="B10" s="2910" t="e">
        <f t="shared" ca="1" si="1"/>
        <v>#REF!</v>
      </c>
      <c r="C10" s="2909" t="s">
        <v>2999</v>
      </c>
      <c r="D10" s="2911"/>
      <c r="E10" s="2574" t="e">
        <f t="shared" ca="1" si="0"/>
        <v>#REF!</v>
      </c>
    </row>
    <row r="11" spans="1:5" ht="15.75">
      <c r="A11" s="2914"/>
      <c r="B11" s="2910" t="e">
        <f t="shared" ca="1" si="1"/>
        <v>#REF!</v>
      </c>
      <c r="C11" s="2909" t="s">
        <v>2999</v>
      </c>
      <c r="D11" s="2911"/>
      <c r="E11" s="2574" t="e">
        <f t="shared" ca="1" si="0"/>
        <v>#REF!</v>
      </c>
    </row>
    <row r="12" spans="1:5" ht="15.75">
      <c r="A12" s="2914"/>
      <c r="B12" s="2910" t="e">
        <f t="shared" ca="1" si="1"/>
        <v>#REF!</v>
      </c>
      <c r="C12" s="2909" t="s">
        <v>2999</v>
      </c>
      <c r="D12" s="2911"/>
      <c r="E12" s="2574" t="e">
        <f t="shared" ca="1" si="0"/>
        <v>#REF!</v>
      </c>
    </row>
    <row r="13" spans="1:5" ht="15.75">
      <c r="A13" s="2914"/>
      <c r="B13" s="2910" t="e">
        <f t="shared" ca="1" si="1"/>
        <v>#REF!</v>
      </c>
      <c r="C13" s="2909" t="s">
        <v>2999</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I3" sqref="I3:L5"/>
    </sheetView>
  </sheetViews>
  <sheetFormatPr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5" customFormat="1">
      <c r="B1" s="3262" t="s">
        <v>1150</v>
      </c>
      <c r="C1" s="3262"/>
      <c r="D1" s="3262"/>
      <c r="E1" s="3262"/>
      <c r="F1" s="3262"/>
      <c r="G1" s="3261" t="s">
        <v>1151</v>
      </c>
      <c r="H1" s="3261"/>
      <c r="I1" s="3261"/>
      <c r="J1" s="3261"/>
      <c r="K1" s="3261"/>
      <c r="L1" s="3261"/>
      <c r="N1" s="3261" t="s">
        <v>1152</v>
      </c>
      <c r="O1" s="3261"/>
      <c r="P1" s="3261"/>
      <c r="Q1" s="3261"/>
      <c r="R1" s="1446"/>
      <c r="S1" s="3261" t="s">
        <v>1153</v>
      </c>
      <c r="T1" s="3261"/>
      <c r="U1" s="3261"/>
      <c r="V1" s="3261"/>
      <c r="X1" s="3260" t="s">
        <v>1154</v>
      </c>
      <c r="Y1" s="3261"/>
      <c r="Z1" s="3261"/>
      <c r="AA1" s="3261"/>
      <c r="AB1" s="3261"/>
      <c r="AD1" s="3260" t="s">
        <v>1155</v>
      </c>
      <c r="AE1" s="3261"/>
      <c r="AF1" s="3261"/>
      <c r="AG1" s="3261"/>
      <c r="AH1" s="3261"/>
    </row>
    <row r="2" spans="1:34" s="1447" customFormat="1" ht="14.25" thickBot="1">
      <c r="B2" s="1448" t="s">
        <v>1156</v>
      </c>
      <c r="C2" s="1448" t="s">
        <v>1157</v>
      </c>
      <c r="D2" s="1449" t="s">
        <v>1158</v>
      </c>
      <c r="E2" s="1449" t="s">
        <v>1159</v>
      </c>
      <c r="F2" s="1448" t="s">
        <v>1160</v>
      </c>
      <c r="G2" s="1450"/>
      <c r="H2" s="1451"/>
      <c r="I2" s="1448" t="s">
        <v>1156</v>
      </c>
      <c r="J2" s="1449" t="s">
        <v>1386</v>
      </c>
      <c r="K2" s="1449" t="s">
        <v>751</v>
      </c>
      <c r="L2" s="1448" t="s">
        <v>1160</v>
      </c>
      <c r="N2" s="1448" t="s">
        <v>1156</v>
      </c>
      <c r="O2" s="1449" t="s">
        <v>1386</v>
      </c>
      <c r="P2" s="1449" t="s">
        <v>751</v>
      </c>
      <c r="Q2" s="1448" t="s">
        <v>1160</v>
      </c>
      <c r="R2" s="1452"/>
      <c r="S2" s="1448" t="s">
        <v>1156</v>
      </c>
      <c r="T2" s="1449" t="s">
        <v>1386</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1453" customFormat="1" ht="14.25">
      <c r="B3" s="1454"/>
      <c r="C3" s="1454"/>
      <c r="D3" s="1455"/>
      <c r="E3" s="1455"/>
      <c r="F3" s="1454"/>
      <c r="G3" s="1456"/>
      <c r="H3" s="1457"/>
      <c r="I3" s="2923"/>
      <c r="J3" s="2923"/>
      <c r="K3" s="2923"/>
      <c r="L3" s="2923"/>
      <c r="N3" s="1456"/>
      <c r="O3" s="1458"/>
      <c r="P3" s="1458"/>
      <c r="Q3" s="1458"/>
      <c r="R3" s="1458"/>
      <c r="S3" s="1456"/>
      <c r="T3" s="1458"/>
      <c r="U3" s="1458"/>
      <c r="V3" s="1458"/>
      <c r="X3" s="1459">
        <f>ROUND(SUMPRODUCT(PRODUCT(1+N3:N$19)),4)</f>
        <v>1.4742</v>
      </c>
      <c r="Y3" s="1459">
        <f>ROUND(SUMPRODUCT(PRODUCT(1+O3:O$19)),4)</f>
        <v>1.2875000000000001</v>
      </c>
      <c r="Z3" s="1459">
        <f t="shared" ref="Z3:Z17" si="0">Y3</f>
        <v>1.2875000000000001</v>
      </c>
      <c r="AA3" s="1459">
        <f>ROUND(SUMPRODUCT(PRODUCT(1+P3:P$19)),4)</f>
        <v>1.5399</v>
      </c>
      <c r="AB3" s="1459">
        <f>ROUND(SUMPRODUCT(PRODUCT(1+Q3:Q$19)),4)</f>
        <v>1.2475000000000001</v>
      </c>
      <c r="AD3" s="1460">
        <f>ROUND(AVERAGE(I3:I$20)/100,4)</f>
        <v>2.4899999999999999E-2</v>
      </c>
      <c r="AE3" s="1460">
        <f>ROUND(AVERAGE(J3:J$20)/100,4)</f>
        <v>1.6400000000000001E-2</v>
      </c>
      <c r="AF3" s="1460">
        <f t="shared" ref="AF3:AF18" si="1">AE3</f>
        <v>1.6400000000000001E-2</v>
      </c>
      <c r="AG3" s="1460">
        <f>ROUND(AVERAGE(K3:K$20)/100,4)</f>
        <v>2.7799999999999998E-2</v>
      </c>
      <c r="AH3" s="1460">
        <f>ROUND(AVERAGE(L3:L$20)/100,4)</f>
        <v>1.3899999999999999E-2</v>
      </c>
    </row>
    <row r="4" spans="1:34" s="1453" customFormat="1">
      <c r="A4" s="1461" t="s">
        <v>3043</v>
      </c>
      <c r="B4" s="1478">
        <f t="shared" ref="B4" si="2">B5*(1+N4)</f>
        <v>453.57903691012211</v>
      </c>
      <c r="C4" s="1478">
        <f t="shared" ref="C4" si="3">C5*(1+O4)</f>
        <v>331.18001284964259</v>
      </c>
      <c r="D4" s="1478">
        <f t="shared" ref="D4" si="4">C4</f>
        <v>331.18001284964259</v>
      </c>
      <c r="E4" s="1478">
        <f t="shared" ref="E4" si="5">E5*(1+P4)</f>
        <v>650.68458238034486</v>
      </c>
      <c r="F4" s="1478">
        <f t="shared" ref="F4" si="6">F5*(1+Q4)</f>
        <v>287.29097305893981</v>
      </c>
      <c r="G4" s="1456">
        <v>2018</v>
      </c>
      <c r="H4" s="1457">
        <v>1</v>
      </c>
      <c r="I4" s="2923">
        <f>ROUND(AVERAGE(I5:I20),2)</f>
        <v>2.4900000000000002</v>
      </c>
      <c r="J4" s="2923">
        <f t="shared" ref="J4:L4" si="7">ROUND(AVERAGE(J5:J20),2)</f>
        <v>1.64</v>
      </c>
      <c r="K4" s="2923">
        <f t="shared" si="7"/>
        <v>2.78</v>
      </c>
      <c r="L4" s="2923">
        <f t="shared" si="7"/>
        <v>1.39</v>
      </c>
      <c r="N4" s="1473">
        <f t="shared" ref="N4:N9" si="8">I4/100</f>
        <v>2.4900000000000002E-2</v>
      </c>
      <c r="O4" s="1474">
        <f t="shared" ref="O4" si="9">J4/100</f>
        <v>1.6399999999999998E-2</v>
      </c>
      <c r="P4" s="1474">
        <f t="shared" ref="P4" si="10">K4/100</f>
        <v>2.7799999999999998E-2</v>
      </c>
      <c r="Q4" s="1474">
        <f t="shared" ref="Q4" si="11">L4/100</f>
        <v>1.3899999999999999E-2</v>
      </c>
      <c r="R4" s="1458"/>
      <c r="S4" s="1456"/>
      <c r="T4" s="1458"/>
      <c r="U4" s="1458"/>
      <c r="V4" s="1458"/>
      <c r="X4" s="1459"/>
      <c r="Y4" s="1459"/>
      <c r="Z4" s="1459"/>
      <c r="AA4" s="1459"/>
      <c r="AB4" s="1459"/>
      <c r="AD4" s="1460"/>
      <c r="AE4" s="1460"/>
      <c r="AF4" s="1460"/>
      <c r="AG4" s="1460"/>
      <c r="AH4" s="1460"/>
    </row>
    <row r="5" spans="1:34" s="1732" customFormat="1">
      <c r="A5" s="1730" t="s">
        <v>3041</v>
      </c>
      <c r="B5" s="1792">
        <f t="shared" ref="B5" si="12">B6*(1+N5)</f>
        <v>442.55931008890832</v>
      </c>
      <c r="C5" s="1792">
        <f t="shared" ref="C5" si="13">C6*(1+O5)</f>
        <v>325.83629756950273</v>
      </c>
      <c r="D5" s="1792">
        <f t="shared" ref="D5" si="14">C5</f>
        <v>325.83629756950273</v>
      </c>
      <c r="E5" s="1792">
        <f t="shared" ref="E5" si="15">E6*(1+P5)</f>
        <v>633.08482426575677</v>
      </c>
      <c r="F5" s="1792">
        <f t="shared" ref="F5" si="16">F6*(1+Q5)</f>
        <v>283.35237504580311</v>
      </c>
      <c r="G5" s="2920">
        <v>2017</v>
      </c>
      <c r="H5" s="1731">
        <v>4</v>
      </c>
      <c r="I5" s="2924">
        <f>ROUND(AVERAGE(I6:I20),2)</f>
        <v>2.4900000000000002</v>
      </c>
      <c r="J5" s="2924">
        <f>ROUND(AVERAGE(J6:J20),2)</f>
        <v>1.64</v>
      </c>
      <c r="K5" s="2924">
        <f>ROUND(AVERAGE(K6:K20),2)</f>
        <v>2.78</v>
      </c>
      <c r="L5" s="2924">
        <f>ROUND(AVERAGE(L6:L20),2)</f>
        <v>1.39</v>
      </c>
      <c r="N5" s="1467">
        <f t="shared" si="8"/>
        <v>2.4900000000000002E-2</v>
      </c>
      <c r="O5" s="1467">
        <f t="shared" ref="O5" si="17">J5/100</f>
        <v>1.6399999999999998E-2</v>
      </c>
      <c r="P5" s="1467">
        <f t="shared" ref="P5" si="18">K5/100</f>
        <v>2.7799999999999998E-2</v>
      </c>
      <c r="Q5" s="1467">
        <f t="shared" ref="Q5" si="19">L5/100</f>
        <v>1.3899999999999999E-2</v>
      </c>
      <c r="R5" s="1733"/>
      <c r="S5" s="1734"/>
      <c r="T5" s="1733"/>
      <c r="U5" s="1733"/>
      <c r="V5" s="1733"/>
      <c r="W5" s="1468"/>
      <c r="X5" s="1727">
        <f>ROUND(SUMPRODUCT(PRODUCT(1+N5:N$19)),4)</f>
        <v>1.4383999999999999</v>
      </c>
      <c r="Y5" s="1727">
        <f>ROUND(SUMPRODUCT(PRODUCT(1+O5:O$19)),4)</f>
        <v>1.2667999999999999</v>
      </c>
      <c r="Z5" s="1727">
        <f t="shared" si="0"/>
        <v>1.2667999999999999</v>
      </c>
      <c r="AA5" s="1727">
        <f>ROUND(SUMPRODUCT(PRODUCT(1+P5:P$19)),4)</f>
        <v>1.4982</v>
      </c>
      <c r="AB5" s="1727">
        <f>ROUND(SUMPRODUCT(PRODUCT(1+Q5:Q$19)),4)</f>
        <v>1.2303999999999999</v>
      </c>
      <c r="AD5" s="1469">
        <f>ROUND(AVERAGE(I5:I$20)/100,4)</f>
        <v>2.4899999999999999E-2</v>
      </c>
      <c r="AE5" s="1469">
        <f>ROUND(AVERAGE(J5:J$20)/100,4)</f>
        <v>1.6400000000000001E-2</v>
      </c>
      <c r="AF5" s="1469">
        <f t="shared" si="1"/>
        <v>1.6400000000000001E-2</v>
      </c>
      <c r="AG5" s="1469">
        <f>ROUND(AVERAGE(K5:K$20)/100,4)</f>
        <v>2.7799999999999998E-2</v>
      </c>
      <c r="AH5" s="1469">
        <f>ROUND(AVERAGE(L5:L$20)/100,4)</f>
        <v>1.3899999999999999E-2</v>
      </c>
    </row>
    <row r="6" spans="1:34" s="1466" customFormat="1" ht="13.5" thickBot="1">
      <c r="A6" s="1461" t="s">
        <v>3042</v>
      </c>
      <c r="B6" s="1478">
        <f t="shared" ref="B6:B7" si="20">B7*(1+N6)</f>
        <v>431.80730811680002</v>
      </c>
      <c r="C6" s="1478">
        <f t="shared" ref="C6:C7" si="21">C7*(1+O6)</f>
        <v>320.57880516480003</v>
      </c>
      <c r="D6" s="1478">
        <f t="shared" ref="D6:D7" si="22">C6</f>
        <v>320.57880516480003</v>
      </c>
      <c r="E6" s="1478">
        <f t="shared" ref="E6:E7" si="23">E7*(1+P6)</f>
        <v>615.96110553196797</v>
      </c>
      <c r="F6" s="1478">
        <f t="shared" ref="F6:F7" si="24">F7*(1+Q6)</f>
        <v>279.46777300108801</v>
      </c>
      <c r="G6" s="2922"/>
      <c r="H6" s="1464">
        <v>3</v>
      </c>
      <c r="I6" s="1464">
        <v>2.98</v>
      </c>
      <c r="J6" s="1464">
        <v>2.11</v>
      </c>
      <c r="K6" s="1464">
        <v>3.24</v>
      </c>
      <c r="L6" s="1479">
        <v>1.72</v>
      </c>
      <c r="M6" s="1472"/>
      <c r="N6" s="1473">
        <f t="shared" si="8"/>
        <v>2.98E-2</v>
      </c>
      <c r="O6" s="1474">
        <f t="shared" ref="O6" si="25">J6/100</f>
        <v>2.1099999999999997E-2</v>
      </c>
      <c r="P6" s="1474">
        <f t="shared" ref="P6" si="26">K6/100</f>
        <v>3.2400000000000005E-2</v>
      </c>
      <c r="Q6" s="1474">
        <f t="shared" ref="Q6" si="27">L6/100</f>
        <v>1.72E-2</v>
      </c>
      <c r="R6" s="1475"/>
      <c r="S6" s="1473"/>
      <c r="T6" s="1474"/>
      <c r="U6" s="1474"/>
      <c r="V6" s="1474"/>
      <c r="W6" s="1791" t="s">
        <v>1162</v>
      </c>
      <c r="X6" s="1789">
        <f>ROUND(SUMPRODUCT(PRODUCT(1+N6:N$19)),4)</f>
        <v>1.4034</v>
      </c>
      <c r="Y6" s="1789">
        <f>ROUND(SUMPRODUCT(PRODUCT(1+O6:O$19)),4)</f>
        <v>1.2463</v>
      </c>
      <c r="Z6" s="1789">
        <f t="shared" si="0"/>
        <v>1.2463</v>
      </c>
      <c r="AA6" s="1789">
        <f>ROUND(SUMPRODUCT(PRODUCT(1+P6:P$19)),4)</f>
        <v>1.4577</v>
      </c>
      <c r="AB6" s="1789">
        <f>ROUND(SUMPRODUCT(PRODUCT(1+Q6:Q$19)),4)</f>
        <v>1.2136</v>
      </c>
      <c r="AC6" s="1791"/>
      <c r="AD6" s="1790">
        <f>ROUND(AVERAGE(I6:I$20)/100,4)</f>
        <v>2.4899999999999999E-2</v>
      </c>
      <c r="AE6" s="1790">
        <f>ROUND(AVERAGE(J6:J$20)/100,4)</f>
        <v>1.6400000000000001E-2</v>
      </c>
      <c r="AF6" s="1790">
        <f t="shared" si="1"/>
        <v>1.6400000000000001E-2</v>
      </c>
      <c r="AG6" s="1790">
        <f>ROUND(AVERAGE(K6:K$20)/100,4)</f>
        <v>2.7799999999999998E-2</v>
      </c>
      <c r="AH6" s="1790">
        <f>ROUND(AVERAGE(L6:L$20)/100,4)</f>
        <v>1.3899999999999999E-2</v>
      </c>
    </row>
    <row r="7" spans="1:34" s="1732" customFormat="1">
      <c r="A7" s="1461" t="s">
        <v>1387</v>
      </c>
      <c r="B7" s="1478">
        <f t="shared" si="20"/>
        <v>419.31181600000002</v>
      </c>
      <c r="C7" s="1478">
        <f t="shared" si="21"/>
        <v>313.95436800000004</v>
      </c>
      <c r="D7" s="1478">
        <f t="shared" si="22"/>
        <v>313.95436800000004</v>
      </c>
      <c r="E7" s="1478">
        <f t="shared" si="23"/>
        <v>596.63028431999999</v>
      </c>
      <c r="F7" s="1478">
        <f t="shared" si="24"/>
        <v>274.74220703999998</v>
      </c>
      <c r="G7" s="2921"/>
      <c r="H7" s="1465">
        <v>2</v>
      </c>
      <c r="I7" s="1465">
        <v>3.4</v>
      </c>
      <c r="J7" s="1465">
        <v>2</v>
      </c>
      <c r="K7" s="1465">
        <v>3.82</v>
      </c>
      <c r="L7" s="1480">
        <v>1.68</v>
      </c>
      <c r="M7" s="1472"/>
      <c r="N7" s="1473">
        <f t="shared" si="8"/>
        <v>3.4000000000000002E-2</v>
      </c>
      <c r="O7" s="1474">
        <f t="shared" ref="O7" si="28">J7/100</f>
        <v>0.02</v>
      </c>
      <c r="P7" s="1474">
        <f t="shared" ref="P7" si="29">K7/100</f>
        <v>3.8199999999999998E-2</v>
      </c>
      <c r="Q7" s="1474">
        <f t="shared" ref="Q7" si="30">L7/100</f>
        <v>1.6799999999999999E-2</v>
      </c>
      <c r="R7" s="1475"/>
      <c r="S7" s="1476"/>
      <c r="T7" s="1477"/>
      <c r="U7" s="1477"/>
      <c r="V7" s="1477"/>
      <c r="W7" s="1453"/>
      <c r="X7" s="1789">
        <f>ROUND(SUMPRODUCT(PRODUCT(1+N7:N$19)),4)</f>
        <v>1.3628</v>
      </c>
      <c r="Y7" s="1789">
        <f>ROUND(SUMPRODUCT(PRODUCT(1+O7:O$19)),4)</f>
        <v>1.2205999999999999</v>
      </c>
      <c r="Z7" s="1789">
        <f t="shared" si="0"/>
        <v>1.2205999999999999</v>
      </c>
      <c r="AA7" s="1789">
        <f>ROUND(SUMPRODUCT(PRODUCT(1+P7:P$19)),4)</f>
        <v>1.4118999999999999</v>
      </c>
      <c r="AB7" s="1789">
        <f>ROUND(SUMPRODUCT(PRODUCT(1+Q7:Q$19)),4)</f>
        <v>1.1930000000000001</v>
      </c>
      <c r="AC7" s="1453"/>
      <c r="AD7" s="1790">
        <f>ROUND(AVERAGE(I7:I$20)/100,4)</f>
        <v>2.46E-2</v>
      </c>
      <c r="AE7" s="1790">
        <f>ROUND(AVERAGE(J7:J$20)/100,4)</f>
        <v>1.6E-2</v>
      </c>
      <c r="AF7" s="1790">
        <f t="shared" si="1"/>
        <v>1.6E-2</v>
      </c>
      <c r="AG7" s="1790">
        <f>ROUND(AVERAGE(K7:K$20)/100,4)</f>
        <v>2.75E-2</v>
      </c>
      <c r="AH7" s="1790">
        <f>ROUND(AVERAGE(L7:L$20)/100,4)</f>
        <v>1.37E-2</v>
      </c>
    </row>
    <row r="8" spans="1:34" s="1466" customFormat="1" ht="13.5" thickBot="1">
      <c r="A8" s="1461" t="s">
        <v>1161</v>
      </c>
      <c r="B8" s="1478">
        <f>B9*(1+N8)</f>
        <v>405.524</v>
      </c>
      <c r="C8" s="1478">
        <f>C9*(1+O8)</f>
        <v>307.79840000000002</v>
      </c>
      <c r="D8" s="1478">
        <f>C8</f>
        <v>307.79840000000002</v>
      </c>
      <c r="E8" s="1478">
        <f>E9*(1+P8)</f>
        <v>574.67759999999998</v>
      </c>
      <c r="F8" s="1478">
        <f>F9*(1+Q8)</f>
        <v>270.20280000000002</v>
      </c>
      <c r="G8" s="2922"/>
      <c r="H8" s="1464">
        <v>1</v>
      </c>
      <c r="I8" s="1464">
        <v>3.45</v>
      </c>
      <c r="J8" s="1464">
        <v>1.92</v>
      </c>
      <c r="K8" s="1464">
        <v>3.92</v>
      </c>
      <c r="L8" s="1479">
        <v>1.58</v>
      </c>
      <c r="M8" s="1472"/>
      <c r="N8" s="1473">
        <f t="shared" si="8"/>
        <v>3.4500000000000003E-2</v>
      </c>
      <c r="O8" s="1474">
        <f t="shared" ref="O8:Q23" si="31">J8/100</f>
        <v>1.9199999999999998E-2</v>
      </c>
      <c r="P8" s="1474">
        <f t="shared" si="31"/>
        <v>3.9199999999999999E-2</v>
      </c>
      <c r="Q8" s="1474">
        <f t="shared" si="31"/>
        <v>1.5800000000000002E-2</v>
      </c>
      <c r="R8" s="1475"/>
      <c r="S8" s="1473">
        <f>B8/B9-1</f>
        <v>3.4499999999999975E-2</v>
      </c>
      <c r="T8" s="1474">
        <f t="shared" ref="T8:V8" si="32">C8/C9-1</f>
        <v>1.9200000000000106E-2</v>
      </c>
      <c r="U8" s="1474">
        <f t="shared" si="32"/>
        <v>1.9200000000000106E-2</v>
      </c>
      <c r="V8" s="1474">
        <f t="shared" si="32"/>
        <v>3.9199999999999902E-2</v>
      </c>
      <c r="W8" s="1791"/>
      <c r="X8" s="1789">
        <f>ROUND(SUMPRODUCT(PRODUCT(1+N8:N$19)),4)</f>
        <v>1.3180000000000001</v>
      </c>
      <c r="Y8" s="1789">
        <f>ROUND(SUMPRODUCT(PRODUCT(1+O8:O$19)),4)</f>
        <v>1.1966000000000001</v>
      </c>
      <c r="Z8" s="1789">
        <f t="shared" si="0"/>
        <v>1.1966000000000001</v>
      </c>
      <c r="AA8" s="1789">
        <f>ROUND(SUMPRODUCT(PRODUCT(1+P8:P$19)),4)</f>
        <v>1.36</v>
      </c>
      <c r="AB8" s="1789">
        <f>ROUND(SUMPRODUCT(PRODUCT(1+Q8:Q$19)),4)</f>
        <v>1.1733</v>
      </c>
      <c r="AC8" s="1791"/>
      <c r="AD8" s="1790">
        <f>ROUND(AVERAGE(I8:I$20)/100,4)</f>
        <v>2.3900000000000001E-2</v>
      </c>
      <c r="AE8" s="1790">
        <f>ROUND(AVERAGE(J8:J$20)/100,4)</f>
        <v>1.5699999999999999E-2</v>
      </c>
      <c r="AF8" s="1790">
        <f t="shared" si="1"/>
        <v>1.5699999999999999E-2</v>
      </c>
      <c r="AG8" s="1790">
        <f>ROUND(AVERAGE(K8:K$20)/100,4)</f>
        <v>2.6599999999999999E-2</v>
      </c>
      <c r="AH8" s="1790">
        <f>ROUND(AVERAGE(L8:L$20)/100,4)</f>
        <v>1.34E-2</v>
      </c>
    </row>
    <row r="9" spans="1:34">
      <c r="A9" s="1461" t="s">
        <v>154</v>
      </c>
      <c r="B9" s="1470">
        <v>392</v>
      </c>
      <c r="C9" s="1470">
        <v>302</v>
      </c>
      <c r="D9" s="1470">
        <f>C9</f>
        <v>302</v>
      </c>
      <c r="E9" s="1470">
        <v>553</v>
      </c>
      <c r="F9" s="1471">
        <v>266</v>
      </c>
      <c r="G9" s="3263">
        <v>2016</v>
      </c>
      <c r="H9" s="1462">
        <v>4</v>
      </c>
      <c r="I9" s="1462">
        <v>4.5599999999999996</v>
      </c>
      <c r="J9" s="1462">
        <v>2.15</v>
      </c>
      <c r="K9" s="1462">
        <v>5.32</v>
      </c>
      <c r="L9" s="1463">
        <v>1.57</v>
      </c>
      <c r="N9" s="1473">
        <f t="shared" si="8"/>
        <v>4.5599999999999995E-2</v>
      </c>
      <c r="O9" s="1474">
        <f t="shared" si="31"/>
        <v>2.1499999999999998E-2</v>
      </c>
      <c r="P9" s="1474">
        <f t="shared" si="31"/>
        <v>5.3200000000000004E-2</v>
      </c>
      <c r="Q9" s="1474">
        <f t="shared" si="31"/>
        <v>1.5700000000000002E-2</v>
      </c>
      <c r="R9" s="1475"/>
      <c r="S9" s="1476"/>
      <c r="T9" s="1477"/>
      <c r="U9" s="1477"/>
      <c r="V9" s="1477"/>
      <c r="X9" s="1459">
        <f>ROUND(SUMPRODUCT(PRODUCT(1+N9:N$19)),4)</f>
        <v>1.274</v>
      </c>
      <c r="Y9" s="1459">
        <f>ROUND(SUMPRODUCT(PRODUCT(1+O9:O$19)),4)</f>
        <v>1.1740999999999999</v>
      </c>
      <c r="Z9" s="1459">
        <f t="shared" si="0"/>
        <v>1.1740999999999999</v>
      </c>
      <c r="AA9" s="1459">
        <f>ROUND(SUMPRODUCT(PRODUCT(1+P9:P$19)),4)</f>
        <v>1.3087</v>
      </c>
      <c r="AB9" s="1459">
        <f>ROUND(SUMPRODUCT(PRODUCT(1+Q9:Q$19)),4)</f>
        <v>1.1551</v>
      </c>
      <c r="AD9" s="1460">
        <f>ROUND(AVERAGE(I9:I$20)/100,4)</f>
        <v>2.3E-2</v>
      </c>
      <c r="AE9" s="1460">
        <f>ROUND(AVERAGE(J9:J$20)/100,4)</f>
        <v>1.55E-2</v>
      </c>
      <c r="AF9" s="1460">
        <f t="shared" si="1"/>
        <v>1.55E-2</v>
      </c>
      <c r="AG9" s="1460">
        <f>ROUND(AVERAGE(K9:K$20)/100,4)</f>
        <v>2.5600000000000001E-2</v>
      </c>
      <c r="AH9" s="1460">
        <f>ROUND(AVERAGE(L9:L$20)/100,4)</f>
        <v>1.32E-2</v>
      </c>
    </row>
    <row r="10" spans="1:34">
      <c r="A10" s="1461" t="s">
        <v>153</v>
      </c>
      <c r="B10" s="1478">
        <f t="shared" ref="B10:C12" si="33">B9/(1+N9)</f>
        <v>374.90436113236416</v>
      </c>
      <c r="C10" s="1478">
        <f t="shared" si="33"/>
        <v>295.64366128242779</v>
      </c>
      <c r="D10" s="1478">
        <f t="shared" ref="D10:D69" si="34">C10</f>
        <v>295.64366128242779</v>
      </c>
      <c r="E10" s="1478">
        <f t="shared" ref="E10:F12" si="35">E9/(1+P9)</f>
        <v>525.06646410938095</v>
      </c>
      <c r="F10" s="1478">
        <f t="shared" si="35"/>
        <v>261.88835286009646</v>
      </c>
      <c r="G10" s="3258"/>
      <c r="H10" s="1464">
        <v>3</v>
      </c>
      <c r="I10" s="1464">
        <v>4.12</v>
      </c>
      <c r="J10" s="1464">
        <v>2</v>
      </c>
      <c r="K10" s="1464">
        <v>4.79</v>
      </c>
      <c r="L10" s="1479">
        <v>1.97</v>
      </c>
      <c r="N10" s="1473">
        <f t="shared" ref="N10:Q44" si="36">I10/100</f>
        <v>4.1200000000000001E-2</v>
      </c>
      <c r="O10" s="1474">
        <f t="shared" si="31"/>
        <v>0.02</v>
      </c>
      <c r="P10" s="1474">
        <f t="shared" si="31"/>
        <v>4.7899999999999998E-2</v>
      </c>
      <c r="Q10" s="1474">
        <f t="shared" si="31"/>
        <v>1.9699999999999999E-2</v>
      </c>
      <c r="R10" s="1475"/>
      <c r="S10" s="1473"/>
      <c r="T10" s="1474"/>
      <c r="U10" s="1474"/>
      <c r="V10" s="1474"/>
      <c r="X10" s="1459">
        <f>ROUND(SUMPRODUCT(PRODUCT(1+N10:N$19)),4)</f>
        <v>1.2184999999999999</v>
      </c>
      <c r="Y10" s="1459">
        <f>ROUND(SUMPRODUCT(PRODUCT(1+O10:O$19)),4)</f>
        <v>1.1494</v>
      </c>
      <c r="Z10" s="1459">
        <f t="shared" si="0"/>
        <v>1.1494</v>
      </c>
      <c r="AA10" s="1459">
        <f>ROUND(SUMPRODUCT(PRODUCT(1+P10:P$19)),4)</f>
        <v>1.2425999999999999</v>
      </c>
      <c r="AB10" s="1459">
        <f>ROUND(SUMPRODUCT(PRODUCT(1+Q10:Q$19)),4)</f>
        <v>1.1372</v>
      </c>
      <c r="AD10" s="1460">
        <f>ROUND(AVERAGE(I10:I$20)/100,4)</f>
        <v>2.0899999999999998E-2</v>
      </c>
      <c r="AE10" s="1460">
        <f>ROUND(AVERAGE(J10:J$20)/100,4)</f>
        <v>1.49E-2</v>
      </c>
      <c r="AF10" s="1460">
        <f t="shared" si="1"/>
        <v>1.49E-2</v>
      </c>
      <c r="AG10" s="1460">
        <f>ROUND(AVERAGE(K10:K$20)/100,4)</f>
        <v>2.3099999999999999E-2</v>
      </c>
      <c r="AH10" s="1460">
        <f>ROUND(AVERAGE(L10:L$20)/100,4)</f>
        <v>1.2999999999999999E-2</v>
      </c>
    </row>
    <row r="11" spans="1:34">
      <c r="A11" s="1461" t="s">
        <v>143</v>
      </c>
      <c r="B11" s="1478">
        <f t="shared" si="33"/>
        <v>360.06949782209392</v>
      </c>
      <c r="C11" s="1478">
        <f t="shared" si="33"/>
        <v>289.84672674747821</v>
      </c>
      <c r="D11" s="1478">
        <f t="shared" si="34"/>
        <v>289.84672674747821</v>
      </c>
      <c r="E11" s="1478">
        <f t="shared" si="35"/>
        <v>501.06543001181495</v>
      </c>
      <c r="F11" s="1478">
        <f t="shared" si="35"/>
        <v>256.82882500744967</v>
      </c>
      <c r="G11" s="3258"/>
      <c r="H11" s="1465">
        <v>2</v>
      </c>
      <c r="I11" s="1465">
        <v>3.85</v>
      </c>
      <c r="J11" s="1465">
        <v>1.95</v>
      </c>
      <c r="K11" s="1465">
        <v>4.4800000000000004</v>
      </c>
      <c r="L11" s="1480">
        <v>1.41</v>
      </c>
      <c r="N11" s="1473">
        <f t="shared" si="36"/>
        <v>3.85E-2</v>
      </c>
      <c r="O11" s="1474">
        <f t="shared" si="31"/>
        <v>1.95E-2</v>
      </c>
      <c r="P11" s="1474">
        <f t="shared" si="31"/>
        <v>4.4800000000000006E-2</v>
      </c>
      <c r="Q11" s="1474">
        <f t="shared" si="31"/>
        <v>1.41E-2</v>
      </c>
      <c r="R11" s="1475"/>
      <c r="S11" s="1473"/>
      <c r="T11" s="1474"/>
      <c r="U11" s="1474"/>
      <c r="V11" s="1474"/>
      <c r="X11" s="1459">
        <f>ROUND(SUMPRODUCT(PRODUCT(1+N11:N$19)),4)</f>
        <v>1.1702999999999999</v>
      </c>
      <c r="Y11" s="1459">
        <f>ROUND(SUMPRODUCT(PRODUCT(1+O11:O$19)),4)</f>
        <v>1.1269</v>
      </c>
      <c r="Z11" s="1459">
        <f t="shared" si="0"/>
        <v>1.1269</v>
      </c>
      <c r="AA11" s="1459">
        <f>ROUND(SUMPRODUCT(PRODUCT(1+P11:P$19)),4)</f>
        <v>1.1858</v>
      </c>
      <c r="AB11" s="1459">
        <f>ROUND(SUMPRODUCT(PRODUCT(1+Q11:Q$19)),4)</f>
        <v>1.1152</v>
      </c>
      <c r="AD11" s="1460">
        <f>ROUND(AVERAGE(I11:I$20)/100,4)</f>
        <v>1.89E-2</v>
      </c>
      <c r="AE11" s="1460">
        <f>ROUND(AVERAGE(J11:J$20)/100,4)</f>
        <v>1.44E-2</v>
      </c>
      <c r="AF11" s="1460">
        <f t="shared" si="1"/>
        <v>1.44E-2</v>
      </c>
      <c r="AG11" s="1460">
        <f>ROUND(AVERAGE(K11:K$20)/100,4)</f>
        <v>2.06E-2</v>
      </c>
      <c r="AH11" s="1460">
        <f>ROUND(AVERAGE(L11:L$20)/100,4)</f>
        <v>1.23E-2</v>
      </c>
    </row>
    <row r="12" spans="1:34" ht="13.5" thickBot="1">
      <c r="A12" s="1461" t="s">
        <v>152</v>
      </c>
      <c r="B12" s="1478">
        <f t="shared" si="33"/>
        <v>346.720748986128</v>
      </c>
      <c r="C12" s="1478">
        <f t="shared" si="33"/>
        <v>284.30282172386285</v>
      </c>
      <c r="D12" s="1478">
        <f t="shared" si="34"/>
        <v>284.30282172386285</v>
      </c>
      <c r="E12" s="1478">
        <f t="shared" si="35"/>
        <v>479.58023546306947</v>
      </c>
      <c r="F12" s="1478">
        <f t="shared" si="35"/>
        <v>253.25788877571213</v>
      </c>
      <c r="G12" s="3259"/>
      <c r="H12" s="1464">
        <v>1</v>
      </c>
      <c r="I12" s="1464">
        <v>4.09</v>
      </c>
      <c r="J12" s="1464">
        <v>2.93</v>
      </c>
      <c r="K12" s="1464">
        <v>4.54</v>
      </c>
      <c r="L12" s="1479">
        <v>1.48</v>
      </c>
      <c r="N12" s="1473">
        <f t="shared" si="36"/>
        <v>4.0899999999999999E-2</v>
      </c>
      <c r="O12" s="1474">
        <f t="shared" si="31"/>
        <v>2.9300000000000003E-2</v>
      </c>
      <c r="P12" s="1474">
        <f t="shared" si="31"/>
        <v>4.5400000000000003E-2</v>
      </c>
      <c r="Q12" s="1474">
        <f t="shared" si="31"/>
        <v>1.4800000000000001E-2</v>
      </c>
      <c r="R12" s="1475"/>
      <c r="S12" s="1481">
        <f>B12/B13-1</f>
        <v>4.1203450408792808E-2</v>
      </c>
      <c r="T12" s="1482">
        <f>C12/C13-1</f>
        <v>2.6363977342465095E-2</v>
      </c>
      <c r="U12" s="1482">
        <f>E12/E13-1</f>
        <v>4.4837114298626357E-2</v>
      </c>
      <c r="V12" s="1482">
        <f>F12/F13-1</f>
        <v>1.7099954922538574E-2</v>
      </c>
      <c r="X12" s="1459">
        <f>ROUND(SUMPRODUCT(PRODUCT(1+N12:N$19)),4)</f>
        <v>1.1269</v>
      </c>
      <c r="Y12" s="1459">
        <f>ROUND(SUMPRODUCT(PRODUCT(1+O12:O$19)),4)</f>
        <v>1.1052999999999999</v>
      </c>
      <c r="Z12" s="1459">
        <f t="shared" si="0"/>
        <v>1.1052999999999999</v>
      </c>
      <c r="AA12" s="1459">
        <f>ROUND(SUMPRODUCT(PRODUCT(1+P12:P$19)),4)</f>
        <v>1.1349</v>
      </c>
      <c r="AB12" s="1459">
        <f>ROUND(SUMPRODUCT(PRODUCT(1+Q12:Q$19)),4)</f>
        <v>1.0996999999999999</v>
      </c>
      <c r="AD12" s="1460">
        <f>ROUND(AVERAGE(I12:I$20)/100,4)</f>
        <v>1.67E-2</v>
      </c>
      <c r="AE12" s="1460">
        <f>ROUND(AVERAGE(J12:J$20)/100,4)</f>
        <v>1.38E-2</v>
      </c>
      <c r="AF12" s="1460">
        <f t="shared" si="1"/>
        <v>1.38E-2</v>
      </c>
      <c r="AG12" s="1460">
        <f>ROUND(AVERAGE(K12:K$20)/100,4)</f>
        <v>1.7899999999999999E-2</v>
      </c>
      <c r="AH12" s="1460">
        <f>ROUND(AVERAGE(L12:L$20)/100,4)</f>
        <v>1.21E-2</v>
      </c>
    </row>
    <row r="13" spans="1:34" ht="13.5" thickBot="1">
      <c r="A13" s="1461" t="s">
        <v>151</v>
      </c>
      <c r="B13" s="1470">
        <v>333</v>
      </c>
      <c r="C13" s="1470">
        <v>277</v>
      </c>
      <c r="D13" s="1470">
        <f t="shared" si="34"/>
        <v>277</v>
      </c>
      <c r="E13" s="1470">
        <v>459</v>
      </c>
      <c r="F13" s="1471">
        <v>249</v>
      </c>
      <c r="G13" s="3257">
        <v>2015</v>
      </c>
      <c r="H13" s="1483">
        <v>4</v>
      </c>
      <c r="I13" s="1483">
        <v>1.63</v>
      </c>
      <c r="J13" s="1483">
        <v>1.1100000000000001</v>
      </c>
      <c r="K13" s="1483">
        <v>1.77</v>
      </c>
      <c r="L13" s="1484">
        <v>1.89</v>
      </c>
      <c r="N13" s="1485">
        <f t="shared" si="36"/>
        <v>1.6299999999999999E-2</v>
      </c>
      <c r="O13" s="1486">
        <f t="shared" si="31"/>
        <v>1.11E-2</v>
      </c>
      <c r="P13" s="1486">
        <f t="shared" si="31"/>
        <v>1.77E-2</v>
      </c>
      <c r="Q13" s="1486">
        <f t="shared" si="31"/>
        <v>1.89E-2</v>
      </c>
      <c r="R13" s="1475"/>
      <c r="X13" s="1459">
        <f>ROUND(SUMPRODUCT(PRODUCT(1+N13:N$19)),4)</f>
        <v>1.0826</v>
      </c>
      <c r="Y13" s="1459">
        <f>ROUND(SUMPRODUCT(PRODUCT(1+O13:O$19)),4)</f>
        <v>1.0738000000000001</v>
      </c>
      <c r="Z13" s="1459">
        <f t="shared" si="0"/>
        <v>1.0738000000000001</v>
      </c>
      <c r="AA13" s="1459">
        <f>ROUND(SUMPRODUCT(PRODUCT(1+P13:P$19)),4)</f>
        <v>1.0855999999999999</v>
      </c>
      <c r="AB13" s="1459">
        <f>ROUND(SUMPRODUCT(PRODUCT(1+Q13:Q$19)),4)</f>
        <v>1.0837000000000001</v>
      </c>
      <c r="AD13" s="1460">
        <f>ROUND(AVERAGE(I13:I$20)/100,4)</f>
        <v>1.37E-2</v>
      </c>
      <c r="AE13" s="1460">
        <f>ROUND(AVERAGE(J13:J$20)/100,4)</f>
        <v>1.1900000000000001E-2</v>
      </c>
      <c r="AF13" s="1460">
        <f t="shared" si="1"/>
        <v>1.1900000000000001E-2</v>
      </c>
      <c r="AG13" s="1460">
        <f>ROUND(AVERAGE(K13:K$20)/100,4)</f>
        <v>1.4500000000000001E-2</v>
      </c>
      <c r="AH13" s="1460">
        <f>ROUND(AVERAGE(L13:L$20)/100,4)</f>
        <v>1.18E-2</v>
      </c>
    </row>
    <row r="14" spans="1:34">
      <c r="A14" s="1461" t="s">
        <v>150</v>
      </c>
      <c r="B14" s="1478">
        <f t="shared" ref="B14:C16" si="37">B13/(1+N13)</f>
        <v>327.65915576109415</v>
      </c>
      <c r="C14" s="1478">
        <f t="shared" si="37"/>
        <v>273.95905449510434</v>
      </c>
      <c r="D14" s="1478">
        <f t="shared" si="34"/>
        <v>273.95905449510434</v>
      </c>
      <c r="E14" s="1478">
        <f t="shared" ref="E14:F16" si="38">E13/(1+P13)</f>
        <v>451.01699911565294</v>
      </c>
      <c r="F14" s="1478">
        <f t="shared" si="38"/>
        <v>244.38119540681129</v>
      </c>
      <c r="G14" s="3258"/>
      <c r="H14" s="1488">
        <v>3</v>
      </c>
      <c r="I14" s="1488">
        <v>1.65</v>
      </c>
      <c r="J14" s="1488">
        <v>0.92</v>
      </c>
      <c r="K14" s="1488">
        <v>1.88</v>
      </c>
      <c r="L14" s="1489">
        <v>1.26</v>
      </c>
      <c r="N14" s="1473">
        <f t="shared" si="36"/>
        <v>1.6500000000000001E-2</v>
      </c>
      <c r="O14" s="1490">
        <f t="shared" si="31"/>
        <v>9.1999999999999998E-3</v>
      </c>
      <c r="P14" s="1490">
        <f t="shared" si="31"/>
        <v>1.8799999999999997E-2</v>
      </c>
      <c r="Q14" s="1490">
        <f t="shared" si="31"/>
        <v>1.26E-2</v>
      </c>
      <c r="R14" s="1475"/>
      <c r="S14" s="1473"/>
      <c r="T14" s="1474"/>
      <c r="U14" s="1474"/>
      <c r="V14" s="1474"/>
      <c r="X14" s="1459">
        <f>ROUND(SUMPRODUCT(PRODUCT(1+N14:N$19)),4)</f>
        <v>1.0651999999999999</v>
      </c>
      <c r="Y14" s="1459">
        <f>ROUND(SUMPRODUCT(PRODUCT(1+O14:O$19)),4)</f>
        <v>1.0621</v>
      </c>
      <c r="Z14" s="1459">
        <f t="shared" si="0"/>
        <v>1.0621</v>
      </c>
      <c r="AA14" s="1459">
        <f>ROUND(SUMPRODUCT(PRODUCT(1+P14:P$19)),4)</f>
        <v>1.0668</v>
      </c>
      <c r="AB14" s="1459">
        <f>ROUND(SUMPRODUCT(PRODUCT(1+Q14:Q$19)),4)</f>
        <v>1.0636000000000001</v>
      </c>
      <c r="AD14" s="1460">
        <f>ROUND(AVERAGE(I14:I$20)/100,4)</f>
        <v>1.3299999999999999E-2</v>
      </c>
      <c r="AE14" s="1460">
        <f>ROUND(AVERAGE(J14:J$20)/100,4)</f>
        <v>1.2E-2</v>
      </c>
      <c r="AF14" s="1460">
        <f t="shared" si="1"/>
        <v>1.2E-2</v>
      </c>
      <c r="AG14" s="1460">
        <f>ROUND(AVERAGE(K14:K$20)/100,4)</f>
        <v>1.4E-2</v>
      </c>
      <c r="AH14" s="1460">
        <f>ROUND(AVERAGE(L14:L$20)/100,4)</f>
        <v>1.0800000000000001E-2</v>
      </c>
    </row>
    <row r="15" spans="1:34">
      <c r="A15" s="1461" t="s">
        <v>149</v>
      </c>
      <c r="B15" s="1478">
        <f t="shared" si="37"/>
        <v>322.34053690220776</v>
      </c>
      <c r="C15" s="1478">
        <f t="shared" si="37"/>
        <v>271.46160770422546</v>
      </c>
      <c r="D15" s="1478">
        <f t="shared" si="34"/>
        <v>271.46160770422546</v>
      </c>
      <c r="E15" s="1478">
        <f t="shared" si="38"/>
        <v>442.69434542172456</v>
      </c>
      <c r="F15" s="1478">
        <f t="shared" si="38"/>
        <v>241.34030753190925</v>
      </c>
      <c r="G15" s="3258"/>
      <c r="H15" s="1465">
        <v>2</v>
      </c>
      <c r="I15" s="1465">
        <v>0.77</v>
      </c>
      <c r="J15" s="1465">
        <v>0.69</v>
      </c>
      <c r="K15" s="1465">
        <v>0.8</v>
      </c>
      <c r="L15" s="1480">
        <v>0.88</v>
      </c>
      <c r="N15" s="1473">
        <f t="shared" si="36"/>
        <v>7.7000000000000002E-3</v>
      </c>
      <c r="O15" s="1490">
        <f t="shared" si="31"/>
        <v>6.8999999999999999E-3</v>
      </c>
      <c r="P15" s="1490">
        <f t="shared" si="31"/>
        <v>8.0000000000000002E-3</v>
      </c>
      <c r="Q15" s="1490">
        <f t="shared" si="31"/>
        <v>8.8000000000000005E-3</v>
      </c>
      <c r="R15" s="1475"/>
      <c r="S15" s="1473"/>
      <c r="T15" s="1474"/>
      <c r="U15" s="1474"/>
      <c r="V15" s="1474"/>
      <c r="X15" s="1459">
        <f>ROUND(SUMPRODUCT(PRODUCT(1+N15:N$19)),4)</f>
        <v>1.048</v>
      </c>
      <c r="Y15" s="1459">
        <f>ROUND(SUMPRODUCT(PRODUCT(1+O15:O$19)),4)</f>
        <v>1.0524</v>
      </c>
      <c r="Z15" s="1459">
        <f t="shared" si="0"/>
        <v>1.0524</v>
      </c>
      <c r="AA15" s="1459">
        <f>ROUND(SUMPRODUCT(PRODUCT(1+P15:P$19)),4)</f>
        <v>1.0470999999999999</v>
      </c>
      <c r="AB15" s="1459">
        <f>ROUND(SUMPRODUCT(PRODUCT(1+Q15:Q$19)),4)</f>
        <v>1.0504</v>
      </c>
      <c r="AD15" s="1460">
        <f>ROUND(AVERAGE(I15:I$20)/100,4)</f>
        <v>1.2800000000000001E-2</v>
      </c>
      <c r="AE15" s="1460">
        <f>ROUND(AVERAGE(J15:J$20)/100,4)</f>
        <v>1.2500000000000001E-2</v>
      </c>
      <c r="AF15" s="1460">
        <f t="shared" si="1"/>
        <v>1.2500000000000001E-2</v>
      </c>
      <c r="AG15" s="1460">
        <f>ROUND(AVERAGE(K15:K$20)/100,4)</f>
        <v>1.32E-2</v>
      </c>
      <c r="AH15" s="1460">
        <f>ROUND(AVERAGE(L15:L$20)/100,4)</f>
        <v>1.0500000000000001E-2</v>
      </c>
    </row>
    <row r="16" spans="1:34">
      <c r="A16" s="1461" t="s">
        <v>148</v>
      </c>
      <c r="B16" s="1478">
        <f t="shared" si="37"/>
        <v>319.87748030386797</v>
      </c>
      <c r="C16" s="1478">
        <f t="shared" si="37"/>
        <v>269.60135833173649</v>
      </c>
      <c r="D16" s="1478">
        <f t="shared" si="34"/>
        <v>269.60135833173649</v>
      </c>
      <c r="E16" s="1478">
        <f t="shared" si="38"/>
        <v>439.18089823583784</v>
      </c>
      <c r="F16" s="1478">
        <f t="shared" si="38"/>
        <v>239.23503918706311</v>
      </c>
      <c r="G16" s="3259"/>
      <c r="H16" s="1464">
        <v>1</v>
      </c>
      <c r="I16" s="1464">
        <v>0.51</v>
      </c>
      <c r="J16" s="1464">
        <v>0.54</v>
      </c>
      <c r="K16" s="1464">
        <v>0.48</v>
      </c>
      <c r="L16" s="1479">
        <v>0.93</v>
      </c>
      <c r="N16" s="1481">
        <f t="shared" si="36"/>
        <v>5.1000000000000004E-3</v>
      </c>
      <c r="O16" s="1482">
        <f t="shared" si="31"/>
        <v>5.4000000000000003E-3</v>
      </c>
      <c r="P16" s="1482">
        <f t="shared" si="31"/>
        <v>4.7999999999999996E-3</v>
      </c>
      <c r="Q16" s="1482">
        <f t="shared" si="31"/>
        <v>9.300000000000001E-3</v>
      </c>
      <c r="R16" s="1475"/>
      <c r="S16" s="1481">
        <f>B16/B17-1</f>
        <v>5.9040261127922822E-3</v>
      </c>
      <c r="T16" s="1482">
        <f>C16/C17-1</f>
        <v>5.9752176557332781E-3</v>
      </c>
      <c r="U16" s="1482">
        <f>E16/E17-1</f>
        <v>4.9906138119859556E-3</v>
      </c>
      <c r="V16" s="1482">
        <f>F16/F17-1</f>
        <v>9.4305450930933787E-3</v>
      </c>
      <c r="X16" s="1459">
        <f>ROUND(SUMPRODUCT(PRODUCT(1+N16:N$19)),4)</f>
        <v>1.0399</v>
      </c>
      <c r="Y16" s="1459">
        <f>ROUND(SUMPRODUCT(PRODUCT(1+O16:O$19)),4)</f>
        <v>1.0451999999999999</v>
      </c>
      <c r="Z16" s="1459">
        <f t="shared" si="0"/>
        <v>1.0451999999999999</v>
      </c>
      <c r="AA16" s="1459">
        <f>ROUND(SUMPRODUCT(PRODUCT(1+P16:P$19)),4)</f>
        <v>1.0387999999999999</v>
      </c>
      <c r="AB16" s="1459">
        <f>ROUND(SUMPRODUCT(PRODUCT(1+Q16:Q$19)),4)</f>
        <v>1.0411999999999999</v>
      </c>
      <c r="AD16" s="1460">
        <f>ROUND(AVERAGE(I16:I$20)/100,4)</f>
        <v>1.38E-2</v>
      </c>
      <c r="AE16" s="1460">
        <f>ROUND(AVERAGE(J16:J$20)/100,4)</f>
        <v>1.3599999999999999E-2</v>
      </c>
      <c r="AF16" s="1460">
        <f t="shared" si="1"/>
        <v>1.3599999999999999E-2</v>
      </c>
      <c r="AG16" s="1460">
        <f>ROUND(AVERAGE(K16:K$20)/100,4)</f>
        <v>1.4200000000000001E-2</v>
      </c>
      <c r="AH16" s="1460">
        <f>ROUND(AVERAGE(L16:L$20)/100,4)</f>
        <v>1.0800000000000001E-2</v>
      </c>
    </row>
    <row r="17" spans="1:34" ht="13.5" thickBot="1">
      <c r="A17" s="1461" t="s">
        <v>147</v>
      </c>
      <c r="B17" s="1491">
        <v>318</v>
      </c>
      <c r="C17" s="1491">
        <v>268</v>
      </c>
      <c r="D17" s="1491">
        <f t="shared" si="34"/>
        <v>268</v>
      </c>
      <c r="E17" s="1491">
        <v>437</v>
      </c>
      <c r="F17" s="1492">
        <v>237</v>
      </c>
      <c r="G17" s="3257">
        <v>2014</v>
      </c>
      <c r="H17" s="1483">
        <v>4</v>
      </c>
      <c r="I17" s="1483">
        <v>0.21</v>
      </c>
      <c r="J17" s="1483">
        <v>0.41</v>
      </c>
      <c r="K17" s="1483">
        <v>0.12</v>
      </c>
      <c r="L17" s="1484">
        <v>0.89</v>
      </c>
      <c r="N17" s="1473">
        <f t="shared" si="36"/>
        <v>2.0999999999999999E-3</v>
      </c>
      <c r="O17" s="1474">
        <f t="shared" si="31"/>
        <v>4.0999999999999995E-3</v>
      </c>
      <c r="P17" s="1474">
        <f t="shared" si="31"/>
        <v>1.1999999999999999E-3</v>
      </c>
      <c r="Q17" s="1474">
        <f t="shared" si="31"/>
        <v>8.8999999999999999E-3</v>
      </c>
      <c r="R17" s="1475"/>
      <c r="S17" s="1476"/>
      <c r="T17" s="1477"/>
      <c r="U17" s="1477"/>
      <c r="V17" s="1477"/>
      <c r="X17" s="1459">
        <f>ROUND(SUMPRODUCT(PRODUCT(1+N17:N$19)),4)</f>
        <v>1.0347</v>
      </c>
      <c r="Y17" s="1459">
        <f>ROUND(SUMPRODUCT(PRODUCT(1+O17:O$19)),4)</f>
        <v>1.0395000000000001</v>
      </c>
      <c r="Z17" s="1459">
        <f t="shared" si="0"/>
        <v>1.0395000000000001</v>
      </c>
      <c r="AA17" s="1459">
        <f>ROUND(SUMPRODUCT(PRODUCT(1+P17:P$19)),4)</f>
        <v>1.0338000000000001</v>
      </c>
      <c r="AB17" s="1459">
        <f>ROUND(SUMPRODUCT(PRODUCT(1+Q17:Q$19)),4)</f>
        <v>1.0316000000000001</v>
      </c>
      <c r="AD17" s="1460">
        <f>ROUND(AVERAGE(I17:I$20)/100,4)</f>
        <v>1.6E-2</v>
      </c>
      <c r="AE17" s="1460">
        <f>ROUND(AVERAGE(J17:J$20)/100,4)</f>
        <v>1.5599999999999999E-2</v>
      </c>
      <c r="AF17" s="1460">
        <f t="shared" si="1"/>
        <v>1.5599999999999999E-2</v>
      </c>
      <c r="AG17" s="1460">
        <f>ROUND(AVERAGE(K17:K$20)/100,4)</f>
        <v>1.66E-2</v>
      </c>
      <c r="AH17" s="1460">
        <f>ROUND(AVERAGE(L17:L$20)/100,4)</f>
        <v>1.12E-2</v>
      </c>
    </row>
    <row r="18" spans="1:34">
      <c r="A18" s="1461" t="s">
        <v>146</v>
      </c>
      <c r="B18" s="1478">
        <f t="shared" ref="B18:C20" si="39">B17/(1+N17)</f>
        <v>317.33359944117353</v>
      </c>
      <c r="C18" s="1478">
        <f t="shared" si="39"/>
        <v>266.90568668459315</v>
      </c>
      <c r="D18" s="1478">
        <f t="shared" si="34"/>
        <v>266.90568668459315</v>
      </c>
      <c r="E18" s="1478">
        <f t="shared" ref="E18:F20" si="40">E17/(1+P17)</f>
        <v>436.47622852576905</v>
      </c>
      <c r="F18" s="1478">
        <f t="shared" si="40"/>
        <v>234.90930716622066</v>
      </c>
      <c r="G18" s="3258"/>
      <c r="H18" s="1493">
        <v>3</v>
      </c>
      <c r="I18" s="1493">
        <v>0.83</v>
      </c>
      <c r="J18" s="1493">
        <v>1.47</v>
      </c>
      <c r="K18" s="1493">
        <v>0.65</v>
      </c>
      <c r="L18" s="1494">
        <v>0.72</v>
      </c>
      <c r="N18" s="1473">
        <f t="shared" si="36"/>
        <v>8.3000000000000001E-3</v>
      </c>
      <c r="O18" s="1474">
        <f t="shared" si="31"/>
        <v>1.47E-2</v>
      </c>
      <c r="P18" s="1474">
        <f t="shared" si="31"/>
        <v>6.5000000000000006E-3</v>
      </c>
      <c r="Q18" s="1474">
        <f t="shared" si="31"/>
        <v>7.1999999999999998E-3</v>
      </c>
      <c r="R18" s="1475"/>
      <c r="S18" s="1473"/>
      <c r="T18" s="1474"/>
      <c r="U18" s="1474"/>
      <c r="V18" s="1474"/>
      <c r="X18" s="1459">
        <f>ROUND(SUMPRODUCT(PRODUCT(1+N18:N$19)),4)</f>
        <v>1.0325</v>
      </c>
      <c r="Y18" s="1459">
        <f>ROUND(SUMPRODUCT(PRODUCT(1+O18:O$19)),4)</f>
        <v>1.0353000000000001</v>
      </c>
      <c r="Z18" s="1459">
        <f t="shared" ref="Z18:Z19" si="41">Y18</f>
        <v>1.0353000000000001</v>
      </c>
      <c r="AA18" s="1459">
        <f>ROUND(SUMPRODUCT(PRODUCT(1+P18:P$19)),4)</f>
        <v>1.0326</v>
      </c>
      <c r="AB18" s="1459">
        <f>ROUND(SUMPRODUCT(PRODUCT(1+Q18:Q$19)),4)</f>
        <v>1.0225</v>
      </c>
      <c r="AD18" s="1460">
        <f>ROUND(AVERAGE(I18:I$20)/100,4)</f>
        <v>2.07E-2</v>
      </c>
      <c r="AE18" s="1460">
        <f>ROUND(AVERAGE(J18:J$20)/100,4)</f>
        <v>1.95E-2</v>
      </c>
      <c r="AF18" s="1460">
        <f t="shared" si="1"/>
        <v>1.95E-2</v>
      </c>
      <c r="AG18" s="1460">
        <f>ROUND(AVERAGE(K18:K$20)/100,4)</f>
        <v>2.1700000000000001E-2</v>
      </c>
      <c r="AH18" s="1460">
        <f>ROUND(AVERAGE(L18:L$20)/100,4)</f>
        <v>1.2E-2</v>
      </c>
    </row>
    <row r="19" spans="1:34" ht="13.5" thickBot="1">
      <c r="A19" s="1461" t="s">
        <v>145</v>
      </c>
      <c r="B19" s="1478">
        <f t="shared" si="39"/>
        <v>314.72141172386546</v>
      </c>
      <c r="C19" s="1478">
        <f t="shared" si="39"/>
        <v>263.03901319069001</v>
      </c>
      <c r="D19" s="1478">
        <f t="shared" si="34"/>
        <v>263.03901319069001</v>
      </c>
      <c r="E19" s="1478">
        <f t="shared" si="40"/>
        <v>433.65745506782821</v>
      </c>
      <c r="F19" s="1478">
        <f t="shared" si="40"/>
        <v>233.23005080045735</v>
      </c>
      <c r="G19" s="3258"/>
      <c r="H19" s="1483">
        <v>2</v>
      </c>
      <c r="I19" s="1483">
        <v>2.4</v>
      </c>
      <c r="J19" s="1483">
        <v>2.0299999999999998</v>
      </c>
      <c r="K19" s="1483">
        <v>2.59</v>
      </c>
      <c r="L19" s="1484">
        <v>1.52</v>
      </c>
      <c r="N19" s="1473">
        <f t="shared" si="36"/>
        <v>2.4E-2</v>
      </c>
      <c r="O19" s="1474">
        <f t="shared" si="31"/>
        <v>2.0299999999999999E-2</v>
      </c>
      <c r="P19" s="1474">
        <f t="shared" si="31"/>
        <v>2.5899999999999999E-2</v>
      </c>
      <c r="Q19" s="1474">
        <f t="shared" si="31"/>
        <v>1.52E-2</v>
      </c>
      <c r="R19" s="1475"/>
      <c r="S19" s="1473"/>
      <c r="T19" s="1474"/>
      <c r="U19" s="1474"/>
      <c r="V19" s="1474"/>
      <c r="X19" s="1459">
        <f>1+N19</f>
        <v>1.024</v>
      </c>
      <c r="Y19" s="1459">
        <f>1+O19</f>
        <v>1.0203</v>
      </c>
      <c r="Z19" s="1459">
        <f t="shared" si="41"/>
        <v>1.0203</v>
      </c>
      <c r="AA19" s="1459">
        <f>1+P19</f>
        <v>1.0259</v>
      </c>
      <c r="AB19" s="1459">
        <f>1+Q19</f>
        <v>1.0152000000000001</v>
      </c>
      <c r="AD19" s="1460">
        <f>ROUND(AVERAGE(I19:I$20)/100,4)</f>
        <v>2.69E-2</v>
      </c>
      <c r="AE19" s="1460">
        <f>ROUND(AVERAGE(J19:J$20)/100,4)</f>
        <v>2.1899999999999999E-2</v>
      </c>
      <c r="AF19" s="1460">
        <f t="shared" ref="AF19" si="42">AE19</f>
        <v>2.1899999999999999E-2</v>
      </c>
      <c r="AG19" s="1460">
        <f>ROUND(AVERAGE(K19:K$20)/100,4)</f>
        <v>2.9399999999999999E-2</v>
      </c>
      <c r="AH19" s="1460">
        <f>ROUND(AVERAGE(L19:L$20)/100,4)</f>
        <v>1.44E-2</v>
      </c>
    </row>
    <row r="20" spans="1:34" s="1499" customFormat="1" ht="13.5" thickBot="1">
      <c r="A20" s="1495" t="s">
        <v>144</v>
      </c>
      <c r="B20" s="1496">
        <f t="shared" si="39"/>
        <v>307.34512863658733</v>
      </c>
      <c r="C20" s="1496">
        <f t="shared" si="39"/>
        <v>257.80556031626975</v>
      </c>
      <c r="D20" s="1496">
        <f t="shared" si="34"/>
        <v>257.80556031626975</v>
      </c>
      <c r="E20" s="1496">
        <f t="shared" si="40"/>
        <v>422.70928459677179</v>
      </c>
      <c r="F20" s="1496">
        <f t="shared" si="40"/>
        <v>229.73803270336617</v>
      </c>
      <c r="G20" s="3259"/>
      <c r="H20" s="1497">
        <v>1</v>
      </c>
      <c r="I20" s="1497">
        <v>2.97</v>
      </c>
      <c r="J20" s="1497">
        <v>2.34</v>
      </c>
      <c r="K20" s="1497">
        <v>3.28</v>
      </c>
      <c r="L20" s="1498">
        <v>1.36</v>
      </c>
      <c r="N20" s="1500">
        <f t="shared" si="36"/>
        <v>2.9700000000000001E-2</v>
      </c>
      <c r="O20" s="1501">
        <f t="shared" si="31"/>
        <v>2.3399999999999997E-2</v>
      </c>
      <c r="P20" s="1501">
        <f t="shared" si="31"/>
        <v>3.2799999999999996E-2</v>
      </c>
      <c r="Q20" s="1501">
        <f t="shared" si="31"/>
        <v>1.3600000000000001E-2</v>
      </c>
      <c r="R20" s="1502"/>
      <c r="S20" s="1503">
        <f>B20/B21-1</f>
        <v>2.7910129219355539E-2</v>
      </c>
      <c r="T20" s="1504">
        <f>C20/C21-1</f>
        <v>2.3037937762975247E-2</v>
      </c>
      <c r="U20" s="1504">
        <f>E20/E21-1</f>
        <v>3.3519033243940788E-2</v>
      </c>
      <c r="V20" s="1504">
        <f>F20/F21-1</f>
        <v>1.2061818076502862E-2</v>
      </c>
      <c r="W20" s="1505" t="s">
        <v>1163</v>
      </c>
      <c r="X20" s="1506">
        <v>1</v>
      </c>
      <c r="Y20" s="1506">
        <v>1</v>
      </c>
      <c r="Z20" s="1506">
        <v>1</v>
      </c>
      <c r="AA20" s="1506">
        <v>1</v>
      </c>
      <c r="AB20" s="1506">
        <v>1</v>
      </c>
      <c r="AD20" s="1728">
        <f>I20/100</f>
        <v>2.9700000000000001E-2</v>
      </c>
      <c r="AE20" s="1728">
        <f>J20/100</f>
        <v>2.3399999999999997E-2</v>
      </c>
      <c r="AF20" s="1728">
        <f>AE20</f>
        <v>2.3399999999999997E-2</v>
      </c>
      <c r="AG20" s="1728">
        <f>K20/100</f>
        <v>3.2799999999999996E-2</v>
      </c>
      <c r="AH20" s="1728">
        <f>L20/100</f>
        <v>1.3600000000000001E-2</v>
      </c>
    </row>
    <row r="21" spans="1:34" ht="13.5" thickBot="1">
      <c r="A21" s="1461" t="s">
        <v>1164</v>
      </c>
      <c r="B21" s="1470">
        <v>299</v>
      </c>
      <c r="C21" s="1470">
        <v>252</v>
      </c>
      <c r="D21" s="1470">
        <f t="shared" si="34"/>
        <v>252</v>
      </c>
      <c r="E21" s="1470">
        <v>409</v>
      </c>
      <c r="F21" s="1471">
        <v>227</v>
      </c>
      <c r="G21" s="3264">
        <v>2013</v>
      </c>
      <c r="H21" s="1507">
        <v>4</v>
      </c>
      <c r="I21" s="1507">
        <v>1.83</v>
      </c>
      <c r="J21" s="1507">
        <v>1.68</v>
      </c>
      <c r="K21" s="1507">
        <v>1.97</v>
      </c>
      <c r="L21" s="1508">
        <v>0.87</v>
      </c>
      <c r="N21" s="1485">
        <f t="shared" si="36"/>
        <v>1.83E-2</v>
      </c>
      <c r="O21" s="1486">
        <f t="shared" si="31"/>
        <v>1.6799999999999999E-2</v>
      </c>
      <c r="P21" s="1486">
        <f t="shared" si="31"/>
        <v>1.9699999999999999E-2</v>
      </c>
      <c r="Q21" s="1486">
        <f t="shared" si="31"/>
        <v>8.6999999999999994E-3</v>
      </c>
      <c r="R21" s="1475"/>
      <c r="S21" s="1476"/>
      <c r="T21" s="1477"/>
      <c r="U21" s="1477"/>
      <c r="V21" s="1477"/>
      <c r="X21" s="1477"/>
      <c r="Y21" s="1477"/>
      <c r="Z21" s="1477"/>
    </row>
    <row r="22" spans="1:34">
      <c r="A22" s="1461" t="s">
        <v>1165</v>
      </c>
      <c r="B22" s="1478">
        <f t="shared" ref="B22:C24" si="43">B21/(1+N21)</f>
        <v>293.62663262299913</v>
      </c>
      <c r="C22" s="1478">
        <f t="shared" si="43"/>
        <v>247.83634933123525</v>
      </c>
      <c r="D22" s="1478">
        <f t="shared" si="34"/>
        <v>247.83634933123525</v>
      </c>
      <c r="E22" s="1478">
        <f t="shared" ref="E22:F24" si="44">E21/(1+P21)</f>
        <v>401.09836226341076</v>
      </c>
      <c r="F22" s="1478">
        <f t="shared" si="44"/>
        <v>225.04213343908003</v>
      </c>
      <c r="G22" s="3265"/>
      <c r="H22" s="1488">
        <v>3</v>
      </c>
      <c r="I22" s="1488">
        <v>1.86</v>
      </c>
      <c r="J22" s="1488">
        <v>1.72</v>
      </c>
      <c r="K22" s="1488">
        <v>1.98</v>
      </c>
      <c r="L22" s="1489">
        <v>0.88</v>
      </c>
      <c r="N22" s="1473">
        <f t="shared" si="36"/>
        <v>1.8600000000000002E-2</v>
      </c>
      <c r="O22" s="1490">
        <f t="shared" si="31"/>
        <v>1.72E-2</v>
      </c>
      <c r="P22" s="1490">
        <f t="shared" si="31"/>
        <v>1.9799999999999998E-2</v>
      </c>
      <c r="Q22" s="1490">
        <f t="shared" si="31"/>
        <v>8.8000000000000005E-3</v>
      </c>
      <c r="R22" s="1475"/>
      <c r="S22" s="1473"/>
      <c r="T22" s="1474"/>
      <c r="U22" s="1474"/>
      <c r="V22" s="1474"/>
    </row>
    <row r="23" spans="1:34">
      <c r="A23" s="1461" t="s">
        <v>1166</v>
      </c>
      <c r="B23" s="1478">
        <f t="shared" si="43"/>
        <v>288.2649053828776</v>
      </c>
      <c r="C23" s="1478">
        <f t="shared" si="43"/>
        <v>243.64564425013293</v>
      </c>
      <c r="D23" s="1478">
        <f t="shared" si="34"/>
        <v>243.64564425013293</v>
      </c>
      <c r="E23" s="1478">
        <f t="shared" si="44"/>
        <v>393.31080825986544</v>
      </c>
      <c r="F23" s="1478">
        <f t="shared" si="44"/>
        <v>223.07903790551154</v>
      </c>
      <c r="G23" s="3265"/>
      <c r="H23" s="1465">
        <v>2</v>
      </c>
      <c r="I23" s="1465">
        <v>2.04</v>
      </c>
      <c r="J23" s="1465">
        <v>2.33</v>
      </c>
      <c r="K23" s="1465">
        <v>2.0699999999999998</v>
      </c>
      <c r="L23" s="1480">
        <v>0.69</v>
      </c>
      <c r="N23" s="1473">
        <f t="shared" si="36"/>
        <v>2.0400000000000001E-2</v>
      </c>
      <c r="O23" s="1490">
        <f t="shared" si="31"/>
        <v>2.3300000000000001E-2</v>
      </c>
      <c r="P23" s="1490">
        <f t="shared" si="31"/>
        <v>2.07E-2</v>
      </c>
      <c r="Q23" s="1490">
        <f t="shared" si="31"/>
        <v>6.8999999999999999E-3</v>
      </c>
      <c r="R23" s="1475"/>
      <c r="S23" s="1473"/>
      <c r="T23" s="1474"/>
      <c r="U23" s="1474"/>
      <c r="V23" s="1474"/>
      <c r="X23" s="1509"/>
      <c r="Y23" s="1510"/>
    </row>
    <row r="24" spans="1:34">
      <c r="A24" s="1461" t="s">
        <v>1167</v>
      </c>
      <c r="B24" s="1478">
        <f t="shared" si="43"/>
        <v>282.50186729015837</v>
      </c>
      <c r="C24" s="1478">
        <f t="shared" si="43"/>
        <v>238.09796174155468</v>
      </c>
      <c r="D24" s="1478">
        <f t="shared" si="34"/>
        <v>238.09796174155468</v>
      </c>
      <c r="E24" s="1478">
        <f t="shared" si="44"/>
        <v>385.33438646014054</v>
      </c>
      <c r="F24" s="1478">
        <f t="shared" si="44"/>
        <v>221.55034055567739</v>
      </c>
      <c r="G24" s="3266"/>
      <c r="H24" s="1464">
        <v>1</v>
      </c>
      <c r="I24" s="1464">
        <v>1.67</v>
      </c>
      <c r="J24" s="1464">
        <v>1.31</v>
      </c>
      <c r="K24" s="1464">
        <v>1.85</v>
      </c>
      <c r="L24" s="1479">
        <v>0.96</v>
      </c>
      <c r="N24" s="1481">
        <f t="shared" si="36"/>
        <v>1.67E-2</v>
      </c>
      <c r="O24" s="1482">
        <f t="shared" si="36"/>
        <v>1.3100000000000001E-2</v>
      </c>
      <c r="P24" s="1482">
        <f t="shared" si="36"/>
        <v>1.8500000000000003E-2</v>
      </c>
      <c r="Q24" s="1482">
        <f t="shared" si="36"/>
        <v>9.5999999999999992E-3</v>
      </c>
      <c r="R24" s="1475"/>
      <c r="S24" s="1481">
        <f>B24/B25-1</f>
        <v>1.6193767230785472E-2</v>
      </c>
      <c r="T24" s="1482">
        <f>C24/C25-1</f>
        <v>1.7512657015190891E-2</v>
      </c>
      <c r="U24" s="1482">
        <f>E24/E25-1</f>
        <v>1.6713420739157048E-2</v>
      </c>
      <c r="V24" s="1482">
        <f>F24/F25-1</f>
        <v>7.0470025258062563E-3</v>
      </c>
      <c r="X24" s="1511"/>
      <c r="Y24" s="1460"/>
      <c r="Z24" s="1460"/>
    </row>
    <row r="25" spans="1:34" ht="13.5" thickBot="1">
      <c r="A25" s="1461" t="s">
        <v>1168</v>
      </c>
      <c r="B25" s="1512">
        <v>278</v>
      </c>
      <c r="C25" s="1512">
        <v>234</v>
      </c>
      <c r="D25" s="1512">
        <f t="shared" si="34"/>
        <v>234</v>
      </c>
      <c r="E25" s="1512">
        <v>379</v>
      </c>
      <c r="F25" s="1513">
        <v>220</v>
      </c>
      <c r="G25" s="3257">
        <v>2012</v>
      </c>
      <c r="H25" s="1483">
        <v>4</v>
      </c>
      <c r="I25" s="1483">
        <v>0.91</v>
      </c>
      <c r="J25" s="1483">
        <v>0.68</v>
      </c>
      <c r="K25" s="1483">
        <v>0.98</v>
      </c>
      <c r="L25" s="1484">
        <v>0.9</v>
      </c>
      <c r="N25" s="1473">
        <f t="shared" si="36"/>
        <v>9.1000000000000004E-3</v>
      </c>
      <c r="O25" s="1474">
        <f t="shared" si="36"/>
        <v>6.8000000000000005E-3</v>
      </c>
      <c r="P25" s="1474">
        <f t="shared" si="36"/>
        <v>9.7999999999999997E-3</v>
      </c>
      <c r="Q25" s="1474">
        <f t="shared" si="36"/>
        <v>9.0000000000000011E-3</v>
      </c>
      <c r="R25" s="1475"/>
      <c r="S25" s="1476"/>
      <c r="T25" s="1477"/>
      <c r="U25" s="1477"/>
      <c r="V25" s="1477"/>
      <c r="X25" s="1477"/>
      <c r="Y25" s="1477"/>
      <c r="Z25" s="1477"/>
    </row>
    <row r="26" spans="1:34">
      <c r="A26" s="1461" t="s">
        <v>1169</v>
      </c>
      <c r="B26" s="1478">
        <f>B25/(1+N25)</f>
        <v>275.49301357645425</v>
      </c>
      <c r="C26" s="1478">
        <f>C25/(1+O25)</f>
        <v>232.41954707985698</v>
      </c>
      <c r="D26" s="1478">
        <f t="shared" si="34"/>
        <v>232.41954707985698</v>
      </c>
      <c r="E26" s="1478">
        <f t="shared" ref="E26:F28" si="45">E25/(1+P25)</f>
        <v>375.32184591008121</v>
      </c>
      <c r="F26" s="1478">
        <f t="shared" si="45"/>
        <v>218.03766105054513</v>
      </c>
      <c r="G26" s="3258"/>
      <c r="H26" s="1488">
        <v>3</v>
      </c>
      <c r="I26" s="1488">
        <v>0.09</v>
      </c>
      <c r="J26" s="1488">
        <v>0.28999999999999998</v>
      </c>
      <c r="K26" s="1488">
        <v>-0.01</v>
      </c>
      <c r="L26" s="1489">
        <v>0.57999999999999996</v>
      </c>
      <c r="N26" s="1473">
        <f t="shared" si="36"/>
        <v>8.9999999999999998E-4</v>
      </c>
      <c r="O26" s="1474">
        <f t="shared" si="36"/>
        <v>2.8999999999999998E-3</v>
      </c>
      <c r="P26" s="1474">
        <f t="shared" si="36"/>
        <v>-1E-4</v>
      </c>
      <c r="Q26" s="1474">
        <f t="shared" si="36"/>
        <v>5.7999999999999996E-3</v>
      </c>
      <c r="R26" s="1475"/>
      <c r="S26" s="1473"/>
      <c r="T26" s="1474"/>
      <c r="U26" s="1474"/>
      <c r="V26" s="1474"/>
    </row>
    <row r="27" spans="1:34">
      <c r="A27" s="1461" t="s">
        <v>1170</v>
      </c>
      <c r="B27" s="1478">
        <f>B26/(1+N26)</f>
        <v>275.24529281292263</v>
      </c>
      <c r="C27" s="1478">
        <f>C26/(1+O26)</f>
        <v>231.74747938962707</v>
      </c>
      <c r="D27" s="1478">
        <f t="shared" si="34"/>
        <v>231.74747938962707</v>
      </c>
      <c r="E27" s="1478">
        <f t="shared" si="45"/>
        <v>375.35938184826603</v>
      </c>
      <c r="F27" s="1478">
        <f t="shared" si="45"/>
        <v>216.78033510692495</v>
      </c>
      <c r="G27" s="3258"/>
      <c r="H27" s="1465">
        <v>2</v>
      </c>
      <c r="I27" s="1465">
        <v>0.02</v>
      </c>
      <c r="J27" s="1465">
        <v>0.12</v>
      </c>
      <c r="K27" s="1465">
        <v>-0.08</v>
      </c>
      <c r="L27" s="1480">
        <v>1.24</v>
      </c>
      <c r="N27" s="1473">
        <f t="shared" si="36"/>
        <v>2.0000000000000001E-4</v>
      </c>
      <c r="O27" s="1474">
        <f t="shared" si="36"/>
        <v>1.1999999999999999E-3</v>
      </c>
      <c r="P27" s="1474">
        <f t="shared" si="36"/>
        <v>-8.0000000000000004E-4</v>
      </c>
      <c r="Q27" s="1474">
        <f t="shared" si="36"/>
        <v>1.24E-2</v>
      </c>
      <c r="R27" s="1475"/>
      <c r="S27" s="1473"/>
      <c r="T27" s="1474"/>
      <c r="U27" s="1474"/>
      <c r="V27" s="1474"/>
    </row>
    <row r="28" spans="1:34" ht="13.5" thickBot="1">
      <c r="A28" s="1461" t="s">
        <v>1171</v>
      </c>
      <c r="B28" s="1478">
        <f>B27/(1+N27)</f>
        <v>275.19025476197027</v>
      </c>
      <c r="C28" s="1514">
        <v>232</v>
      </c>
      <c r="D28" s="1514">
        <f t="shared" si="34"/>
        <v>232</v>
      </c>
      <c r="E28" s="1478">
        <f t="shared" si="45"/>
        <v>375.65990977608692</v>
      </c>
      <c r="F28" s="1478">
        <f t="shared" si="45"/>
        <v>214.12518283971252</v>
      </c>
      <c r="G28" s="3259"/>
      <c r="H28" s="1464">
        <v>1</v>
      </c>
      <c r="I28" s="1464">
        <v>0.02</v>
      </c>
      <c r="J28" s="1464">
        <v>0.13</v>
      </c>
      <c r="K28" s="1464">
        <v>-0.04</v>
      </c>
      <c r="L28" s="1479">
        <v>0.46</v>
      </c>
      <c r="N28" s="1473">
        <f t="shared" si="36"/>
        <v>2.0000000000000001E-4</v>
      </c>
      <c r="O28" s="1474">
        <f t="shared" si="36"/>
        <v>1.2999999999999999E-3</v>
      </c>
      <c r="P28" s="1474">
        <f t="shared" si="36"/>
        <v>-4.0000000000000002E-4</v>
      </c>
      <c r="Q28" s="1474">
        <f t="shared" si="36"/>
        <v>4.5999999999999999E-3</v>
      </c>
      <c r="R28" s="1475"/>
      <c r="S28" s="1481">
        <f>B28/B29-1</f>
        <v>6.9183549807361189E-4</v>
      </c>
      <c r="T28" s="1482">
        <f>C28/C29-1</f>
        <v>0</v>
      </c>
      <c r="U28" s="1482">
        <f>E28/E29-1</f>
        <v>-9.0449527636460303E-4</v>
      </c>
      <c r="V28" s="1482">
        <f>F28/F29-1</f>
        <v>5.2825485432512753E-3</v>
      </c>
      <c r="X28" s="1460"/>
      <c r="Y28" s="1460"/>
      <c r="Z28" s="1460"/>
    </row>
    <row r="29" spans="1:34" ht="13.5" thickBot="1">
      <c r="A29" s="1461" t="s">
        <v>1172</v>
      </c>
      <c r="B29" s="1470">
        <v>275</v>
      </c>
      <c r="C29" s="1470">
        <v>232</v>
      </c>
      <c r="D29" s="1470">
        <f t="shared" si="34"/>
        <v>232</v>
      </c>
      <c r="E29" s="1470">
        <v>376</v>
      </c>
      <c r="F29" s="1471">
        <v>213</v>
      </c>
      <c r="G29" s="3257">
        <v>2011</v>
      </c>
      <c r="H29" s="1483">
        <v>4</v>
      </c>
      <c r="I29" s="1483">
        <v>-0.2</v>
      </c>
      <c r="J29" s="1483">
        <v>0.04</v>
      </c>
      <c r="K29" s="1483">
        <v>-0.34</v>
      </c>
      <c r="L29" s="1484">
        <v>0.46</v>
      </c>
      <c r="N29" s="1485">
        <f t="shared" si="36"/>
        <v>-2E-3</v>
      </c>
      <c r="O29" s="1486">
        <f t="shared" si="36"/>
        <v>4.0000000000000002E-4</v>
      </c>
      <c r="P29" s="1486">
        <f t="shared" si="36"/>
        <v>-3.4000000000000002E-3</v>
      </c>
      <c r="Q29" s="1486">
        <f t="shared" si="36"/>
        <v>4.5999999999999999E-3</v>
      </c>
      <c r="R29" s="1475"/>
      <c r="S29" s="1476"/>
      <c r="T29" s="1477"/>
      <c r="U29" s="1477"/>
      <c r="V29" s="1477"/>
      <c r="X29" s="1477"/>
      <c r="Y29" s="1477"/>
      <c r="Z29" s="1477"/>
    </row>
    <row r="30" spans="1:34">
      <c r="A30" s="1461" t="s">
        <v>1173</v>
      </c>
      <c r="B30" s="1478">
        <f t="shared" ref="B30:C32" si="46">B29/(1+N29)</f>
        <v>275.55110220440883</v>
      </c>
      <c r="C30" s="1478">
        <f t="shared" si="46"/>
        <v>231.90723710515795</v>
      </c>
      <c r="D30" s="1478">
        <f t="shared" si="34"/>
        <v>231.90723710515795</v>
      </c>
      <c r="E30" s="1478">
        <f t="shared" ref="E30:F32" si="47">E29/(1+P29)</f>
        <v>377.28276138872161</v>
      </c>
      <c r="F30" s="1478">
        <f t="shared" si="47"/>
        <v>212.02468644236512</v>
      </c>
      <c r="G30" s="3258">
        <v>2011</v>
      </c>
      <c r="H30" s="1488">
        <v>3</v>
      </c>
      <c r="I30" s="1488">
        <v>0.13</v>
      </c>
      <c r="J30" s="1488">
        <v>0.75</v>
      </c>
      <c r="K30" s="1488">
        <v>-0.08</v>
      </c>
      <c r="L30" s="1489">
        <v>0.53</v>
      </c>
      <c r="N30" s="1473">
        <f t="shared" si="36"/>
        <v>1.2999999999999999E-3</v>
      </c>
      <c r="O30" s="1490">
        <f t="shared" si="36"/>
        <v>7.4999999999999997E-3</v>
      </c>
      <c r="P30" s="1490">
        <f t="shared" si="36"/>
        <v>-8.0000000000000004E-4</v>
      </c>
      <c r="Q30" s="1490">
        <f t="shared" si="36"/>
        <v>5.3E-3</v>
      </c>
      <c r="R30" s="1475"/>
      <c r="S30" s="1473"/>
      <c r="T30" s="1474"/>
      <c r="U30" s="1474"/>
      <c r="V30" s="1474"/>
    </row>
    <row r="31" spans="1:34">
      <c r="A31" s="1461" t="s">
        <v>1174</v>
      </c>
      <c r="B31" s="1478">
        <f t="shared" si="46"/>
        <v>275.19335084830601</v>
      </c>
      <c r="C31" s="1478">
        <f t="shared" si="46"/>
        <v>230.18088050139744</v>
      </c>
      <c r="D31" s="1478">
        <f t="shared" si="34"/>
        <v>230.18088050139744</v>
      </c>
      <c r="E31" s="1478">
        <f t="shared" si="47"/>
        <v>377.58482925212331</v>
      </c>
      <c r="F31" s="1478">
        <f t="shared" si="47"/>
        <v>210.90687997847917</v>
      </c>
      <c r="G31" s="3258">
        <v>2011</v>
      </c>
      <c r="H31" s="1465">
        <v>2</v>
      </c>
      <c r="I31" s="1465">
        <v>-0.4</v>
      </c>
      <c r="J31" s="1465">
        <v>0.17</v>
      </c>
      <c r="K31" s="1465">
        <v>-0.57999999999999996</v>
      </c>
      <c r="L31" s="1480">
        <v>-0.2</v>
      </c>
      <c r="N31" s="1473">
        <f t="shared" si="36"/>
        <v>-4.0000000000000001E-3</v>
      </c>
      <c r="O31" s="1490">
        <f t="shared" si="36"/>
        <v>1.7000000000000001E-3</v>
      </c>
      <c r="P31" s="1490">
        <f t="shared" si="36"/>
        <v>-5.7999999999999996E-3</v>
      </c>
      <c r="Q31" s="1490">
        <f t="shared" si="36"/>
        <v>-2E-3</v>
      </c>
      <c r="R31" s="1475"/>
      <c r="S31" s="1473"/>
      <c r="T31" s="1474"/>
      <c r="U31" s="1474"/>
      <c r="V31" s="1474"/>
    </row>
    <row r="32" spans="1:34" ht="13.5" thickBot="1">
      <c r="A32" s="1461" t="s">
        <v>1175</v>
      </c>
      <c r="B32" s="1478">
        <f t="shared" si="46"/>
        <v>276.29854502841971</v>
      </c>
      <c r="C32" s="1478">
        <f t="shared" si="46"/>
        <v>229.79023709833027</v>
      </c>
      <c r="D32" s="1478">
        <f t="shared" si="34"/>
        <v>229.79023709833027</v>
      </c>
      <c r="E32" s="1478">
        <f t="shared" si="47"/>
        <v>379.78759731655936</v>
      </c>
      <c r="F32" s="1478">
        <f t="shared" si="47"/>
        <v>211.32953905659235</v>
      </c>
      <c r="G32" s="3259">
        <v>2011</v>
      </c>
      <c r="H32" s="1464">
        <v>1</v>
      </c>
      <c r="I32" s="1464">
        <v>2.65</v>
      </c>
      <c r="J32" s="1464">
        <v>3.76</v>
      </c>
      <c r="K32" s="1464">
        <v>1.89</v>
      </c>
      <c r="L32" s="1479">
        <v>7.95</v>
      </c>
      <c r="N32" s="1481">
        <f t="shared" si="36"/>
        <v>2.6499999999999999E-2</v>
      </c>
      <c r="O32" s="1482">
        <f t="shared" si="36"/>
        <v>3.7599999999999995E-2</v>
      </c>
      <c r="P32" s="1482">
        <f t="shared" si="36"/>
        <v>1.89E-2</v>
      </c>
      <c r="Q32" s="1482">
        <f t="shared" si="36"/>
        <v>7.9500000000000001E-2</v>
      </c>
      <c r="R32" s="1475"/>
      <c r="S32" s="1481">
        <f>B32/B33-1</f>
        <v>2.713213765211786E-2</v>
      </c>
      <c r="T32" s="1482">
        <f>C32/C33-1</f>
        <v>3.9774828499231862E-2</v>
      </c>
      <c r="U32" s="1482">
        <f>E32/E33-1</f>
        <v>1.8197311840641772E-2</v>
      </c>
      <c r="V32" s="1482">
        <f>F32/F33-1</f>
        <v>7.8211933962205826E-2</v>
      </c>
      <c r="X32" s="1460"/>
      <c r="Y32" s="1460"/>
      <c r="Z32" s="1460"/>
    </row>
    <row r="33" spans="1:26" ht="13.5" thickBot="1">
      <c r="A33" s="1461" t="s">
        <v>1176</v>
      </c>
      <c r="B33" s="1470">
        <v>269</v>
      </c>
      <c r="C33" s="1470">
        <v>221</v>
      </c>
      <c r="D33" s="1470">
        <f t="shared" si="34"/>
        <v>221</v>
      </c>
      <c r="E33" s="1470">
        <v>373</v>
      </c>
      <c r="F33" s="1471">
        <v>196</v>
      </c>
      <c r="G33" s="3257">
        <v>2010</v>
      </c>
      <c r="H33" s="1483">
        <v>4</v>
      </c>
      <c r="I33" s="1483">
        <v>5.72</v>
      </c>
      <c r="J33" s="1483">
        <v>6.57</v>
      </c>
      <c r="K33" s="1483">
        <v>5.72</v>
      </c>
      <c r="L33" s="1484">
        <v>2.72</v>
      </c>
      <c r="N33" s="1473">
        <f t="shared" si="36"/>
        <v>5.7200000000000001E-2</v>
      </c>
      <c r="O33" s="1474">
        <f t="shared" si="36"/>
        <v>6.5700000000000008E-2</v>
      </c>
      <c r="P33" s="1474">
        <f t="shared" si="36"/>
        <v>5.7200000000000001E-2</v>
      </c>
      <c r="Q33" s="1474">
        <f t="shared" si="36"/>
        <v>2.7200000000000002E-2</v>
      </c>
      <c r="R33" s="1475"/>
      <c r="S33" s="1476"/>
      <c r="T33" s="1477"/>
      <c r="U33" s="1477"/>
      <c r="V33" s="1477"/>
      <c r="X33" s="1477"/>
      <c r="Y33" s="1477"/>
      <c r="Z33" s="1477"/>
    </row>
    <row r="34" spans="1:26">
      <c r="A34" s="1461" t="s">
        <v>1177</v>
      </c>
      <c r="B34" s="1478">
        <f t="shared" ref="B34:C36" si="48">B33/(1+N33)</f>
        <v>254.44570563753314</v>
      </c>
      <c r="C34" s="1478">
        <f t="shared" si="48"/>
        <v>207.37543398705074</v>
      </c>
      <c r="D34" s="1478">
        <f t="shared" si="34"/>
        <v>207.37543398705074</v>
      </c>
      <c r="E34" s="1478">
        <f t="shared" ref="E34:F36" si="49">E33/(1+P33)</f>
        <v>352.81876655315932</v>
      </c>
      <c r="F34" s="1478">
        <f t="shared" si="49"/>
        <v>190.809968847352</v>
      </c>
      <c r="G34" s="3258">
        <v>2010</v>
      </c>
      <c r="H34" s="1488">
        <v>3</v>
      </c>
      <c r="I34" s="1488">
        <v>4.7300000000000004</v>
      </c>
      <c r="J34" s="1488">
        <v>3.9</v>
      </c>
      <c r="K34" s="1488">
        <v>5.03</v>
      </c>
      <c r="L34" s="1489">
        <v>4.21</v>
      </c>
      <c r="N34" s="1473">
        <f t="shared" si="36"/>
        <v>4.7300000000000002E-2</v>
      </c>
      <c r="O34" s="1474">
        <f t="shared" si="36"/>
        <v>3.9E-2</v>
      </c>
      <c r="P34" s="1474">
        <f t="shared" si="36"/>
        <v>5.0300000000000004E-2</v>
      </c>
      <c r="Q34" s="1474">
        <f t="shared" si="36"/>
        <v>4.2099999999999999E-2</v>
      </c>
      <c r="R34" s="1475"/>
      <c r="S34" s="1473"/>
      <c r="T34" s="1474"/>
      <c r="U34" s="1474"/>
      <c r="V34" s="1474"/>
    </row>
    <row r="35" spans="1:26">
      <c r="A35" s="1461" t="s">
        <v>1178</v>
      </c>
      <c r="B35" s="1478">
        <f t="shared" si="48"/>
        <v>242.95398227588385</v>
      </c>
      <c r="C35" s="1478">
        <f t="shared" si="48"/>
        <v>199.59137053614126</v>
      </c>
      <c r="D35" s="1478">
        <f t="shared" si="34"/>
        <v>199.59137053614126</v>
      </c>
      <c r="E35" s="1478">
        <f t="shared" si="49"/>
        <v>335.92189522342125</v>
      </c>
      <c r="F35" s="1478">
        <f t="shared" si="49"/>
        <v>183.10139991109489</v>
      </c>
      <c r="G35" s="3258">
        <v>2010</v>
      </c>
      <c r="H35" s="1465">
        <v>2</v>
      </c>
      <c r="I35" s="1465">
        <v>4.6900000000000004</v>
      </c>
      <c r="J35" s="1465">
        <v>3.55</v>
      </c>
      <c r="K35" s="1465">
        <v>5.07</v>
      </c>
      <c r="L35" s="1480">
        <v>4.2300000000000004</v>
      </c>
      <c r="N35" s="1473">
        <f t="shared" si="36"/>
        <v>4.6900000000000004E-2</v>
      </c>
      <c r="O35" s="1474">
        <f t="shared" si="36"/>
        <v>3.5499999999999997E-2</v>
      </c>
      <c r="P35" s="1474">
        <f t="shared" si="36"/>
        <v>5.0700000000000002E-2</v>
      </c>
      <c r="Q35" s="1474">
        <f t="shared" si="36"/>
        <v>4.2300000000000004E-2</v>
      </c>
      <c r="R35" s="1475"/>
      <c r="S35" s="1473"/>
      <c r="T35" s="1474"/>
      <c r="U35" s="1474"/>
      <c r="V35" s="1474"/>
    </row>
    <row r="36" spans="1:26" ht="13.5" thickBot="1">
      <c r="A36" s="1461" t="s">
        <v>1179</v>
      </c>
      <c r="B36" s="1478">
        <f t="shared" si="48"/>
        <v>232.06990378821649</v>
      </c>
      <c r="C36" s="1478">
        <f t="shared" si="48"/>
        <v>192.74878854286936</v>
      </c>
      <c r="D36" s="1478">
        <f t="shared" si="34"/>
        <v>192.74878854286936</v>
      </c>
      <c r="E36" s="1478">
        <f t="shared" si="49"/>
        <v>319.71247284992984</v>
      </c>
      <c r="F36" s="1478">
        <f t="shared" si="49"/>
        <v>175.67053622862409</v>
      </c>
      <c r="G36" s="3259">
        <v>2010</v>
      </c>
      <c r="H36" s="1464">
        <v>1</v>
      </c>
      <c r="I36" s="1464">
        <v>5.4</v>
      </c>
      <c r="J36" s="1464">
        <v>3.2</v>
      </c>
      <c r="K36" s="1464">
        <v>6.16</v>
      </c>
      <c r="L36" s="1479">
        <v>4.51</v>
      </c>
      <c r="N36" s="1473">
        <f t="shared" si="36"/>
        <v>5.4000000000000006E-2</v>
      </c>
      <c r="O36" s="1474">
        <f t="shared" si="36"/>
        <v>3.2000000000000001E-2</v>
      </c>
      <c r="P36" s="1474">
        <f t="shared" si="36"/>
        <v>6.1600000000000002E-2</v>
      </c>
      <c r="Q36" s="1474">
        <f t="shared" si="36"/>
        <v>4.5100000000000001E-2</v>
      </c>
      <c r="R36" s="1475"/>
      <c r="S36" s="1481">
        <f>B36/B37-1</f>
        <v>5.4863199037347599E-2</v>
      </c>
      <c r="T36" s="1482">
        <f>C36/C37-1</f>
        <v>3.0742184721226584E-2</v>
      </c>
      <c r="U36" s="1482">
        <f>E36/E37-1</f>
        <v>6.2167683886810154E-2</v>
      </c>
      <c r="V36" s="1482">
        <f>F36/F37-1</f>
        <v>4.5657953741810031E-2</v>
      </c>
      <c r="X36" s="1460"/>
      <c r="Y36" s="1460"/>
      <c r="Z36" s="1460"/>
    </row>
    <row r="37" spans="1:26" ht="13.5" thickBot="1">
      <c r="A37" s="1461" t="s">
        <v>1180</v>
      </c>
      <c r="B37" s="1470">
        <v>220</v>
      </c>
      <c r="C37" s="1470">
        <v>187</v>
      </c>
      <c r="D37" s="1470">
        <f t="shared" si="34"/>
        <v>187</v>
      </c>
      <c r="E37" s="1470">
        <v>301</v>
      </c>
      <c r="F37" s="1471">
        <v>168</v>
      </c>
      <c r="G37" s="3257">
        <v>2009</v>
      </c>
      <c r="H37" s="1483">
        <v>4</v>
      </c>
      <c r="I37" s="1483">
        <v>2.2999999999999998</v>
      </c>
      <c r="J37" s="1483">
        <v>1.04</v>
      </c>
      <c r="K37" s="1483">
        <v>2.84</v>
      </c>
      <c r="L37" s="1484">
        <v>0.67</v>
      </c>
      <c r="N37" s="1485">
        <f t="shared" si="36"/>
        <v>2.3E-2</v>
      </c>
      <c r="O37" s="1486">
        <f t="shared" si="36"/>
        <v>1.04E-2</v>
      </c>
      <c r="P37" s="1486">
        <f t="shared" si="36"/>
        <v>2.8399999999999998E-2</v>
      </c>
      <c r="Q37" s="1486">
        <f t="shared" si="36"/>
        <v>6.7000000000000002E-3</v>
      </c>
      <c r="R37" s="1475"/>
      <c r="S37" s="1476"/>
      <c r="T37" s="1477"/>
      <c r="U37" s="1477"/>
      <c r="V37" s="1477"/>
      <c r="X37" s="1477"/>
      <c r="Y37" s="1477"/>
      <c r="Z37" s="1477"/>
    </row>
    <row r="38" spans="1:26">
      <c r="A38" s="1461" t="s">
        <v>1181</v>
      </c>
      <c r="B38" s="1478">
        <f t="shared" ref="B38:C40" si="50">B37/(1+N37)</f>
        <v>215.05376344086022</v>
      </c>
      <c r="C38" s="1478">
        <f t="shared" si="50"/>
        <v>185.0752177355503</v>
      </c>
      <c r="D38" s="1478">
        <f t="shared" si="34"/>
        <v>185.0752177355503</v>
      </c>
      <c r="E38" s="1478">
        <f t="shared" ref="E38:F40" si="51">E37/(1+P37)</f>
        <v>292.68767016725008</v>
      </c>
      <c r="F38" s="1478">
        <f t="shared" si="51"/>
        <v>166.88189132810174</v>
      </c>
      <c r="G38" s="3258">
        <v>2009</v>
      </c>
      <c r="H38" s="1488">
        <v>3</v>
      </c>
      <c r="I38" s="1488">
        <v>2.1</v>
      </c>
      <c r="J38" s="1488">
        <v>1.86</v>
      </c>
      <c r="K38" s="1488">
        <v>2.29</v>
      </c>
      <c r="L38" s="1489">
        <v>0.85</v>
      </c>
      <c r="N38" s="1473">
        <f t="shared" si="36"/>
        <v>2.1000000000000001E-2</v>
      </c>
      <c r="O38" s="1490">
        <f t="shared" si="36"/>
        <v>1.8600000000000002E-2</v>
      </c>
      <c r="P38" s="1490">
        <f t="shared" si="36"/>
        <v>2.29E-2</v>
      </c>
      <c r="Q38" s="1490">
        <f t="shared" si="36"/>
        <v>8.5000000000000006E-3</v>
      </c>
      <c r="R38" s="1475"/>
      <c r="S38" s="1473"/>
      <c r="T38" s="1474"/>
      <c r="U38" s="1474"/>
      <c r="V38" s="1474"/>
    </row>
    <row r="39" spans="1:26">
      <c r="A39" s="1461" t="s">
        <v>1182</v>
      </c>
      <c r="B39" s="1478">
        <f t="shared" si="50"/>
        <v>210.630522469011</v>
      </c>
      <c r="C39" s="1478">
        <f t="shared" si="50"/>
        <v>181.69567812247232</v>
      </c>
      <c r="D39" s="1478">
        <f t="shared" si="34"/>
        <v>181.69567812247232</v>
      </c>
      <c r="E39" s="1478">
        <f t="shared" si="51"/>
        <v>286.13517466736738</v>
      </c>
      <c r="F39" s="1478">
        <f t="shared" si="51"/>
        <v>165.47535084591149</v>
      </c>
      <c r="G39" s="3258">
        <v>2009</v>
      </c>
      <c r="H39" s="1465">
        <v>2</v>
      </c>
      <c r="I39" s="1465">
        <v>0.86</v>
      </c>
      <c r="J39" s="1465">
        <v>-1.1299999999999999</v>
      </c>
      <c r="K39" s="1465">
        <v>1.79</v>
      </c>
      <c r="L39" s="1480">
        <v>-2.0699999999999998</v>
      </c>
      <c r="N39" s="1473">
        <f t="shared" si="36"/>
        <v>8.6E-3</v>
      </c>
      <c r="O39" s="1490">
        <f t="shared" si="36"/>
        <v>-1.1299999999999999E-2</v>
      </c>
      <c r="P39" s="1490">
        <f t="shared" si="36"/>
        <v>1.7899999999999999E-2</v>
      </c>
      <c r="Q39" s="1490">
        <f t="shared" si="36"/>
        <v>-2.07E-2</v>
      </c>
      <c r="R39" s="1475"/>
      <c r="S39" s="1473"/>
      <c r="T39" s="1474"/>
      <c r="U39" s="1474"/>
      <c r="V39" s="1474"/>
    </row>
    <row r="40" spans="1:26">
      <c r="A40" s="1461" t="s">
        <v>1183</v>
      </c>
      <c r="B40" s="1478">
        <f t="shared" si="50"/>
        <v>208.83454537875372</v>
      </c>
      <c r="C40" s="1478">
        <f t="shared" si="50"/>
        <v>183.77230517090351</v>
      </c>
      <c r="D40" s="1478">
        <f t="shared" si="34"/>
        <v>183.77230517090351</v>
      </c>
      <c r="E40" s="1478">
        <f t="shared" si="51"/>
        <v>281.10342338870947</v>
      </c>
      <c r="F40" s="1478">
        <f t="shared" si="51"/>
        <v>168.97309388942256</v>
      </c>
      <c r="G40" s="3259">
        <v>2009</v>
      </c>
      <c r="H40" s="1464">
        <v>1</v>
      </c>
      <c r="I40" s="1464">
        <v>-2.64</v>
      </c>
      <c r="J40" s="1464">
        <v>-2.5299999999999998</v>
      </c>
      <c r="K40" s="1464">
        <v>-3.02</v>
      </c>
      <c r="L40" s="1479">
        <v>1.52</v>
      </c>
      <c r="N40" s="1481">
        <f t="shared" si="36"/>
        <v>-2.64E-2</v>
      </c>
      <c r="O40" s="1482">
        <f t="shared" si="36"/>
        <v>-2.53E-2</v>
      </c>
      <c r="P40" s="1482">
        <f t="shared" si="36"/>
        <v>-3.0200000000000001E-2</v>
      </c>
      <c r="Q40" s="1482">
        <f t="shared" si="36"/>
        <v>1.52E-2</v>
      </c>
      <c r="R40" s="1475"/>
      <c r="S40" s="1481">
        <f>B40/B41-1</f>
        <v>-2.4137638417038754E-2</v>
      </c>
      <c r="T40" s="1482">
        <f>C40/C41-1</f>
        <v>-2.248773845264096E-2</v>
      </c>
      <c r="U40" s="1482">
        <f>E40/E41-1</f>
        <v>-2.7323794502735366E-2</v>
      </c>
      <c r="V40" s="1482">
        <f>F40/F41-1</f>
        <v>1.7910204153148035E-2</v>
      </c>
      <c r="X40" s="1460"/>
      <c r="Y40" s="1460"/>
      <c r="Z40" s="1460"/>
    </row>
    <row r="41" spans="1:26" ht="13.5" thickBot="1">
      <c r="A41" s="1461" t="s">
        <v>1184</v>
      </c>
      <c r="B41" s="1512">
        <v>214</v>
      </c>
      <c r="C41" s="1512">
        <v>188</v>
      </c>
      <c r="D41" s="1512">
        <f t="shared" si="34"/>
        <v>188</v>
      </c>
      <c r="E41" s="1512">
        <v>289</v>
      </c>
      <c r="F41" s="1513">
        <v>166</v>
      </c>
      <c r="G41" s="3257">
        <v>2008</v>
      </c>
      <c r="H41" s="1483">
        <v>4</v>
      </c>
      <c r="I41" s="1483">
        <v>1.73</v>
      </c>
      <c r="J41" s="1483">
        <v>0.03</v>
      </c>
      <c r="K41" s="1483">
        <v>2.59</v>
      </c>
      <c r="L41" s="1484">
        <v>-1.66</v>
      </c>
      <c r="N41" s="1473">
        <f t="shared" si="36"/>
        <v>1.7299999999999999E-2</v>
      </c>
      <c r="O41" s="1474">
        <f t="shared" si="36"/>
        <v>2.9999999999999997E-4</v>
      </c>
      <c r="P41" s="1474">
        <f t="shared" si="36"/>
        <v>2.5899999999999999E-2</v>
      </c>
      <c r="Q41" s="1474">
        <f t="shared" si="36"/>
        <v>-1.66E-2</v>
      </c>
      <c r="R41" s="1475"/>
      <c r="S41" s="1476"/>
      <c r="T41" s="1477"/>
      <c r="U41" s="1477"/>
      <c r="V41" s="1477"/>
      <c r="X41" s="1477"/>
      <c r="Y41" s="1477"/>
      <c r="Z41" s="1477"/>
    </row>
    <row r="42" spans="1:26">
      <c r="A42" s="1461" t="s">
        <v>1185</v>
      </c>
      <c r="B42" s="1478">
        <f t="shared" ref="B42:C44" si="52">B41/(1+N41)</f>
        <v>210.36075887152265</v>
      </c>
      <c r="C42" s="1478">
        <f t="shared" si="52"/>
        <v>187.94361691492554</v>
      </c>
      <c r="D42" s="1478">
        <f t="shared" si="34"/>
        <v>187.94361691492554</v>
      </c>
      <c r="E42" s="1478">
        <f t="shared" ref="E42:F44" si="53">E41/(1+P41)</f>
        <v>281.70386977288234</v>
      </c>
      <c r="F42" s="1478">
        <f t="shared" si="53"/>
        <v>168.80211511083994</v>
      </c>
      <c r="G42" s="3258">
        <v>2008</v>
      </c>
      <c r="H42" s="1488">
        <v>3</v>
      </c>
      <c r="I42" s="1488">
        <v>1.96</v>
      </c>
      <c r="J42" s="1488">
        <v>2.36</v>
      </c>
      <c r="K42" s="1488">
        <v>1.82</v>
      </c>
      <c r="L42" s="1489">
        <v>2.2200000000000002</v>
      </c>
      <c r="N42" s="1473">
        <f t="shared" si="36"/>
        <v>1.9599999999999999E-2</v>
      </c>
      <c r="O42" s="1474">
        <f t="shared" si="36"/>
        <v>2.3599999999999999E-2</v>
      </c>
      <c r="P42" s="1474">
        <f t="shared" si="36"/>
        <v>1.8200000000000001E-2</v>
      </c>
      <c r="Q42" s="1474">
        <f t="shared" si="36"/>
        <v>2.2200000000000001E-2</v>
      </c>
      <c r="R42" s="1475"/>
      <c r="S42" s="1473"/>
      <c r="T42" s="1474"/>
      <c r="U42" s="1474"/>
      <c r="V42" s="1474"/>
    </row>
    <row r="43" spans="1:26">
      <c r="A43" s="1461" t="s">
        <v>1186</v>
      </c>
      <c r="B43" s="1478">
        <f t="shared" si="52"/>
        <v>206.31694671589116</v>
      </c>
      <c r="C43" s="1478">
        <f t="shared" si="52"/>
        <v>183.61041121036101</v>
      </c>
      <c r="D43" s="1478">
        <f t="shared" si="34"/>
        <v>183.61041121036101</v>
      </c>
      <c r="E43" s="1478">
        <f t="shared" si="53"/>
        <v>276.66850301795557</v>
      </c>
      <c r="F43" s="1478">
        <f t="shared" si="53"/>
        <v>165.1360938278614</v>
      </c>
      <c r="G43" s="3258">
        <v>2008</v>
      </c>
      <c r="H43" s="1465">
        <v>2</v>
      </c>
      <c r="I43" s="1465">
        <v>4.93</v>
      </c>
      <c r="J43" s="1465">
        <v>7.38</v>
      </c>
      <c r="K43" s="1465">
        <v>3.98</v>
      </c>
      <c r="L43" s="1480">
        <v>6.86</v>
      </c>
      <c r="N43" s="1473">
        <f t="shared" si="36"/>
        <v>4.9299999999999997E-2</v>
      </c>
      <c r="O43" s="1474">
        <f t="shared" si="36"/>
        <v>7.3800000000000004E-2</v>
      </c>
      <c r="P43" s="1474">
        <f t="shared" si="36"/>
        <v>3.9800000000000002E-2</v>
      </c>
      <c r="Q43" s="1474">
        <f t="shared" si="36"/>
        <v>6.8600000000000008E-2</v>
      </c>
      <c r="R43" s="1475"/>
      <c r="S43" s="1473"/>
      <c r="T43" s="1474"/>
      <c r="U43" s="1474"/>
      <c r="V43" s="1474"/>
    </row>
    <row r="44" spans="1:26" s="1518" customFormat="1" ht="13.5" thickBot="1">
      <c r="A44" s="1461" t="s">
        <v>1187</v>
      </c>
      <c r="B44" s="1515">
        <f t="shared" si="52"/>
        <v>196.62341248059772</v>
      </c>
      <c r="C44" s="1515">
        <f t="shared" si="52"/>
        <v>170.99125648199012</v>
      </c>
      <c r="D44" s="1515">
        <f t="shared" si="34"/>
        <v>170.99125648199012</v>
      </c>
      <c r="E44" s="1515">
        <f t="shared" si="53"/>
        <v>266.07857570490052</v>
      </c>
      <c r="F44" s="1515">
        <f t="shared" si="53"/>
        <v>154.53499328828505</v>
      </c>
      <c r="G44" s="3259">
        <v>2008</v>
      </c>
      <c r="H44" s="1516">
        <v>1</v>
      </c>
      <c r="I44" s="1516">
        <v>4.1399999999999997</v>
      </c>
      <c r="J44" s="1516">
        <v>3.45</v>
      </c>
      <c r="K44" s="1516">
        <v>4.95</v>
      </c>
      <c r="L44" s="1517">
        <v>4.82</v>
      </c>
      <c r="N44" s="1519">
        <f t="shared" si="36"/>
        <v>4.1399999999999999E-2</v>
      </c>
      <c r="O44" s="1520">
        <f t="shared" si="36"/>
        <v>3.4500000000000003E-2</v>
      </c>
      <c r="P44" s="1520">
        <f t="shared" si="36"/>
        <v>4.9500000000000002E-2</v>
      </c>
      <c r="Q44" s="1520">
        <f t="shared" si="36"/>
        <v>4.82E-2</v>
      </c>
      <c r="R44" s="1521"/>
      <c r="S44" s="1519">
        <f>B44/B45-1</f>
        <v>4.5869215322328349E-2</v>
      </c>
      <c r="T44" s="1520">
        <f>C44/C45-1</f>
        <v>3.6310645345394743E-2</v>
      </c>
      <c r="U44" s="1520">
        <f>E44/E45-1</f>
        <v>4.7553447657088688E-2</v>
      </c>
      <c r="V44" s="1520">
        <f>F44/F45-1</f>
        <v>4.4155360055980086E-2</v>
      </c>
      <c r="X44" s="1522"/>
      <c r="Y44" s="1522"/>
      <c r="Z44" s="1522"/>
    </row>
    <row r="45" spans="1:26" ht="13.5" thickBot="1">
      <c r="A45" s="1461" t="s">
        <v>1188</v>
      </c>
      <c r="B45" s="1470">
        <v>188</v>
      </c>
      <c r="C45" s="1470">
        <v>165</v>
      </c>
      <c r="D45" s="1470">
        <f t="shared" si="34"/>
        <v>165</v>
      </c>
      <c r="E45" s="1470">
        <v>254</v>
      </c>
      <c r="F45" s="1471">
        <v>148</v>
      </c>
      <c r="G45" s="3257">
        <v>2007</v>
      </c>
      <c r="H45" s="1523">
        <v>4</v>
      </c>
      <c r="I45" s="1523">
        <v>5.51</v>
      </c>
      <c r="J45" s="1523">
        <v>4.8899999999999997</v>
      </c>
      <c r="K45" s="1523">
        <v>6.43</v>
      </c>
      <c r="L45" s="1524">
        <v>5.36</v>
      </c>
      <c r="N45" s="1525">
        <f t="shared" ref="N45:O48" si="54">B45/B46-1</f>
        <v>4.1339718365245526E-2</v>
      </c>
      <c r="O45" s="1526">
        <f t="shared" si="54"/>
        <v>4.0324492593776018E-2</v>
      </c>
      <c r="P45" s="1526">
        <f t="shared" ref="P45:Q48" si="55">E45/E46-1</f>
        <v>6.1625555347990968E-2</v>
      </c>
      <c r="Q45" s="1526">
        <f t="shared" si="55"/>
        <v>4.6757569250590603E-2</v>
      </c>
      <c r="R45" s="1475"/>
      <c r="S45" s="1476"/>
      <c r="T45" s="1477"/>
      <c r="U45" s="1477"/>
      <c r="V45" s="1477"/>
      <c r="X45" s="1477"/>
      <c r="Y45" s="1477"/>
      <c r="Z45" s="1477"/>
    </row>
    <row r="46" spans="1:26">
      <c r="A46" s="1461" t="s">
        <v>1189</v>
      </c>
      <c r="B46" s="1478">
        <f t="shared" ref="B46:C48" si="56">B47+(B$45-B$49)*I46/SUM(I$45:I$48)</f>
        <v>180.5366651097618</v>
      </c>
      <c r="C46" s="1478">
        <f t="shared" si="56"/>
        <v>158.60435967302453</v>
      </c>
      <c r="D46" s="1478">
        <f t="shared" si="34"/>
        <v>158.60435967302453</v>
      </c>
      <c r="E46" s="1478">
        <f t="shared" ref="E46:F48" si="57">E47+(E$45-E$49)*K46/SUM(K$45:K$48)</f>
        <v>239.25573260785075</v>
      </c>
      <c r="F46" s="1478">
        <f t="shared" si="57"/>
        <v>141.38899430740037</v>
      </c>
      <c r="G46" s="3258">
        <v>2007</v>
      </c>
      <c r="H46" s="1488">
        <v>3</v>
      </c>
      <c r="I46" s="1488">
        <v>8.65</v>
      </c>
      <c r="J46" s="1488">
        <v>8.06</v>
      </c>
      <c r="K46" s="1488">
        <v>9.94</v>
      </c>
      <c r="L46" s="1489">
        <v>5.8</v>
      </c>
      <c r="N46" s="1525">
        <f t="shared" si="54"/>
        <v>6.940217571740015E-2</v>
      </c>
      <c r="O46" s="1526">
        <f t="shared" si="54"/>
        <v>7.1197482471153428E-2</v>
      </c>
      <c r="P46" s="1526">
        <f t="shared" si="55"/>
        <v>0.10529679922579582</v>
      </c>
      <c r="Q46" s="1526">
        <f t="shared" si="55"/>
        <v>5.3292245059512133E-2</v>
      </c>
      <c r="R46" s="1475"/>
      <c r="S46" s="1473"/>
      <c r="T46" s="1474"/>
      <c r="U46" s="1474"/>
      <c r="V46" s="1474"/>
      <c r="X46" s="1527"/>
      <c r="Y46" s="1527"/>
      <c r="Z46" s="1527"/>
    </row>
    <row r="47" spans="1:26">
      <c r="A47" s="1461" t="s">
        <v>1190</v>
      </c>
      <c r="B47" s="1478">
        <f t="shared" si="56"/>
        <v>168.82017748715555</v>
      </c>
      <c r="C47" s="1478">
        <f t="shared" si="56"/>
        <v>148.06267029972753</v>
      </c>
      <c r="D47" s="1478">
        <f t="shared" si="34"/>
        <v>148.06267029972753</v>
      </c>
      <c r="E47" s="1478">
        <f t="shared" si="57"/>
        <v>216.46288379323747</v>
      </c>
      <c r="F47" s="1478">
        <f t="shared" si="57"/>
        <v>134.23529411764704</v>
      </c>
      <c r="G47" s="3258">
        <v>2007</v>
      </c>
      <c r="H47" s="1465">
        <v>2</v>
      </c>
      <c r="I47" s="1465">
        <v>3.67</v>
      </c>
      <c r="J47" s="1465">
        <v>2.3199999999999998</v>
      </c>
      <c r="K47" s="1465">
        <v>5.0199999999999996</v>
      </c>
      <c r="L47" s="1480">
        <v>6.71</v>
      </c>
      <c r="N47" s="1525">
        <f t="shared" si="54"/>
        <v>3.0339138143848032E-2</v>
      </c>
      <c r="O47" s="1526">
        <f t="shared" si="54"/>
        <v>2.0922341588790472E-2</v>
      </c>
      <c r="P47" s="1526">
        <f t="shared" si="55"/>
        <v>5.6164796592717003E-2</v>
      </c>
      <c r="Q47" s="1526">
        <f t="shared" si="55"/>
        <v>6.5704536723887319E-2</v>
      </c>
      <c r="R47" s="1475"/>
      <c r="S47" s="1473"/>
      <c r="T47" s="1474"/>
      <c r="U47" s="1474"/>
      <c r="V47" s="1474"/>
      <c r="X47" s="1527"/>
      <c r="Y47" s="1527"/>
      <c r="Z47" s="1527"/>
    </row>
    <row r="48" spans="1:26">
      <c r="A48" s="1461" t="s">
        <v>1191</v>
      </c>
      <c r="B48" s="1478">
        <f t="shared" si="56"/>
        <v>163.84913591779542</v>
      </c>
      <c r="C48" s="1478">
        <f t="shared" si="56"/>
        <v>145.0283378746594</v>
      </c>
      <c r="D48" s="1478">
        <f t="shared" si="34"/>
        <v>145.0283378746594</v>
      </c>
      <c r="E48" s="1478">
        <f t="shared" si="57"/>
        <v>204.95180722891567</v>
      </c>
      <c r="F48" s="1478">
        <f t="shared" si="57"/>
        <v>125.95920303605313</v>
      </c>
      <c r="G48" s="3259">
        <v>2007</v>
      </c>
      <c r="H48" s="1464">
        <v>1</v>
      </c>
      <c r="I48" s="1464">
        <v>3.58</v>
      </c>
      <c r="J48" s="1464">
        <v>3.08</v>
      </c>
      <c r="K48" s="1464">
        <v>4.34</v>
      </c>
      <c r="L48" s="1479">
        <v>3.21</v>
      </c>
      <c r="N48" s="1528">
        <f t="shared" si="54"/>
        <v>3.0497710174814063E-2</v>
      </c>
      <c r="O48" s="1529">
        <f t="shared" si="54"/>
        <v>2.8569772160704998E-2</v>
      </c>
      <c r="P48" s="1529">
        <f t="shared" si="55"/>
        <v>5.1034908866234296E-2</v>
      </c>
      <c r="Q48" s="1529">
        <f t="shared" si="55"/>
        <v>3.245248390207478E-2</v>
      </c>
      <c r="R48" s="1475"/>
      <c r="S48" s="1481">
        <f>B48/B49-1</f>
        <v>3.0497710174814063E-2</v>
      </c>
      <c r="T48" s="1482">
        <f>C48/C49-1</f>
        <v>2.8569772160704998E-2</v>
      </c>
      <c r="U48" s="1482">
        <f>E48/E49-1</f>
        <v>5.1034908866234296E-2</v>
      </c>
      <c r="V48" s="1482">
        <f>F48/F49-1</f>
        <v>3.245248390207478E-2</v>
      </c>
      <c r="X48" s="1527"/>
      <c r="Y48" s="1527"/>
      <c r="Z48" s="1527"/>
    </row>
    <row r="49" spans="1:26" ht="13.5" thickBot="1">
      <c r="A49" s="1461" t="s">
        <v>1192</v>
      </c>
      <c r="B49" s="1491">
        <v>159</v>
      </c>
      <c r="C49" s="1491">
        <v>141</v>
      </c>
      <c r="D49" s="1491">
        <f t="shared" si="34"/>
        <v>141</v>
      </c>
      <c r="E49" s="1491">
        <v>195</v>
      </c>
      <c r="F49" s="1492">
        <v>122</v>
      </c>
      <c r="G49" s="3257">
        <v>2006</v>
      </c>
      <c r="H49" s="1483">
        <v>4</v>
      </c>
      <c r="I49" s="1483">
        <v>3.79</v>
      </c>
      <c r="J49" s="1483">
        <v>2.21</v>
      </c>
      <c r="K49" s="1483">
        <v>5.65</v>
      </c>
      <c r="L49" s="1484">
        <v>5.41</v>
      </c>
      <c r="N49" s="1525">
        <f t="shared" ref="N49:O52" si="58">I49/SUM(I$49:I$52)*(B$49/B$53-1)</f>
        <v>7.245466462748526E-2</v>
      </c>
      <c r="O49" s="1526">
        <f t="shared" si="58"/>
        <v>2.3237230038062766E-2</v>
      </c>
      <c r="P49" s="1526">
        <f t="shared" ref="P49:Q52" si="59">K49/SUM(K$49:K$52)*(E$49/E$53-1)</f>
        <v>0.16146893866323722</v>
      </c>
      <c r="Q49" s="1526">
        <f t="shared" si="59"/>
        <v>5.0755230321793784E-2</v>
      </c>
      <c r="R49" s="1475"/>
      <c r="S49" s="1476"/>
      <c r="T49" s="1477"/>
      <c r="U49" s="1477"/>
      <c r="V49" s="1477"/>
      <c r="X49" s="1527"/>
      <c r="Y49" s="1527"/>
      <c r="Z49" s="1527"/>
    </row>
    <row r="50" spans="1:26">
      <c r="A50" s="1461" t="s">
        <v>1193</v>
      </c>
      <c r="B50" s="1478">
        <f t="shared" ref="B50:C52" si="60">B51+(B$49-B$53)*I50/SUM(I$49:I$52)</f>
        <v>149.00125628140702</v>
      </c>
      <c r="C50" s="1478">
        <f t="shared" si="60"/>
        <v>137.95592286501378</v>
      </c>
      <c r="D50" s="1478">
        <f t="shared" si="34"/>
        <v>137.95592286501378</v>
      </c>
      <c r="E50" s="1478">
        <f t="shared" ref="E50:F52" si="61">E51+(E$49-E$53)*K50/SUM(K$49:K$52)</f>
        <v>169.97231450719823</v>
      </c>
      <c r="F50" s="1478">
        <f t="shared" si="61"/>
        <v>116.21390374331551</v>
      </c>
      <c r="G50" s="3258">
        <v>2006</v>
      </c>
      <c r="H50" s="1488">
        <v>3</v>
      </c>
      <c r="I50" s="1488">
        <v>0.92</v>
      </c>
      <c r="J50" s="1488">
        <v>1.08</v>
      </c>
      <c r="K50" s="1488">
        <v>0.73</v>
      </c>
      <c r="L50" s="1489">
        <v>1.08</v>
      </c>
      <c r="N50" s="1525">
        <f t="shared" si="58"/>
        <v>1.7587939698492462E-2</v>
      </c>
      <c r="O50" s="1526">
        <f t="shared" si="58"/>
        <v>1.1355750425840628E-2</v>
      </c>
      <c r="P50" s="1526">
        <f t="shared" si="59"/>
        <v>2.0862358446754544E-2</v>
      </c>
      <c r="Q50" s="1526">
        <f t="shared" si="59"/>
        <v>1.0132282578103011E-2</v>
      </c>
      <c r="R50" s="1475"/>
      <c r="S50" s="1473"/>
      <c r="T50" s="1474"/>
      <c r="U50" s="1474"/>
      <c r="V50" s="1474"/>
      <c r="X50" s="1527"/>
      <c r="Y50" s="1527"/>
      <c r="Z50" s="1527"/>
    </row>
    <row r="51" spans="1:26">
      <c r="A51" s="1461" t="s">
        <v>1194</v>
      </c>
      <c r="B51" s="1478">
        <f t="shared" si="60"/>
        <v>146.57412060301507</v>
      </c>
      <c r="C51" s="1478">
        <f t="shared" si="60"/>
        <v>136.46831955922866</v>
      </c>
      <c r="D51" s="1478">
        <f t="shared" si="34"/>
        <v>136.46831955922866</v>
      </c>
      <c r="E51" s="1478">
        <f t="shared" si="61"/>
        <v>166.73864894795128</v>
      </c>
      <c r="F51" s="1478">
        <f t="shared" si="61"/>
        <v>115.05882352941177</v>
      </c>
      <c r="G51" s="3258">
        <v>2006</v>
      </c>
      <c r="H51" s="1465">
        <v>2</v>
      </c>
      <c r="I51" s="1465">
        <v>0.96</v>
      </c>
      <c r="J51" s="1465">
        <v>0.25</v>
      </c>
      <c r="K51" s="1465">
        <v>1.9</v>
      </c>
      <c r="L51" s="1480">
        <v>0.95</v>
      </c>
      <c r="N51" s="1525">
        <f t="shared" si="58"/>
        <v>1.8352632728861701E-2</v>
      </c>
      <c r="O51" s="1526">
        <f t="shared" si="58"/>
        <v>2.6286459319075526E-3</v>
      </c>
      <c r="P51" s="1526">
        <f t="shared" si="59"/>
        <v>5.4299289107991269E-2</v>
      </c>
      <c r="Q51" s="1526">
        <f t="shared" si="59"/>
        <v>8.9126559714794995E-3</v>
      </c>
      <c r="R51" s="1475"/>
      <c r="S51" s="1473"/>
      <c r="T51" s="1474"/>
      <c r="U51" s="1474"/>
      <c r="V51" s="1474"/>
      <c r="X51" s="1527"/>
      <c r="Y51" s="1527"/>
      <c r="Z51" s="1527"/>
    </row>
    <row r="52" spans="1:26">
      <c r="A52" s="1461" t="s">
        <v>1195</v>
      </c>
      <c r="B52" s="1478">
        <f t="shared" si="60"/>
        <v>144.04145728643215</v>
      </c>
      <c r="C52" s="1478">
        <f t="shared" si="60"/>
        <v>136.12396694214877</v>
      </c>
      <c r="D52" s="1478">
        <f t="shared" si="34"/>
        <v>136.12396694214877</v>
      </c>
      <c r="E52" s="1478">
        <f t="shared" si="61"/>
        <v>158.32225913621264</v>
      </c>
      <c r="F52" s="1478">
        <f t="shared" si="61"/>
        <v>114.04278074866311</v>
      </c>
      <c r="G52" s="3259">
        <v>2006</v>
      </c>
      <c r="H52" s="1464">
        <v>1</v>
      </c>
      <c r="I52" s="1464">
        <v>2.29</v>
      </c>
      <c r="J52" s="1464">
        <v>3.72</v>
      </c>
      <c r="K52" s="1464">
        <v>0.75</v>
      </c>
      <c r="L52" s="1479">
        <v>0.04</v>
      </c>
      <c r="N52" s="1528">
        <f t="shared" si="58"/>
        <v>4.3778675988638847E-2</v>
      </c>
      <c r="O52" s="1529">
        <f t="shared" si="58"/>
        <v>3.9114251466784385E-2</v>
      </c>
      <c r="P52" s="1529">
        <f t="shared" si="59"/>
        <v>2.1433929911049188E-2</v>
      </c>
      <c r="Q52" s="1529">
        <f t="shared" si="59"/>
        <v>3.7526972511492629E-4</v>
      </c>
      <c r="R52" s="1475"/>
      <c r="S52" s="1481">
        <f>B52/B53-1</f>
        <v>4.3778675988638716E-2</v>
      </c>
      <c r="T52" s="1482">
        <f>C52/C53-1</f>
        <v>3.91142514667846E-2</v>
      </c>
      <c r="U52" s="1482">
        <f>E52/E53-1</f>
        <v>2.143392991104931E-2</v>
      </c>
      <c r="V52" s="1482">
        <f>F52/F53-1</f>
        <v>3.7526972511492396E-4</v>
      </c>
      <c r="X52" s="1527"/>
      <c r="Y52" s="1527"/>
      <c r="Z52" s="1527"/>
    </row>
    <row r="53" spans="1:26" ht="13.5" thickBot="1">
      <c r="A53" s="1461" t="s">
        <v>1196</v>
      </c>
      <c r="B53" s="1491">
        <v>138</v>
      </c>
      <c r="C53" s="1491">
        <v>131</v>
      </c>
      <c r="D53" s="1491">
        <f t="shared" si="34"/>
        <v>131</v>
      </c>
      <c r="E53" s="1491">
        <v>155</v>
      </c>
      <c r="F53" s="1492">
        <v>114</v>
      </c>
      <c r="G53" s="3257">
        <v>2005</v>
      </c>
      <c r="H53" s="1483">
        <v>4</v>
      </c>
      <c r="I53" s="1483">
        <v>3.29</v>
      </c>
      <c r="J53" s="1483">
        <v>1.44</v>
      </c>
      <c r="K53" s="1483">
        <v>0.66</v>
      </c>
      <c r="L53" s="1484">
        <v>7.78</v>
      </c>
      <c r="N53" s="1525">
        <f t="shared" ref="N53:O56" si="62">I53/SUM(I$53:I$56)*(B$53/B$57-1)</f>
        <v>9.9404603216919935E-2</v>
      </c>
      <c r="O53" s="1526">
        <f t="shared" si="62"/>
        <v>4.7636550760861554E-2</v>
      </c>
      <c r="P53" s="1526">
        <f t="shared" ref="P53:Q56" si="63">K53/SUM(K$53:K$56)*(E$53/E$57-1)</f>
        <v>8.3756345177664976E-2</v>
      </c>
      <c r="Q53" s="1526">
        <f t="shared" si="63"/>
        <v>5.2148766661559584E-2</v>
      </c>
      <c r="R53" s="1475"/>
      <c r="S53" s="1476"/>
      <c r="T53" s="1477"/>
      <c r="U53" s="1477"/>
      <c r="V53" s="1477"/>
      <c r="X53" s="1527"/>
      <c r="Y53" s="1527"/>
      <c r="Z53" s="1527"/>
    </row>
    <row r="54" spans="1:26">
      <c r="A54" s="1461" t="s">
        <v>1197</v>
      </c>
      <c r="B54" s="1478">
        <f t="shared" ref="B54:C56" si="64">B55+(B$53-B$57)*I54/SUM(I$53:I$56)</f>
        <v>125.9720430107527</v>
      </c>
      <c r="C54" s="1478">
        <f t="shared" si="64"/>
        <v>125.1883408071749</v>
      </c>
      <c r="D54" s="1478">
        <f t="shared" si="34"/>
        <v>125.1883408071749</v>
      </c>
      <c r="E54" s="1478">
        <f t="shared" ref="E54:F56" si="65">E55+(E$53-E$57)*K54/SUM(K$53:K$56)</f>
        <v>144.61421319796952</v>
      </c>
      <c r="F54" s="1478">
        <f t="shared" si="65"/>
        <v>108.42008196721311</v>
      </c>
      <c r="G54" s="3258">
        <v>2005</v>
      </c>
      <c r="H54" s="1488">
        <v>3</v>
      </c>
      <c r="I54" s="1488">
        <v>0.46</v>
      </c>
      <c r="J54" s="1488">
        <v>0.32</v>
      </c>
      <c r="K54" s="1488">
        <v>0.42</v>
      </c>
      <c r="L54" s="1489">
        <v>0.64</v>
      </c>
      <c r="N54" s="1525">
        <f t="shared" si="62"/>
        <v>1.3898515951301874E-2</v>
      </c>
      <c r="O54" s="1526">
        <f t="shared" si="62"/>
        <v>1.0585900169080346E-2</v>
      </c>
      <c r="P54" s="1526">
        <f t="shared" si="63"/>
        <v>5.3299492385786795E-2</v>
      </c>
      <c r="Q54" s="1526">
        <f t="shared" si="63"/>
        <v>4.2898728359123568E-3</v>
      </c>
      <c r="R54" s="1475"/>
      <c r="S54" s="1473"/>
      <c r="T54" s="1474"/>
      <c r="U54" s="1474"/>
      <c r="V54" s="1474"/>
      <c r="X54" s="1527"/>
      <c r="Y54" s="1527"/>
      <c r="Z54" s="1527"/>
    </row>
    <row r="55" spans="1:26">
      <c r="A55" s="1461" t="s">
        <v>1198</v>
      </c>
      <c r="B55" s="1478">
        <f t="shared" si="64"/>
        <v>124.29032258064517</v>
      </c>
      <c r="C55" s="1478">
        <f t="shared" si="64"/>
        <v>123.8968609865471</v>
      </c>
      <c r="D55" s="1478">
        <f t="shared" si="34"/>
        <v>123.8968609865471</v>
      </c>
      <c r="E55" s="1478">
        <f t="shared" si="65"/>
        <v>138.00507614213197</v>
      </c>
      <c r="F55" s="1478">
        <f t="shared" si="65"/>
        <v>107.96106557377048</v>
      </c>
      <c r="G55" s="3258">
        <v>2005</v>
      </c>
      <c r="H55" s="1465">
        <v>2</v>
      </c>
      <c r="I55" s="1465">
        <v>0.47</v>
      </c>
      <c r="J55" s="1465">
        <v>0.1</v>
      </c>
      <c r="K55" s="1465">
        <v>0.52</v>
      </c>
      <c r="L55" s="1480">
        <v>0.79</v>
      </c>
      <c r="N55" s="1525">
        <f t="shared" si="62"/>
        <v>1.420065760241713E-2</v>
      </c>
      <c r="O55" s="1526">
        <f t="shared" si="62"/>
        <v>3.3080938028376083E-3</v>
      </c>
      <c r="P55" s="1526">
        <f t="shared" si="63"/>
        <v>6.598984771573603E-2</v>
      </c>
      <c r="Q55" s="1526">
        <f t="shared" si="63"/>
        <v>5.2953117818293153E-3</v>
      </c>
      <c r="R55" s="1475"/>
      <c r="S55" s="1473"/>
      <c r="T55" s="1474"/>
      <c r="U55" s="1474"/>
      <c r="V55" s="1474"/>
      <c r="X55" s="1527"/>
      <c r="Y55" s="1527"/>
      <c r="Z55" s="1527"/>
    </row>
    <row r="56" spans="1:26">
      <c r="A56" s="1461" t="s">
        <v>1199</v>
      </c>
      <c r="B56" s="1478">
        <f t="shared" si="64"/>
        <v>122.57204301075269</v>
      </c>
      <c r="C56" s="1478">
        <f t="shared" si="64"/>
        <v>123.4932735426009</v>
      </c>
      <c r="D56" s="1478">
        <f t="shared" si="34"/>
        <v>123.4932735426009</v>
      </c>
      <c r="E56" s="1478">
        <f t="shared" si="65"/>
        <v>129.82233502538071</v>
      </c>
      <c r="F56" s="1478">
        <f t="shared" si="65"/>
        <v>107.39446721311475</v>
      </c>
      <c r="G56" s="3259">
        <v>2005</v>
      </c>
      <c r="H56" s="1464">
        <v>1</v>
      </c>
      <c r="I56" s="1464">
        <v>0.43</v>
      </c>
      <c r="J56" s="1464">
        <v>0.37</v>
      </c>
      <c r="K56" s="1464">
        <v>0.37</v>
      </c>
      <c r="L56" s="1479">
        <v>0.55000000000000004</v>
      </c>
      <c r="N56" s="1528">
        <f t="shared" si="62"/>
        <v>1.2992090997956099E-2</v>
      </c>
      <c r="O56" s="1529">
        <f t="shared" si="62"/>
        <v>1.2239947070499151E-2</v>
      </c>
      <c r="P56" s="1529">
        <f t="shared" si="63"/>
        <v>4.6954314720812178E-2</v>
      </c>
      <c r="Q56" s="1529">
        <f t="shared" si="63"/>
        <v>3.6866094683621815E-3</v>
      </c>
      <c r="R56" s="1475"/>
      <c r="S56" s="1481">
        <f>B56/B57-1</f>
        <v>1.2992090997956174E-2</v>
      </c>
      <c r="T56" s="1482">
        <f>C56/C57-1</f>
        <v>1.2239947070499246E-2</v>
      </c>
      <c r="U56" s="1482">
        <f>E56/E57-1</f>
        <v>4.695431472081224E-2</v>
      </c>
      <c r="V56" s="1482">
        <f>F56/F57-1</f>
        <v>3.6866094683620787E-3</v>
      </c>
      <c r="X56" s="1527"/>
      <c r="Y56" s="1527"/>
      <c r="Z56" s="1527"/>
    </row>
    <row r="57" spans="1:26" ht="13.5" thickBot="1">
      <c r="A57" s="1461" t="s">
        <v>1200</v>
      </c>
      <c r="B57" s="1512">
        <v>121</v>
      </c>
      <c r="C57" s="1512">
        <v>122</v>
      </c>
      <c r="D57" s="1512">
        <f t="shared" si="34"/>
        <v>122</v>
      </c>
      <c r="E57" s="1512">
        <v>124</v>
      </c>
      <c r="F57" s="1513">
        <v>107</v>
      </c>
      <c r="G57" s="3257">
        <v>2004</v>
      </c>
      <c r="H57" s="1483">
        <v>4</v>
      </c>
      <c r="I57" s="1483">
        <v>0.33</v>
      </c>
      <c r="J57" s="1483">
        <v>0.5</v>
      </c>
      <c r="K57" s="1483">
        <v>0.5</v>
      </c>
      <c r="L57" s="1484">
        <v>0</v>
      </c>
      <c r="N57" s="1525">
        <f t="shared" ref="N57:O60" si="66">I57/SUM(I$57:I$60)*(B$57/B$61-1)</f>
        <v>1.3391770148526898E-2</v>
      </c>
      <c r="O57" s="1526">
        <f t="shared" si="66"/>
        <v>1.063264221158958E-2</v>
      </c>
      <c r="P57" s="1526">
        <f t="shared" ref="P57:Q60" si="67">K57/SUM(K$57:K$60)*(E$57/E$61-1)</f>
        <v>2.2244466688911134E-2</v>
      </c>
      <c r="Q57" s="1526">
        <f t="shared" si="67"/>
        <v>0</v>
      </c>
      <c r="R57" s="1475"/>
      <c r="S57" s="1476"/>
      <c r="T57" s="1477"/>
      <c r="U57" s="1477"/>
      <c r="V57" s="1477"/>
      <c r="X57" s="1527"/>
      <c r="Y57" s="1527"/>
      <c r="Z57" s="1527"/>
    </row>
    <row r="58" spans="1:26">
      <c r="A58" s="1461" t="s">
        <v>1201</v>
      </c>
      <c r="B58" s="1478">
        <f t="shared" ref="B58:C60" si="68">B59+(B$57-B$61)*I58/SUM(I$57:I$60)</f>
        <v>119.51351351351352</v>
      </c>
      <c r="C58" s="1478">
        <f t="shared" si="68"/>
        <v>120.7878787878788</v>
      </c>
      <c r="D58" s="1478">
        <f t="shared" si="34"/>
        <v>120.7878787878788</v>
      </c>
      <c r="E58" s="1478">
        <f t="shared" ref="E58:F60" si="69">E59+(E$57-E$61)*K58/SUM(K$57:K$60)</f>
        <v>121.5975975975976</v>
      </c>
      <c r="F58" s="1478">
        <f t="shared" si="69"/>
        <v>107</v>
      </c>
      <c r="G58" s="3258">
        <v>2004</v>
      </c>
      <c r="H58" s="1488">
        <v>3</v>
      </c>
      <c r="I58" s="1488">
        <v>0.56000000000000005</v>
      </c>
      <c r="J58" s="1488">
        <v>0.8</v>
      </c>
      <c r="K58" s="1488">
        <v>0.83</v>
      </c>
      <c r="L58" s="1489">
        <v>0.06</v>
      </c>
      <c r="N58" s="1525">
        <f t="shared" si="66"/>
        <v>2.2725428130833527E-2</v>
      </c>
      <c r="O58" s="1526">
        <f t="shared" si="66"/>
        <v>1.7012227538543329E-2</v>
      </c>
      <c r="P58" s="1526">
        <f t="shared" si="67"/>
        <v>3.6925814703592477E-2</v>
      </c>
      <c r="Q58" s="1526">
        <f t="shared" si="67"/>
        <v>2.8846153846153744E-2</v>
      </c>
      <c r="R58" s="1475"/>
      <c r="S58" s="1473"/>
      <c r="T58" s="1474"/>
      <c r="U58" s="1474"/>
      <c r="V58" s="1474"/>
      <c r="X58" s="1527"/>
      <c r="Y58" s="1527"/>
      <c r="Z58" s="1527"/>
    </row>
    <row r="59" spans="1:26">
      <c r="A59" s="1461" t="s">
        <v>1202</v>
      </c>
      <c r="B59" s="1478">
        <f t="shared" si="68"/>
        <v>116.99099099099099</v>
      </c>
      <c r="C59" s="1478">
        <f t="shared" si="68"/>
        <v>118.84848484848486</v>
      </c>
      <c r="D59" s="1478">
        <f t="shared" si="34"/>
        <v>118.84848484848486</v>
      </c>
      <c r="E59" s="1478">
        <f t="shared" si="69"/>
        <v>117.60960960960961</v>
      </c>
      <c r="F59" s="1478">
        <f t="shared" si="69"/>
        <v>104</v>
      </c>
      <c r="G59" s="3258">
        <v>2004</v>
      </c>
      <c r="H59" s="1465">
        <v>2</v>
      </c>
      <c r="I59" s="1465">
        <v>1</v>
      </c>
      <c r="J59" s="1465">
        <v>1.5</v>
      </c>
      <c r="K59" s="1465">
        <v>1.5</v>
      </c>
      <c r="L59" s="1480">
        <v>0</v>
      </c>
      <c r="N59" s="1525">
        <f t="shared" si="66"/>
        <v>4.0581121662202721E-2</v>
      </c>
      <c r="O59" s="1526">
        <f t="shared" si="66"/>
        <v>3.1897926634768738E-2</v>
      </c>
      <c r="P59" s="1526">
        <f t="shared" si="67"/>
        <v>6.6733400066733395E-2</v>
      </c>
      <c r="Q59" s="1526">
        <f t="shared" si="67"/>
        <v>0</v>
      </c>
      <c r="R59" s="1475"/>
      <c r="S59" s="1473"/>
      <c r="T59" s="1474"/>
      <c r="U59" s="1474"/>
      <c r="V59" s="1474"/>
      <c r="X59" s="1527"/>
      <c r="Y59" s="1527"/>
      <c r="Z59" s="1527"/>
    </row>
    <row r="60" spans="1:26" s="1518" customFormat="1" ht="13.5" thickBot="1">
      <c r="A60" s="1461" t="s">
        <v>1203</v>
      </c>
      <c r="B60" s="1515">
        <f t="shared" si="68"/>
        <v>112.48648648648648</v>
      </c>
      <c r="C60" s="1515">
        <f t="shared" si="68"/>
        <v>115.21212121212122</v>
      </c>
      <c r="D60" s="1515">
        <f t="shared" si="34"/>
        <v>115.21212121212122</v>
      </c>
      <c r="E60" s="1515">
        <f t="shared" si="69"/>
        <v>110.4024024024024</v>
      </c>
      <c r="F60" s="1515">
        <f t="shared" si="69"/>
        <v>104</v>
      </c>
      <c r="G60" s="3259">
        <v>2004</v>
      </c>
      <c r="H60" s="1516">
        <v>1</v>
      </c>
      <c r="I60" s="1516">
        <v>0.33</v>
      </c>
      <c r="J60" s="1516">
        <v>0.5</v>
      </c>
      <c r="K60" s="1516">
        <v>0.5</v>
      </c>
      <c r="L60" s="1517">
        <v>0</v>
      </c>
      <c r="N60" s="1530">
        <f t="shared" si="66"/>
        <v>1.3391770148526898E-2</v>
      </c>
      <c r="O60" s="1531">
        <f t="shared" si="66"/>
        <v>1.063264221158958E-2</v>
      </c>
      <c r="P60" s="1531">
        <f t="shared" si="67"/>
        <v>2.2244466688911134E-2</v>
      </c>
      <c r="Q60" s="1531">
        <f t="shared" si="67"/>
        <v>0</v>
      </c>
      <c r="R60" s="1521"/>
      <c r="S60" s="1519">
        <f>B60/B61-1</f>
        <v>1.3391770148526883E-2</v>
      </c>
      <c r="T60" s="1520">
        <f>C60/C61-1</f>
        <v>1.063264221158966E-2</v>
      </c>
      <c r="U60" s="1520">
        <f>E60/E61-1</f>
        <v>2.2244466688911224E-2</v>
      </c>
      <c r="V60" s="1520">
        <f>F60/F61-1</f>
        <v>0</v>
      </c>
      <c r="X60" s="1532"/>
      <c r="Y60" s="1532"/>
      <c r="Z60" s="1532"/>
    </row>
    <row r="61" spans="1:26" ht="13.5" thickBot="1">
      <c r="A61" s="1461" t="s">
        <v>1204</v>
      </c>
      <c r="B61" s="1533">
        <v>111</v>
      </c>
      <c r="C61" s="1533">
        <v>114</v>
      </c>
      <c r="D61" s="1533">
        <f t="shared" si="34"/>
        <v>114</v>
      </c>
      <c r="E61" s="1533">
        <v>108</v>
      </c>
      <c r="F61" s="1534">
        <v>104</v>
      </c>
      <c r="G61" s="3257">
        <v>2003</v>
      </c>
      <c r="H61" s="1523">
        <v>4</v>
      </c>
      <c r="I61" s="1535"/>
      <c r="J61" s="1535"/>
      <c r="K61" s="1535"/>
      <c r="L61" s="1535"/>
      <c r="N61" s="1536"/>
      <c r="O61" s="1535"/>
      <c r="P61" s="1535"/>
      <c r="Q61" s="1535"/>
      <c r="S61" s="1536"/>
      <c r="T61" s="1535"/>
      <c r="U61" s="1535"/>
      <c r="V61" s="1535"/>
      <c r="X61" s="1527"/>
      <c r="Y61" s="1527"/>
      <c r="Z61" s="1527"/>
    </row>
    <row r="62" spans="1:26">
      <c r="A62" s="1461" t="s">
        <v>1205</v>
      </c>
      <c r="B62" s="1537">
        <f t="shared" ref="B62:C64" si="70">B63+(B$61-B$65)/4</f>
        <v>109.75</v>
      </c>
      <c r="C62" s="1537">
        <f t="shared" si="70"/>
        <v>112.25</v>
      </c>
      <c r="D62" s="1537">
        <f t="shared" si="34"/>
        <v>112.25</v>
      </c>
      <c r="E62" s="1537">
        <f t="shared" ref="E62:F64" si="71">E63+(E$61-E$65)/4</f>
        <v>107.25</v>
      </c>
      <c r="F62" s="1537">
        <f t="shared" si="71"/>
        <v>103.5</v>
      </c>
      <c r="G62" s="3258">
        <v>2003</v>
      </c>
      <c r="H62" s="1488">
        <v>3</v>
      </c>
      <c r="I62" s="1535"/>
      <c r="J62" s="1535"/>
      <c r="K62" s="1535"/>
      <c r="L62" s="1535"/>
      <c r="X62" s="1527"/>
      <c r="Y62" s="1527"/>
      <c r="Z62" s="1527"/>
    </row>
    <row r="63" spans="1:26">
      <c r="A63" s="1461" t="s">
        <v>1206</v>
      </c>
      <c r="B63" s="1537">
        <f t="shared" si="70"/>
        <v>108.5</v>
      </c>
      <c r="C63" s="1537">
        <f t="shared" si="70"/>
        <v>110.5</v>
      </c>
      <c r="D63" s="1537">
        <f t="shared" si="34"/>
        <v>110.5</v>
      </c>
      <c r="E63" s="1537">
        <f t="shared" si="71"/>
        <v>106.5</v>
      </c>
      <c r="F63" s="1537">
        <f t="shared" si="71"/>
        <v>103</v>
      </c>
      <c r="G63" s="3258">
        <v>2003</v>
      </c>
      <c r="H63" s="1465">
        <v>2</v>
      </c>
      <c r="I63" s="1535"/>
      <c r="J63" s="1535"/>
      <c r="K63" s="1535"/>
      <c r="L63" s="1535"/>
      <c r="X63" s="1527"/>
      <c r="Y63" s="1527"/>
      <c r="Z63" s="1527"/>
    </row>
    <row r="64" spans="1:26" ht="13.5" thickBot="1">
      <c r="A64" s="1461" t="s">
        <v>1207</v>
      </c>
      <c r="B64" s="1537">
        <f t="shared" si="70"/>
        <v>107.25</v>
      </c>
      <c r="C64" s="1537">
        <f t="shared" si="70"/>
        <v>108.75</v>
      </c>
      <c r="D64" s="1537">
        <f t="shared" si="34"/>
        <v>108.75</v>
      </c>
      <c r="E64" s="1537">
        <f t="shared" si="71"/>
        <v>105.75</v>
      </c>
      <c r="F64" s="1537">
        <f t="shared" si="71"/>
        <v>102.5</v>
      </c>
      <c r="G64" s="3259">
        <v>2003</v>
      </c>
      <c r="H64" s="1538">
        <v>1</v>
      </c>
      <c r="I64" s="1535"/>
      <c r="J64" s="1535"/>
      <c r="K64" s="1535"/>
      <c r="L64" s="1535"/>
      <c r="S64" s="1473"/>
      <c r="T64" s="1474"/>
      <c r="U64" s="1474"/>
      <c r="X64" s="1527"/>
      <c r="Y64" s="1527"/>
      <c r="Z64" s="1527"/>
    </row>
    <row r="65" spans="1:26" ht="13.5" thickBot="1">
      <c r="A65" s="1461" t="s">
        <v>1208</v>
      </c>
      <c r="B65" s="1539">
        <v>106</v>
      </c>
      <c r="C65" s="1539">
        <v>107</v>
      </c>
      <c r="D65" s="1539">
        <f t="shared" si="34"/>
        <v>107</v>
      </c>
      <c r="E65" s="1539">
        <v>105</v>
      </c>
      <c r="F65" s="1540">
        <v>102</v>
      </c>
      <c r="G65" s="3257">
        <v>2002</v>
      </c>
      <c r="H65" s="1483">
        <v>4</v>
      </c>
      <c r="I65" s="1535"/>
      <c r="J65" s="1535"/>
      <c r="K65" s="1535"/>
      <c r="L65" s="1535"/>
      <c r="N65" s="1536"/>
      <c r="O65" s="1535"/>
      <c r="P65" s="1535"/>
      <c r="Q65" s="1535"/>
      <c r="S65" s="1536"/>
      <c r="T65" s="1535"/>
      <c r="U65" s="1535"/>
      <c r="V65" s="1535"/>
      <c r="X65" s="1527"/>
      <c r="Y65" s="1527"/>
      <c r="Z65" s="1527"/>
    </row>
    <row r="66" spans="1:26">
      <c r="A66" s="1461" t="s">
        <v>1209</v>
      </c>
      <c r="B66" s="1537">
        <f t="shared" ref="B66:C68" si="72">B67+(B$65-B$69)/4</f>
        <v>105</v>
      </c>
      <c r="C66" s="1537">
        <f t="shared" si="72"/>
        <v>106</v>
      </c>
      <c r="D66" s="1537">
        <f t="shared" si="34"/>
        <v>106</v>
      </c>
      <c r="E66" s="1537">
        <f t="shared" ref="E66:F68" si="73">E67+(E$65-E$69)/4</f>
        <v>104.5</v>
      </c>
      <c r="F66" s="1537">
        <f t="shared" si="73"/>
        <v>101.5</v>
      </c>
      <c r="G66" s="3258">
        <v>2002</v>
      </c>
      <c r="H66" s="1488">
        <v>3</v>
      </c>
      <c r="I66" s="1535"/>
      <c r="J66" s="1535"/>
      <c r="K66" s="1535"/>
      <c r="L66" s="1535"/>
      <c r="X66" s="1527"/>
      <c r="Y66" s="1527"/>
      <c r="Z66" s="1527"/>
    </row>
    <row r="67" spans="1:26">
      <c r="A67" s="1461" t="s">
        <v>1210</v>
      </c>
      <c r="B67" s="1537">
        <f t="shared" si="72"/>
        <v>104</v>
      </c>
      <c r="C67" s="1537">
        <f t="shared" si="72"/>
        <v>105</v>
      </c>
      <c r="D67" s="1537">
        <f t="shared" si="34"/>
        <v>105</v>
      </c>
      <c r="E67" s="1537">
        <f t="shared" si="73"/>
        <v>104</v>
      </c>
      <c r="F67" s="1537">
        <f t="shared" si="73"/>
        <v>101</v>
      </c>
      <c r="G67" s="3258">
        <v>2002</v>
      </c>
      <c r="H67" s="1465">
        <v>2</v>
      </c>
      <c r="I67" s="1535"/>
      <c r="J67" s="1535"/>
      <c r="K67" s="1535"/>
      <c r="L67" s="1535"/>
      <c r="X67" s="1527"/>
      <c r="Y67" s="1527"/>
      <c r="Z67" s="1527"/>
    </row>
    <row r="68" spans="1:26" s="1499" customFormat="1" ht="13.5" thickBot="1">
      <c r="A68" s="1495" t="s">
        <v>1211</v>
      </c>
      <c r="B68" s="1541">
        <f t="shared" si="72"/>
        <v>103</v>
      </c>
      <c r="C68" s="1541">
        <f t="shared" si="72"/>
        <v>104</v>
      </c>
      <c r="D68" s="1541">
        <f t="shared" si="34"/>
        <v>104</v>
      </c>
      <c r="E68" s="1541">
        <f t="shared" si="73"/>
        <v>103.5</v>
      </c>
      <c r="F68" s="1541">
        <f t="shared" si="73"/>
        <v>100.5</v>
      </c>
      <c r="G68" s="3259">
        <v>2002</v>
      </c>
      <c r="H68" s="1542">
        <v>1</v>
      </c>
      <c r="I68" s="1543"/>
      <c r="J68" s="1543"/>
      <c r="K68" s="1543"/>
      <c r="L68" s="1543"/>
      <c r="N68" s="1544"/>
      <c r="S68" s="1544"/>
      <c r="X68" s="1545"/>
      <c r="Y68" s="1545"/>
      <c r="Z68" s="1545"/>
    </row>
    <row r="69" spans="1:26" ht="13.5" thickBot="1">
      <c r="B69" s="1546">
        <v>102</v>
      </c>
      <c r="C69" s="1547">
        <v>103</v>
      </c>
      <c r="D69" s="1547">
        <f t="shared" si="34"/>
        <v>103</v>
      </c>
      <c r="E69" s="1547">
        <v>103</v>
      </c>
      <c r="F69" s="1548">
        <v>100</v>
      </c>
      <c r="I69" s="1535"/>
      <c r="J69" s="1535"/>
      <c r="K69" s="1535"/>
      <c r="L69" s="1535"/>
      <c r="N69" s="1536"/>
      <c r="O69" s="1535"/>
      <c r="P69" s="1535"/>
      <c r="Q69" s="1535"/>
      <c r="S69" s="1536"/>
      <c r="T69" s="1535"/>
      <c r="U69" s="1535"/>
      <c r="V69" s="1535"/>
      <c r="X69" s="1477"/>
      <c r="Y69" s="1477"/>
      <c r="Z69" s="1477"/>
    </row>
    <row r="71" spans="1:26" s="1550" customFormat="1">
      <c r="A71" s="1549" t="s">
        <v>1212</v>
      </c>
      <c r="G71" s="1551"/>
      <c r="N71" s="1551"/>
      <c r="S71" s="1551"/>
    </row>
    <row r="72" spans="1:26" s="1550" customFormat="1">
      <c r="A72" s="1550" t="s">
        <v>1213</v>
      </c>
      <c r="G72" s="1551"/>
      <c r="N72" s="1551"/>
      <c r="S72" s="1551"/>
    </row>
    <row r="73" spans="1:26" s="1550" customFormat="1">
      <c r="A73" s="1550" t="s">
        <v>1214</v>
      </c>
      <c r="G73" s="1551"/>
      <c r="I73" s="1552"/>
      <c r="J73" s="1552"/>
      <c r="K73" s="1552"/>
      <c r="L73" s="1552"/>
      <c r="N73" s="1553"/>
      <c r="O73" s="1552"/>
      <c r="P73" s="1552"/>
      <c r="Q73" s="1552"/>
      <c r="S73" s="1553"/>
      <c r="T73" s="1552"/>
      <c r="U73" s="1552"/>
      <c r="V73" s="1552"/>
    </row>
    <row r="74" spans="1:26" s="1550" customFormat="1">
      <c r="A74" s="1550" t="s">
        <v>1215</v>
      </c>
      <c r="G74" s="1551"/>
      <c r="N74" s="1551"/>
      <c r="S74" s="1551"/>
    </row>
    <row r="81" spans="7:22" ht="13.5" thickBot="1"/>
    <row r="82" spans="7:22">
      <c r="G82" s="1472"/>
      <c r="S82" s="1554" t="s">
        <v>1216</v>
      </c>
      <c r="T82" s="1555" t="s">
        <v>1217</v>
      </c>
      <c r="U82" s="1555" t="s">
        <v>1218</v>
      </c>
      <c r="V82" s="1555" t="s">
        <v>1219</v>
      </c>
    </row>
    <row r="83" spans="7:22">
      <c r="G83" s="1472"/>
      <c r="N83" s="1476"/>
      <c r="O83" s="1477"/>
      <c r="P83" s="1477"/>
      <c r="Q83" s="1477"/>
      <c r="S83" s="1556">
        <v>2006</v>
      </c>
      <c r="T83" s="1557">
        <v>15.1</v>
      </c>
      <c r="U83" s="1557">
        <v>7.43</v>
      </c>
      <c r="V83" s="1557">
        <v>26.26</v>
      </c>
    </row>
    <row r="84" spans="7:22">
      <c r="G84" s="1472"/>
      <c r="N84" s="1476"/>
      <c r="O84" s="1477"/>
      <c r="P84" s="1477"/>
      <c r="Q84" s="1477"/>
      <c r="S84" s="1558">
        <v>2005</v>
      </c>
      <c r="T84" s="1559">
        <v>13.9</v>
      </c>
      <c r="U84" s="1559">
        <v>7.49</v>
      </c>
      <c r="V84" s="1559">
        <v>24.92</v>
      </c>
    </row>
    <row r="85" spans="7:22">
      <c r="G85" s="1472"/>
      <c r="N85" s="1476"/>
      <c r="O85" s="1477"/>
      <c r="P85" s="1477"/>
      <c r="Q85" s="1477"/>
      <c r="S85" s="1556">
        <v>2004</v>
      </c>
      <c r="T85" s="1557">
        <v>9.48</v>
      </c>
      <c r="U85" s="1557">
        <v>7.2</v>
      </c>
      <c r="V85" s="1557">
        <v>14.68</v>
      </c>
    </row>
    <row r="86" spans="7:22">
      <c r="G86" s="1472"/>
      <c r="N86" s="1476"/>
      <c r="O86" s="1477"/>
      <c r="P86" s="1477"/>
      <c r="Q86" s="1477"/>
      <c r="S86" s="1558">
        <v>2003</v>
      </c>
      <c r="T86" s="1559">
        <v>4.5</v>
      </c>
      <c r="U86" s="1559">
        <v>6.12</v>
      </c>
      <c r="V86" s="1559">
        <v>2.34</v>
      </c>
    </row>
    <row r="87" spans="7:22" ht="13.5" thickBot="1">
      <c r="G87" s="1472"/>
      <c r="N87" s="1476"/>
      <c r="O87" s="1477"/>
      <c r="P87" s="1477"/>
      <c r="Q87" s="1477"/>
      <c r="S87" s="1560">
        <v>2002</v>
      </c>
      <c r="T87" s="1561">
        <v>3.59</v>
      </c>
      <c r="U87" s="1561">
        <v>4.54</v>
      </c>
      <c r="V87" s="1561">
        <v>2.5499999999999998</v>
      </c>
    </row>
    <row r="88" spans="7:22">
      <c r="G88" s="1472"/>
      <c r="N88" s="1476"/>
      <c r="O88" s="1477"/>
      <c r="P88" s="1477"/>
      <c r="Q88" s="1477"/>
    </row>
    <row r="89" spans="7:22">
      <c r="G89" s="1472"/>
      <c r="N89" s="1476"/>
      <c r="O89" s="1477"/>
      <c r="P89" s="1477"/>
      <c r="Q89" s="1477"/>
    </row>
    <row r="90" spans="7:22">
      <c r="G90" s="1472"/>
      <c r="N90" s="1476"/>
      <c r="O90" s="1477"/>
      <c r="P90" s="1477"/>
      <c r="Q90" s="1477"/>
    </row>
    <row r="91" spans="7:22">
      <c r="G91" s="1472"/>
      <c r="N91" s="1476"/>
      <c r="O91" s="1477"/>
      <c r="P91" s="1477"/>
      <c r="Q91" s="1477"/>
    </row>
    <row r="92" spans="7:22">
      <c r="G92" s="1472"/>
      <c r="N92" s="1476"/>
      <c r="O92" s="1477"/>
      <c r="P92" s="1477"/>
      <c r="Q92" s="1477"/>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c r="S98" s="1472"/>
    </row>
    <row r="99" spans="7:19">
      <c r="G99" s="1472"/>
      <c r="N99" s="1476"/>
      <c r="O99" s="1477"/>
      <c r="P99" s="1477"/>
      <c r="Q99" s="1477"/>
      <c r="S99" s="1472"/>
    </row>
    <row r="100" spans="7:19">
      <c r="G100" s="1472"/>
      <c r="N100" s="1476"/>
      <c r="O100" s="1477"/>
      <c r="P100" s="1477"/>
      <c r="Q100" s="1477"/>
      <c r="S100" s="1472"/>
    </row>
    <row r="101" spans="7:19">
      <c r="G101" s="1472"/>
      <c r="N101" s="1476"/>
      <c r="O101" s="1477"/>
      <c r="P101" s="1477"/>
      <c r="Q101" s="1477"/>
      <c r="S101" s="1472"/>
    </row>
    <row r="102" spans="7:19">
      <c r="G102" s="1472"/>
      <c r="N102" s="1476"/>
      <c r="O102" s="1477"/>
      <c r="P102" s="1477"/>
      <c r="Q102" s="1477"/>
      <c r="S102" s="1472"/>
    </row>
    <row r="103" spans="7:19">
      <c r="G103" s="1472"/>
      <c r="N103" s="1476"/>
      <c r="O103" s="1477"/>
      <c r="P103" s="1477"/>
      <c r="Q103" s="1477"/>
      <c r="S103" s="1472"/>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7"/>
    <col min="20" max="45" width="9" style="794"/>
    <col min="46" max="16384" width="9" style="137"/>
  </cols>
  <sheetData>
    <row r="1" spans="1:45" ht="14.25" customHeight="1" thickBot="1">
      <c r="A1" s="154"/>
      <c r="B1" s="1204" t="s">
        <v>3008</v>
      </c>
      <c r="C1" s="3268" t="s">
        <v>3009</v>
      </c>
      <c r="D1" s="3269"/>
      <c r="E1" s="3269"/>
      <c r="F1" s="3269"/>
      <c r="G1" s="3269"/>
      <c r="H1" s="3269"/>
      <c r="I1" s="3269"/>
      <c r="J1" s="3269"/>
      <c r="K1" s="3269"/>
      <c r="L1" s="3269"/>
      <c r="M1" s="3269"/>
      <c r="N1" s="3269"/>
      <c r="O1" s="3269"/>
      <c r="P1" s="3269"/>
      <c r="Q1" s="3269"/>
      <c r="R1" s="3269"/>
      <c r="S1" s="3270"/>
      <c r="T1" s="1204" t="s">
        <v>3010</v>
      </c>
    </row>
    <row r="2" spans="1:45" s="706" customFormat="1">
      <c r="A2" s="1205"/>
      <c r="B2" s="702" t="s">
        <v>3011</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6"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7"/>
      <c r="B3" s="707"/>
      <c r="C3" s="708"/>
      <c r="D3" s="709"/>
      <c r="E3" s="709"/>
      <c r="F3" s="1705"/>
      <c r="G3" s="1705"/>
      <c r="H3" s="1705"/>
      <c r="I3" s="1705"/>
      <c r="J3" s="1705"/>
      <c r="K3" s="1705"/>
      <c r="L3" s="1706"/>
      <c r="M3" s="1707"/>
      <c r="N3" s="1707"/>
      <c r="O3" s="1705"/>
      <c r="P3" s="1705"/>
      <c r="Q3" s="1705"/>
      <c r="R3" s="1705"/>
      <c r="S3" s="1708"/>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8"/>
      <c r="B4" s="1209"/>
      <c r="C4" s="1210"/>
      <c r="D4" s="1211"/>
      <c r="E4" s="1211"/>
      <c r="F4" s="1709"/>
      <c r="G4" s="1709"/>
      <c r="H4" s="1709"/>
      <c r="I4" s="1709"/>
      <c r="J4" s="1709"/>
      <c r="K4" s="1709"/>
      <c r="L4" s="1709"/>
      <c r="M4" s="1710"/>
      <c r="N4" s="1710"/>
      <c r="O4" s="1709"/>
      <c r="P4" s="1709"/>
      <c r="Q4" s="1709"/>
      <c r="R4" s="1709"/>
      <c r="S4" s="1711"/>
      <c r="T4" s="1214"/>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5"/>
      <c r="B5" s="1770" t="s">
        <v>3012</v>
      </c>
      <c r="C5" s="1216"/>
      <c r="D5" s="1217"/>
      <c r="E5" s="1217"/>
      <c r="F5" s="1712"/>
      <c r="G5" s="1712"/>
      <c r="H5" s="1712"/>
      <c r="I5" s="1712"/>
      <c r="J5" s="1712"/>
      <c r="K5" s="1712"/>
      <c r="L5" s="1713"/>
      <c r="M5" s="1714"/>
      <c r="N5" s="1714"/>
      <c r="O5" s="1712"/>
      <c r="P5" s="1712"/>
      <c r="Q5" s="1712"/>
      <c r="R5" s="1712"/>
      <c r="S5" s="1715"/>
      <c r="T5" s="1219"/>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5"/>
      <c r="B6" s="1116"/>
      <c r="C6" s="1122">
        <v>100</v>
      </c>
      <c r="D6" s="1119">
        <f>C6-$T5</f>
        <v>100</v>
      </c>
      <c r="E6" s="1119">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18"/>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5"/>
      <c r="B7" s="1771" t="s">
        <v>3013</v>
      </c>
      <c r="C7" s="1121"/>
      <c r="D7" s="1115"/>
      <c r="E7" s="1115"/>
      <c r="F7" s="1717"/>
      <c r="G7" s="1717"/>
      <c r="H7" s="1717"/>
      <c r="I7" s="1717"/>
      <c r="J7" s="1717"/>
      <c r="K7" s="1717"/>
      <c r="L7" s="1717"/>
      <c r="M7" s="1718"/>
      <c r="N7" s="1719"/>
      <c r="O7" s="1720"/>
      <c r="P7" s="1721"/>
      <c r="Q7" s="1722"/>
      <c r="R7" s="1723"/>
      <c r="S7" s="1724"/>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5"/>
      <c r="B8" s="1116"/>
      <c r="C8" s="1122">
        <v>100</v>
      </c>
      <c r="D8" s="1119">
        <f>C8-$T7</f>
        <v>100</v>
      </c>
      <c r="E8" s="1119">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18"/>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5"/>
      <c r="B9" s="1771" t="s">
        <v>3014</v>
      </c>
      <c r="C9" s="1121"/>
      <c r="D9" s="1115"/>
      <c r="E9" s="1115"/>
      <c r="F9" s="1717"/>
      <c r="G9" s="1717"/>
      <c r="H9" s="1717"/>
      <c r="I9" s="1717"/>
      <c r="J9" s="1717"/>
      <c r="K9" s="1717"/>
      <c r="L9" s="1725"/>
      <c r="M9" s="1718"/>
      <c r="N9" s="1719"/>
      <c r="O9" s="1720"/>
      <c r="P9" s="1721"/>
      <c r="Q9" s="1722"/>
      <c r="R9" s="1723"/>
      <c r="S9" s="1724"/>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5"/>
      <c r="B10" s="1209"/>
      <c r="C10" s="1220">
        <v>100</v>
      </c>
      <c r="D10" s="1221">
        <f>C10-$T9</f>
        <v>100</v>
      </c>
      <c r="E10" s="1221">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4"/>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5"/>
      <c r="B11" s="1770" t="s">
        <v>3015</v>
      </c>
      <c r="C11" s="1216"/>
      <c r="D11" s="1217"/>
      <c r="E11" s="1217"/>
      <c r="F11" s="1217"/>
      <c r="G11" s="1217"/>
      <c r="H11" s="1217"/>
      <c r="I11" s="1217"/>
      <c r="J11" s="1217"/>
      <c r="K11" s="1217"/>
      <c r="L11" s="1217"/>
      <c r="M11" s="1218"/>
      <c r="N11" s="1222"/>
      <c r="O11" s="1223"/>
      <c r="P11" s="1224"/>
      <c r="Q11" s="1225"/>
      <c r="R11" s="1226"/>
      <c r="S11" s="1227"/>
      <c r="T11" s="1219"/>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5"/>
      <c r="B13" s="1770" t="s">
        <v>3016</v>
      </c>
      <c r="C13" s="1216"/>
      <c r="D13" s="1217"/>
      <c r="E13" s="1217"/>
      <c r="F13" s="1217"/>
      <c r="G13" s="1217"/>
      <c r="H13" s="1217"/>
      <c r="I13" s="1217"/>
      <c r="J13" s="1217"/>
      <c r="K13" s="1217"/>
      <c r="L13" s="1217"/>
      <c r="M13" s="1218"/>
      <c r="N13" s="1222"/>
      <c r="O13" s="1223"/>
      <c r="P13" s="1224"/>
      <c r="Q13" s="1225"/>
      <c r="R13" s="1226"/>
      <c r="S13" s="1227"/>
      <c r="T13" s="1228"/>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5"/>
      <c r="B15" s="1770" t="s">
        <v>3017</v>
      </c>
      <c r="C15" s="1216"/>
      <c r="D15" s="1217"/>
      <c r="E15" s="1217"/>
      <c r="F15" s="1217"/>
      <c r="G15" s="1217"/>
      <c r="H15" s="1217"/>
      <c r="I15" s="1217"/>
      <c r="J15" s="1217"/>
      <c r="K15" s="1217"/>
      <c r="L15" s="1217"/>
      <c r="M15" s="1218"/>
      <c r="N15" s="1222"/>
      <c r="O15" s="1223"/>
      <c r="P15" s="1224"/>
      <c r="Q15" s="1225"/>
      <c r="R15" s="1226"/>
      <c r="S15" s="1227"/>
      <c r="T15" s="1228"/>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15" t="s">
        <v>3018</v>
      </c>
      <c r="B17" s="2916" t="s">
        <v>3019</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5"/>
      <c r="AS17" s="795"/>
    </row>
    <row r="18" spans="1:45" s="706"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5"/>
      <c r="AS18" s="795"/>
    </row>
    <row r="19" spans="1:45">
      <c r="A19" s="136"/>
      <c r="B19" s="167"/>
      <c r="C19" s="167"/>
      <c r="D19" s="2917" t="s">
        <v>3020</v>
      </c>
      <c r="E19" s="1793"/>
      <c r="F19" s="1793"/>
      <c r="G19" s="1793"/>
      <c r="H19" s="1280"/>
      <c r="I19" s="167"/>
      <c r="J19" s="167"/>
      <c r="K19" s="167"/>
      <c r="L19" s="167"/>
      <c r="M19" s="167"/>
      <c r="N19" s="167"/>
      <c r="O19" s="167"/>
      <c r="P19" s="167"/>
      <c r="Q19" s="167"/>
      <c r="R19" s="787"/>
      <c r="S19" s="136"/>
    </row>
    <row r="20" spans="1:45" ht="16.5" thickBot="1">
      <c r="A20" s="714" t="s">
        <v>3021</v>
      </c>
      <c r="B20" s="337" t="e">
        <f ca="1">IF(D20="——",S22,S22-F20)</f>
        <v>#REF!</v>
      </c>
      <c r="C20" s="167"/>
      <c r="D20" s="2918" t="s">
        <v>3022</v>
      </c>
      <c r="E20" s="1794"/>
      <c r="F20" s="1204" t="e">
        <f ca="1">SUMIF(INDIRECT("'"&amp;H20&amp;"'"&amp;"!A:A"),"承租人权益价值",INDIRECT("'"&amp;H20&amp;"'"&amp;"!c:c"))</f>
        <v>#REF!</v>
      </c>
      <c r="G20" s="1204" t="s">
        <v>3023</v>
      </c>
      <c r="H20" s="2919"/>
      <c r="I20" s="167"/>
      <c r="J20" s="167"/>
      <c r="K20" s="167"/>
      <c r="L20" s="167"/>
      <c r="M20" s="167"/>
      <c r="N20" s="167"/>
      <c r="O20" s="167"/>
      <c r="P20" s="167"/>
      <c r="Q20" s="167"/>
      <c r="R20" s="787"/>
      <c r="S20" s="136"/>
    </row>
    <row r="21" spans="1:45" ht="15.75">
      <c r="A21" s="714" t="s">
        <v>3024</v>
      </c>
      <c r="B21" s="337">
        <f>R22</f>
        <v>10000</v>
      </c>
      <c r="C21" s="167"/>
      <c r="D21" s="167"/>
      <c r="E21" s="167"/>
      <c r="F21" s="167"/>
      <c r="G21" s="167"/>
      <c r="H21" s="167"/>
      <c r="I21" s="167"/>
      <c r="J21" s="167"/>
      <c r="K21" s="167"/>
      <c r="L21" s="167"/>
      <c r="M21" s="167"/>
      <c r="N21" s="167"/>
      <c r="O21" s="167"/>
      <c r="P21" s="167"/>
      <c r="Q21" s="167"/>
      <c r="R21" s="787"/>
      <c r="S21" s="136"/>
    </row>
    <row r="22" spans="1:45">
      <c r="A22" s="360" t="s">
        <v>3025</v>
      </c>
      <c r="B22" s="24">
        <f>SUM(B24:B10000)</f>
        <v>100</v>
      </c>
      <c r="C22" s="3127" t="s">
        <v>33</v>
      </c>
      <c r="D22" s="3128"/>
      <c r="E22" s="3128"/>
      <c r="F22" s="3128"/>
      <c r="G22" s="3128"/>
      <c r="H22" s="3128"/>
      <c r="I22" s="3128"/>
      <c r="J22" s="3128"/>
      <c r="K22" s="3128"/>
      <c r="L22" s="3128"/>
      <c r="M22" s="3128"/>
      <c r="N22" s="3128"/>
      <c r="O22" s="3128"/>
      <c r="P22" s="3128"/>
      <c r="Q22" s="3267"/>
      <c r="R22" s="715">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6" t="s">
        <v>3029</v>
      </c>
      <c r="S23" s="11" t="s">
        <v>3030</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3031</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PageLayoutView="80" workbookViewId="0">
      <selection activeCell="A3" sqref="A3:E3"/>
    </sheetView>
  </sheetViews>
  <sheetFormatPr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1623</v>
      </c>
      <c r="B1" s="1960"/>
      <c r="C1" s="1960"/>
      <c r="D1" s="1960"/>
      <c r="E1" s="1960"/>
    </row>
    <row r="2" spans="1:5" ht="78" customHeight="1">
      <c r="A2" s="295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1"/>
      <c r="C2" s="2951"/>
      <c r="D2" s="2951"/>
      <c r="E2" s="2951"/>
    </row>
    <row r="3" spans="1:5" ht="18">
      <c r="A3" s="2952" t="str">
        <f>IF(项目基本情况!B9="房地产市场价值","估价结果一览表（市场价值不需“结果表-1”）","估价结果一览表")</f>
        <v>估价结果一览表</v>
      </c>
      <c r="B3" s="2952"/>
      <c r="C3" s="2952"/>
      <c r="D3" s="2952"/>
      <c r="E3" s="2952"/>
    </row>
    <row r="4" spans="1:5" ht="19.5" thickBot="1">
      <c r="A4" s="1962"/>
      <c r="B4" s="2950" t="s">
        <v>1632</v>
      </c>
      <c r="C4" s="2950"/>
      <c r="D4" s="2950"/>
      <c r="E4" s="1962"/>
    </row>
    <row r="5" spans="1:5" ht="16.5" thickTop="1">
      <c r="A5" s="1960"/>
      <c r="B5" s="2948" t="s">
        <v>1624</v>
      </c>
      <c r="C5" s="1963" t="s">
        <v>1625</v>
      </c>
      <c r="D5" s="1041">
        <f ca="1">结果表!H101</f>
        <v>178880</v>
      </c>
      <c r="E5" s="1960"/>
    </row>
    <row r="6" spans="1:5" ht="15.75">
      <c r="A6" s="1960"/>
      <c r="B6" s="2948"/>
      <c r="C6" s="1963" t="s">
        <v>1626</v>
      </c>
      <c r="D6" s="1041" t="str">
        <f ca="1">NUMBERSTRING(INT(D5*10000),2)&amp;"元整"</f>
        <v>壹拾柒亿捌仟捌佰捌拾万元整</v>
      </c>
      <c r="E6" s="1960"/>
    </row>
    <row r="7" spans="1:5" ht="15.75">
      <c r="A7" s="1960"/>
      <c r="B7" s="2953"/>
      <c r="C7" s="1964" t="s">
        <v>1627</v>
      </c>
      <c r="D7" s="1042">
        <f ca="1">结果表!H102</f>
        <v>8517</v>
      </c>
      <c r="E7" s="1960"/>
    </row>
    <row r="8" spans="1:5" ht="15.75">
      <c r="A8" s="1960"/>
      <c r="B8" s="2954" t="str">
        <f>结果表!E103</f>
        <v>2.估价师知悉的法定优先受偿款</v>
      </c>
      <c r="C8" s="1965" t="s">
        <v>1628</v>
      </c>
      <c r="D8" s="1042">
        <f>结果表!H103</f>
        <v>0</v>
      </c>
      <c r="E8" s="1960"/>
    </row>
    <row r="9" spans="1:5" ht="15.75">
      <c r="A9" s="1960"/>
      <c r="B9" s="2956"/>
      <c r="C9" s="1963" t="s">
        <v>1626</v>
      </c>
      <c r="D9" s="1041" t="str">
        <f>NUMBERSTRING(INT(D8*10000),2)&amp;"元整"</f>
        <v>零元整</v>
      </c>
      <c r="E9" s="1960"/>
    </row>
    <row r="10" spans="1:5" ht="15">
      <c r="A10" s="1960"/>
      <c r="B10" s="1966" t="s">
        <v>1631</v>
      </c>
      <c r="C10" s="1967" t="s">
        <v>1629</v>
      </c>
      <c r="D10" s="1043">
        <f>结果表!H104</f>
        <v>0</v>
      </c>
      <c r="E10" s="1960"/>
    </row>
    <row r="11" spans="1:5" ht="15">
      <c r="A11" s="1960"/>
      <c r="B11" s="1966" t="s">
        <v>1633</v>
      </c>
      <c r="C11" s="1967" t="s">
        <v>1634</v>
      </c>
      <c r="D11" s="1043">
        <f>结果表!H105</f>
        <v>0</v>
      </c>
      <c r="E11" s="1960"/>
    </row>
    <row r="12" spans="1:5" ht="15">
      <c r="A12" s="1960"/>
      <c r="B12" s="1966" t="s">
        <v>1635</v>
      </c>
      <c r="C12" s="1967" t="s">
        <v>1634</v>
      </c>
      <c r="D12" s="1043">
        <f>结果表!H106</f>
        <v>0</v>
      </c>
      <c r="E12" s="1960"/>
    </row>
    <row r="13" spans="1:5" ht="15.75">
      <c r="A13" s="1960"/>
      <c r="B13" s="2947" t="str">
        <f>结果表!E107</f>
        <v>3.房地产抵押价值</v>
      </c>
      <c r="C13" s="1968" t="s">
        <v>1625</v>
      </c>
      <c r="D13" s="1044">
        <f ca="1">结果表!H107</f>
        <v>178880</v>
      </c>
      <c r="E13" s="1960"/>
    </row>
    <row r="14" spans="1:5" ht="15.75">
      <c r="A14" s="1960"/>
      <c r="B14" s="2948"/>
      <c r="C14" s="1963" t="s">
        <v>1626</v>
      </c>
      <c r="D14" s="1041" t="str">
        <f ca="1">NUMBERSTRING(INT(D13*10000),2)&amp;"元整"</f>
        <v>壹拾柒亿捌仟捌佰捌拾万元整</v>
      </c>
      <c r="E14" s="1960"/>
    </row>
    <row r="15" spans="1:5" ht="15">
      <c r="A15" s="1960"/>
      <c r="B15" s="2953"/>
      <c r="C15" s="1964" t="s">
        <v>1636</v>
      </c>
      <c r="D15" s="1053">
        <f ca="1">结果表!H108</f>
        <v>8517</v>
      </c>
      <c r="E15" s="1960"/>
    </row>
    <row r="16" spans="1:5" ht="15">
      <c r="A16" s="1960"/>
      <c r="B16" s="2954" t="str">
        <f>结果表!E109</f>
        <v>4.抵押担保权已注销时的房地产抵押价值</v>
      </c>
      <c r="C16" s="1968" t="s">
        <v>1637</v>
      </c>
      <c r="D16" s="1969">
        <f ca="1">结果表!H109</f>
        <v>178880</v>
      </c>
      <c r="E16" s="1960"/>
    </row>
    <row r="17" spans="1:5" ht="15.75">
      <c r="A17" s="1960"/>
      <c r="B17" s="2955"/>
      <c r="C17" s="1963" t="s">
        <v>1638</v>
      </c>
      <c r="D17" s="1041" t="str">
        <f ca="1">NUMBERSTRING(INT(D16*10000),2)&amp;"元整"</f>
        <v>壹拾柒亿捌仟捌佰捌拾万元整</v>
      </c>
      <c r="E17" s="1960"/>
    </row>
    <row r="18" spans="1:5" ht="15">
      <c r="A18" s="1960"/>
      <c r="B18" s="2956"/>
      <c r="C18" s="1964" t="s">
        <v>1627</v>
      </c>
      <c r="D18" s="1053">
        <f ca="1">结果表!H110</f>
        <v>8517</v>
      </c>
      <c r="E18" s="1960"/>
    </row>
    <row r="19" spans="1:5" ht="15.75">
      <c r="A19" s="1960"/>
      <c r="B19" s="2947" t="str">
        <f>结果表!E111</f>
        <v>——</v>
      </c>
      <c r="C19" s="1968" t="s">
        <v>1625</v>
      </c>
      <c r="D19" s="1042" t="str">
        <f>结果表!H111</f>
        <v>——</v>
      </c>
      <c r="E19" s="1960"/>
    </row>
    <row r="20" spans="1:5" ht="15.75">
      <c r="A20" s="1960"/>
      <c r="B20" s="2948"/>
      <c r="C20" s="1963" t="s">
        <v>1638</v>
      </c>
      <c r="D20" s="1041" t="e">
        <f>NUMBERSTRING(INT(D19*10000),2)&amp;"元整"</f>
        <v>#VALUE!</v>
      </c>
      <c r="E20" s="1960"/>
    </row>
    <row r="21" spans="1:5" ht="15.75" thickBot="1">
      <c r="A21" s="1960"/>
      <c r="B21" s="2949"/>
      <c r="C21" s="1970" t="s">
        <v>1636</v>
      </c>
      <c r="D21" s="1054" t="str">
        <f>结果表!H112</f>
        <v>——</v>
      </c>
      <c r="E21" s="1960"/>
    </row>
    <row r="22" spans="1:5" ht="15" thickTop="1">
      <c r="A22" s="1960"/>
      <c r="B22" s="1971" t="s">
        <v>1639</v>
      </c>
      <c r="C22" s="1960"/>
      <c r="D22" s="1960"/>
      <c r="E22" s="1960"/>
    </row>
    <row r="23" spans="1:5">
      <c r="A23" s="1960"/>
      <c r="B23" s="1960"/>
      <c r="C23" s="1960"/>
      <c r="D23" s="1960"/>
      <c r="E23" s="1960"/>
    </row>
    <row r="24" spans="1:5" ht="18.75">
      <c r="A24" s="1972"/>
      <c r="B24" s="1973" t="s">
        <v>1630</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35649</v>
      </c>
      <c r="C2" s="2" t="s">
        <v>133</v>
      </c>
      <c r="D2" s="242"/>
      <c r="E2" s="242"/>
      <c r="F2" s="242"/>
      <c r="G2" s="242"/>
    </row>
    <row r="3" spans="1:7" s="243" customFormat="1" ht="18" customHeight="1" thickBot="1">
      <c r="A3" s="246" t="s">
        <v>85</v>
      </c>
      <c r="B3" s="247">
        <f ca="1">ROUND(B2*10000/'数据-汇总表'!E3,0)</f>
        <v>1697</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1148</v>
      </c>
    </row>
    <row r="9" spans="1:7" s="257" customFormat="1" ht="13.5" customHeight="1">
      <c r="A9" s="952" t="s">
        <v>800</v>
      </c>
      <c r="B9" s="267" t="s">
        <v>93</v>
      </c>
      <c r="C9" s="268">
        <f>ROUND(D9*E9/10000,0)</f>
        <v>0</v>
      </c>
      <c r="D9" s="1033">
        <f>'数据-汇总表'!E5</f>
        <v>135723.97</v>
      </c>
      <c r="E9" s="268">
        <f>'数据-取费表'!B27</f>
        <v>0</v>
      </c>
      <c r="F9" s="264"/>
      <c r="G9" s="269"/>
    </row>
    <row r="10" spans="1:7" s="257" customFormat="1" ht="13.5" customHeight="1">
      <c r="A10" s="952" t="s">
        <v>801</v>
      </c>
      <c r="B10" s="267" t="s">
        <v>94</v>
      </c>
      <c r="C10" s="268">
        <f ca="1">ROUND(D10*E10/10000,0)</f>
        <v>5571</v>
      </c>
      <c r="D10" s="1033">
        <f>'数据-汇总表'!E6</f>
        <v>74294.989999999991</v>
      </c>
      <c r="E10" s="268">
        <f ca="1">'数据-取费表'!B28</f>
        <v>749.85</v>
      </c>
      <c r="F10" s="264"/>
      <c r="G10" s="269"/>
    </row>
    <row r="11" spans="1:7" s="257" customFormat="1" ht="13.5" hidden="1" customHeight="1">
      <c r="A11" s="270" t="s">
        <v>7</v>
      </c>
      <c r="B11" s="258" t="s">
        <v>95</v>
      </c>
      <c r="C11" s="254"/>
      <c r="D11" s="1035"/>
      <c r="E11" s="261"/>
      <c r="F11" s="261"/>
      <c r="G11" s="262"/>
    </row>
    <row r="12" spans="1:7" s="257" customFormat="1" ht="13.5" hidden="1" customHeight="1">
      <c r="A12" s="270" t="s">
        <v>8</v>
      </c>
      <c r="B12" s="258" t="s">
        <v>96</v>
      </c>
      <c r="C12" s="254">
        <v>0</v>
      </c>
      <c r="D12" s="1035"/>
      <c r="E12" s="271"/>
      <c r="F12" s="264">
        <v>3.0499999999999999E-2</v>
      </c>
      <c r="G12" s="262"/>
    </row>
    <row r="13" spans="1:7" s="257" customFormat="1" ht="13.5" hidden="1" customHeight="1">
      <c r="A13" s="270" t="s">
        <v>9</v>
      </c>
      <c r="B13" s="258" t="s">
        <v>97</v>
      </c>
      <c r="C13" s="254"/>
      <c r="D13" s="1035"/>
      <c r="E13" s="261"/>
      <c r="F13" s="261"/>
      <c r="G13" s="262"/>
    </row>
    <row r="14" spans="1:7" s="257" customFormat="1" ht="13.5" hidden="1" customHeight="1">
      <c r="A14" s="270" t="s">
        <v>10</v>
      </c>
      <c r="B14" s="258" t="s">
        <v>92</v>
      </c>
      <c r="C14" s="254"/>
      <c r="D14" s="1035"/>
      <c r="E14" s="261"/>
      <c r="F14" s="261"/>
      <c r="G14" s="262" t="s">
        <v>98</v>
      </c>
    </row>
    <row r="15" spans="1:7" s="257" customFormat="1" ht="13.5" hidden="1" customHeight="1">
      <c r="A15" s="270" t="s">
        <v>11</v>
      </c>
      <c r="B15" s="258" t="s">
        <v>99</v>
      </c>
      <c r="C15" s="263"/>
      <c r="D15" s="1035"/>
      <c r="E15" s="261"/>
      <c r="F15" s="261"/>
      <c r="G15" s="262" t="s">
        <v>100</v>
      </c>
    </row>
    <row r="16" spans="1:7" s="257" customFormat="1" ht="13.5" hidden="1" customHeight="1">
      <c r="A16" s="270" t="s">
        <v>12</v>
      </c>
      <c r="B16" s="258" t="s">
        <v>92</v>
      </c>
      <c r="C16" s="263"/>
      <c r="D16" s="1035"/>
      <c r="E16" s="261"/>
      <c r="F16" s="261"/>
      <c r="G16" s="262"/>
    </row>
    <row r="17" spans="1:7" s="257" customFormat="1" ht="13.5" hidden="1" customHeight="1">
      <c r="A17" s="270" t="s">
        <v>13</v>
      </c>
      <c r="B17" s="258" t="s">
        <v>101</v>
      </c>
      <c r="C17" s="272"/>
      <c r="D17" s="1036"/>
      <c r="E17" s="272"/>
      <c r="F17" s="272"/>
      <c r="G17" s="262" t="s">
        <v>100</v>
      </c>
    </row>
    <row r="18" spans="1:7" s="257" customFormat="1" ht="13.5" hidden="1" customHeight="1">
      <c r="A18" s="270" t="s">
        <v>14</v>
      </c>
      <c r="B18" s="258" t="s">
        <v>102</v>
      </c>
      <c r="C18" s="263">
        <v>0</v>
      </c>
      <c r="D18" s="1035"/>
      <c r="E18" s="261"/>
      <c r="F18" s="264">
        <v>3.0499999999999999E-2</v>
      </c>
      <c r="G18" s="262" t="s">
        <v>103</v>
      </c>
    </row>
    <row r="19" spans="1:7" s="266" customFormat="1" ht="13.5" customHeight="1">
      <c r="A19" s="950" t="s">
        <v>1055</v>
      </c>
      <c r="B19" s="253" t="s">
        <v>111</v>
      </c>
      <c r="C19" s="254">
        <f>IF(G19="已包含在土地取得成本中","0",ROUND(D19*E19/10000,0))</f>
        <v>4200</v>
      </c>
      <c r="D19" s="1037">
        <f>'数据-汇总表'!E3</f>
        <v>210018.96</v>
      </c>
      <c r="E19" s="254">
        <f>'数据-取费表'!B31</f>
        <v>200</v>
      </c>
      <c r="F19" s="274"/>
      <c r="G19" s="1" t="s">
        <v>1074</v>
      </c>
    </row>
    <row r="20" spans="1:7" s="257" customFormat="1" ht="13.5" customHeight="1">
      <c r="A20" s="950" t="s">
        <v>1057</v>
      </c>
      <c r="B20" s="253" t="s">
        <v>104</v>
      </c>
      <c r="C20" s="275">
        <f>ROUND((C5+C19)*F20,0)</f>
        <v>496</v>
      </c>
      <c r="D20" s="275"/>
      <c r="E20" s="275"/>
      <c r="F20" s="276">
        <f>'数据-取费表'!B37</f>
        <v>0.02</v>
      </c>
      <c r="G20" s="1289" t="s">
        <v>1068</v>
      </c>
    </row>
    <row r="21" spans="1:7" s="257" customFormat="1" ht="13.5" customHeight="1">
      <c r="A21" s="950" t="s">
        <v>1059</v>
      </c>
      <c r="B21" s="253" t="s">
        <v>105</v>
      </c>
      <c r="C21" s="278">
        <f>F21</f>
        <v>0.03</v>
      </c>
      <c r="D21" s="279" t="s">
        <v>126</v>
      </c>
      <c r="E21" s="275"/>
      <c r="F21" s="276">
        <f>'数据-取费表'!B38</f>
        <v>0.03</v>
      </c>
      <c r="G21" s="277" t="s">
        <v>106</v>
      </c>
    </row>
    <row r="22" spans="1:7" s="257" customFormat="1" ht="13.5" customHeight="1">
      <c r="A22" s="950" t="s">
        <v>786</v>
      </c>
      <c r="B22" s="253" t="s">
        <v>107</v>
      </c>
      <c r="C22" s="1354">
        <f ca="1">ROUND(SUM(C23:C25),0)</f>
        <v>589</v>
      </c>
      <c r="D22" s="278">
        <f ca="1">C26</f>
        <v>4.0000000000000002E-4</v>
      </c>
      <c r="E22" s="279" t="s">
        <v>126</v>
      </c>
      <c r="F22" s="280">
        <f ca="1">'数据-取费表'!B40</f>
        <v>4.7500000000000001E-2</v>
      </c>
      <c r="G22" s="1289" t="str">
        <f>IF('数据-取费表'!B22&lt;=1,"单利计息","复利计息")</f>
        <v>复利计息</v>
      </c>
    </row>
    <row r="23" spans="1:7" s="257" customFormat="1" ht="13.5" customHeight="1">
      <c r="A23" s="953" t="s">
        <v>794</v>
      </c>
      <c r="B23" s="258" t="s">
        <v>1061</v>
      </c>
      <c r="C23" s="1355">
        <f ca="1">ROUND(IF('数据-取费表'!B22&lt;=1,C5*F22*'数据-取费表'!B23,C5*(POWER((1+F22),'数据-取费表'!B23)-1)),0)</f>
        <v>484</v>
      </c>
      <c r="D23" s="281"/>
      <c r="E23" s="281"/>
      <c r="F23" s="282"/>
      <c r="G23" s="283" t="s">
        <v>108</v>
      </c>
    </row>
    <row r="24" spans="1:7" s="257" customFormat="1" ht="13.5" customHeight="1">
      <c r="A24" s="953" t="s">
        <v>792</v>
      </c>
      <c r="B24" s="258" t="s">
        <v>1056</v>
      </c>
      <c r="C24" s="1355">
        <f ca="1">ROUND(IF('数据-取费表'!B22&lt;=1,C19*F22*('数据-取费表'!B19/2+'数据-取费表'!B21),C19*(POWER((1+F22),('数据-取费表'!B19/2+'数据-取费表'!B21))-1)),0)</f>
        <v>99</v>
      </c>
      <c r="D24" s="281"/>
      <c r="E24" s="281"/>
      <c r="F24" s="282"/>
      <c r="G24" s="283" t="s">
        <v>109</v>
      </c>
    </row>
    <row r="25" spans="1:7" s="257" customFormat="1" ht="24">
      <c r="A25" s="953" t="s">
        <v>793</v>
      </c>
      <c r="B25" s="258" t="s">
        <v>1058</v>
      </c>
      <c r="C25" s="1355">
        <f ca="1">ROUND(IF('数据-取费表'!B22&lt;=1,C20*F22*'数据-取费表'!B23/2,C20*(POWER((1+F22),'数据-取费表'!B23/2)-1)),0)</f>
        <v>6</v>
      </c>
      <c r="D25" s="281"/>
      <c r="E25" s="284"/>
      <c r="F25" s="282"/>
      <c r="G25" s="285" t="s">
        <v>110</v>
      </c>
    </row>
    <row r="26" spans="1:7" s="257" customFormat="1">
      <c r="A26" s="953" t="s">
        <v>795</v>
      </c>
      <c r="B26" s="258" t="s">
        <v>1060</v>
      </c>
      <c r="C26" s="281">
        <f ca="1">ROUND(IF('数据-取费表'!B22&lt;=1,F21*F22*'数据-取费表'!B23/2,F21*(POWER((1+F22),'数据-取费表'!B23/2)-1)),4)</f>
        <v>4.0000000000000002E-4</v>
      </c>
      <c r="D26" s="281"/>
      <c r="E26" s="284"/>
      <c r="F26" s="282"/>
      <c r="G26" s="286"/>
    </row>
    <row r="27" spans="1:7" s="257" customFormat="1" ht="24.75">
      <c r="A27" s="950" t="s">
        <v>787</v>
      </c>
      <c r="B27" s="287" t="s">
        <v>112</v>
      </c>
      <c r="C27" s="288">
        <f>C28</f>
        <v>506</v>
      </c>
      <c r="D27" s="278">
        <f>C29</f>
        <v>5.9999999999999995E-4</v>
      </c>
      <c r="E27" s="279" t="s">
        <v>126</v>
      </c>
      <c r="F27" s="289">
        <f>'数据-取费表'!Q16</f>
        <v>0.08</v>
      </c>
      <c r="G27" s="290" t="s">
        <v>1069</v>
      </c>
    </row>
    <row r="28" spans="1:7" s="257" customFormat="1" ht="13.5" customHeight="1">
      <c r="A28" s="953" t="s">
        <v>794</v>
      </c>
      <c r="B28" s="291" t="s">
        <v>1062</v>
      </c>
      <c r="C28" s="292">
        <f>ROUND((C5+C19+C20)*F27*'数据-取费表'!B21/'数据-取费表'!B20,0)</f>
        <v>506</v>
      </c>
      <c r="D28" s="278"/>
      <c r="E28" s="279"/>
      <c r="F28" s="289"/>
      <c r="G28" s="290"/>
    </row>
    <row r="29" spans="1:7" s="257" customFormat="1" ht="13.5" customHeight="1">
      <c r="A29" s="953" t="s">
        <v>792</v>
      </c>
      <c r="B29" s="291" t="s">
        <v>1063</v>
      </c>
      <c r="C29" s="281">
        <f>ROUND(C21*F27*'数据-取费表'!B21/'数据-取费表'!B20,4)</f>
        <v>5.9999999999999995E-4</v>
      </c>
      <c r="D29" s="278"/>
      <c r="E29" s="279"/>
      <c r="F29" s="289"/>
      <c r="G29" s="290"/>
    </row>
    <row r="30" spans="1:7" s="257" customFormat="1" ht="13.5" customHeight="1">
      <c r="A30" s="950" t="s">
        <v>788</v>
      </c>
      <c r="B30" s="253" t="s">
        <v>58</v>
      </c>
      <c r="C30" s="278">
        <f>F30</f>
        <v>6.2719999999999998E-2</v>
      </c>
      <c r="D30" s="279" t="s">
        <v>127</v>
      </c>
      <c r="E30" s="284"/>
      <c r="F30" s="280">
        <f>'数据-取费表'!B41</f>
        <v>6.2719999999999998E-2</v>
      </c>
      <c r="G30" s="277" t="s">
        <v>113</v>
      </c>
    </row>
    <row r="31" spans="1:7" ht="16.5" customHeight="1">
      <c r="A31" s="252">
        <v>1</v>
      </c>
      <c r="B31" s="253" t="s">
        <v>128</v>
      </c>
      <c r="C31" s="254">
        <f ca="1">ROUND((C5+C19+C20+C22+C27)/(1-C21-D22-D27-C30/(1+'数据-取费表'!B42)),0)</f>
        <v>29025</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5400</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4596</v>
      </c>
      <c r="D34" s="260"/>
      <c r="E34" s="263"/>
      <c r="F34" s="300">
        <f>IF('数据-取费表'!B24=0,1,'数据-取费表'!N16)</f>
        <v>8.3000000000000004E-2</v>
      </c>
      <c r="G34" s="262" t="s">
        <v>116</v>
      </c>
    </row>
    <row r="35" spans="1:7" ht="13.5" customHeight="1">
      <c r="A35" s="953" t="s">
        <v>796</v>
      </c>
      <c r="B35" s="258" t="s">
        <v>60</v>
      </c>
      <c r="C35" s="263">
        <f>ROUND(C34*F35,0)</f>
        <v>230</v>
      </c>
      <c r="D35" s="263"/>
      <c r="E35" s="263"/>
      <c r="F35" s="302">
        <f>'数据-取费表'!B33</f>
        <v>0.05</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156</v>
      </c>
      <c r="D36" s="263"/>
      <c r="E36" s="263"/>
      <c r="F36" s="302">
        <f>'数据-取费表'!B34</f>
        <v>0.05</v>
      </c>
      <c r="G36" s="303" t="s">
        <v>62</v>
      </c>
    </row>
    <row r="37" spans="1:7" s="301" customFormat="1" ht="13.5" customHeight="1">
      <c r="A37" s="953" t="s">
        <v>798</v>
      </c>
      <c r="B37" s="258" t="s">
        <v>118</v>
      </c>
      <c r="C37" s="292">
        <f>ROUND(E37*D37*F34/10000,0)</f>
        <v>349</v>
      </c>
      <c r="D37" s="260">
        <f>'数据-汇总表'!E3</f>
        <v>210018.96</v>
      </c>
      <c r="E37" s="292">
        <f>'数据-取费表'!B35</f>
        <v>200</v>
      </c>
      <c r="F37" s="302"/>
      <c r="G37" s="304" t="s">
        <v>119</v>
      </c>
    </row>
    <row r="38" spans="1:7" ht="13.5" customHeight="1">
      <c r="A38" s="953" t="s">
        <v>799</v>
      </c>
      <c r="B38" s="258" t="s">
        <v>63</v>
      </c>
      <c r="C38" s="263">
        <f>ROUND(C34*F38,0)</f>
        <v>69</v>
      </c>
      <c r="D38" s="263"/>
      <c r="E38" s="263"/>
      <c r="F38" s="302">
        <f>'数据-取费表'!B36</f>
        <v>1.4999999999999999E-2</v>
      </c>
      <c r="G38" s="262" t="s">
        <v>117</v>
      </c>
    </row>
    <row r="39" spans="1:7" s="257" customFormat="1" ht="13.5" customHeight="1">
      <c r="A39" s="950" t="s">
        <v>783</v>
      </c>
      <c r="B39" s="253" t="s">
        <v>104</v>
      </c>
      <c r="C39" s="275">
        <f>ROUND(C33*F20,0)</f>
        <v>108</v>
      </c>
      <c r="D39" s="275"/>
      <c r="E39" s="275"/>
      <c r="F39" s="276"/>
      <c r="G39" s="1289" t="s">
        <v>1071</v>
      </c>
    </row>
    <row r="40" spans="1:7" s="257" customFormat="1" ht="13.5" customHeight="1">
      <c r="A40" s="950" t="s">
        <v>784</v>
      </c>
      <c r="B40" s="253" t="s">
        <v>105</v>
      </c>
      <c r="C40" s="305">
        <f>F21</f>
        <v>0.03</v>
      </c>
      <c r="D40" s="279" t="s">
        <v>129</v>
      </c>
      <c r="E40" s="275"/>
      <c r="F40" s="276"/>
      <c r="G40" s="277" t="s">
        <v>120</v>
      </c>
    </row>
    <row r="41" spans="1:7" s="257" customFormat="1" ht="13.5" customHeight="1">
      <c r="A41" s="950" t="s">
        <v>785</v>
      </c>
      <c r="B41" s="253" t="s">
        <v>107</v>
      </c>
      <c r="C41" s="275">
        <f ca="1">ROUND(SUM(C42:C43),0)</f>
        <v>64</v>
      </c>
      <c r="D41" s="278">
        <f ca="1">C44</f>
        <v>4.0000000000000002E-4</v>
      </c>
      <c r="E41" s="279" t="s">
        <v>129</v>
      </c>
      <c r="F41" s="280"/>
      <c r="G41" s="1289" t="str">
        <f>IF('数据-取费表'!B22&lt;=1,"单利计息","复利计息")</f>
        <v>复利计息</v>
      </c>
    </row>
    <row r="42" spans="1:7" ht="13.5" customHeight="1">
      <c r="A42" s="953" t="s">
        <v>794</v>
      </c>
      <c r="B42" s="258" t="s">
        <v>1061</v>
      </c>
      <c r="C42" s="281">
        <f ca="1">ROUND(IF('数据-取费表'!B22&lt;=1,C33*F22*'数据-取费表'!B21/2,C33*(POWER((1+F22),'数据-取费表'!B21/2)-1)),0)</f>
        <v>63</v>
      </c>
      <c r="D42" s="281"/>
      <c r="E42" s="281"/>
      <c r="F42" s="282"/>
      <c r="G42" s="3132" t="s">
        <v>121</v>
      </c>
    </row>
    <row r="43" spans="1:7" ht="13.5" customHeight="1">
      <c r="A43" s="953" t="s">
        <v>792</v>
      </c>
      <c r="B43" s="258" t="s">
        <v>1064</v>
      </c>
      <c r="C43" s="281">
        <f ca="1">ROUND(IF('数据-取费表'!B22&lt;=1,C39*F22*'数据-取费表'!B21/2,C39*(POWER((1+F22),'数据-取费表'!B21/2)-1)),0)</f>
        <v>1</v>
      </c>
      <c r="D43" s="281"/>
      <c r="E43" s="281"/>
      <c r="F43" s="282"/>
      <c r="G43" s="3133"/>
    </row>
    <row r="44" spans="1:7" ht="13.5" customHeight="1">
      <c r="A44" s="953" t="s">
        <v>793</v>
      </c>
      <c r="B44" s="258" t="s">
        <v>1066</v>
      </c>
      <c r="C44" s="281">
        <f ca="1">ROUND(IF('数据-取费表'!B22&lt;=1,C40*F22*'数据-取费表'!B21/2,C40*(POWER((1+F22),'数据-取费表'!B21/2)-1)),4)</f>
        <v>4.0000000000000002E-4</v>
      </c>
      <c r="D44" s="281"/>
      <c r="E44" s="281"/>
      <c r="F44" s="282"/>
      <c r="G44" s="3134"/>
    </row>
    <row r="45" spans="1:7" s="257" customFormat="1" ht="13.5" customHeight="1">
      <c r="A45" s="950" t="s">
        <v>786</v>
      </c>
      <c r="B45" s="287" t="s">
        <v>112</v>
      </c>
      <c r="C45" s="288">
        <f>C46</f>
        <v>441</v>
      </c>
      <c r="D45" s="278">
        <f>C47</f>
        <v>2.3999999999999998E-3</v>
      </c>
      <c r="E45" s="279" t="s">
        <v>129</v>
      </c>
      <c r="F45" s="289"/>
      <c r="G45" s="290" t="s">
        <v>1072</v>
      </c>
    </row>
    <row r="46" spans="1:7" s="257" customFormat="1" ht="13.5" customHeight="1">
      <c r="A46" s="953" t="s">
        <v>794</v>
      </c>
      <c r="B46" s="291" t="s">
        <v>1065</v>
      </c>
      <c r="C46" s="292">
        <f>ROUND((C33+C39)*F27,0)</f>
        <v>441</v>
      </c>
      <c r="D46" s="306"/>
      <c r="E46" s="279"/>
      <c r="F46" s="289"/>
      <c r="G46" s="290"/>
    </row>
    <row r="47" spans="1:7" s="257" customFormat="1" ht="13.5" customHeight="1">
      <c r="A47" s="953" t="s">
        <v>792</v>
      </c>
      <c r="B47" s="291" t="s">
        <v>1067</v>
      </c>
      <c r="C47" s="281">
        <f>ROUND(C40*F27,4)</f>
        <v>2.3999999999999998E-3</v>
      </c>
      <c r="D47" s="306"/>
      <c r="E47" s="279"/>
      <c r="F47" s="289"/>
      <c r="G47" s="290"/>
    </row>
    <row r="48" spans="1:7" s="257" customFormat="1" ht="13.5" customHeight="1">
      <c r="A48" s="950" t="s">
        <v>787</v>
      </c>
      <c r="B48" s="253" t="s">
        <v>122</v>
      </c>
      <c r="C48" s="305">
        <f>F30</f>
        <v>6.2719999999999998E-2</v>
      </c>
      <c r="D48" s="279" t="s">
        <v>130</v>
      </c>
      <c r="E48" s="275"/>
      <c r="F48" s="280"/>
      <c r="G48" s="277" t="s">
        <v>123</v>
      </c>
    </row>
    <row r="49" spans="1:7" ht="16.5" customHeight="1">
      <c r="A49" s="950" t="s">
        <v>788</v>
      </c>
      <c r="B49" s="253" t="s">
        <v>131</v>
      </c>
      <c r="C49" s="275">
        <f ca="1">ROUND((C33+C39+C41+C45)/(1-C40-D41-D45-C48/(1+'数据-取费表'!B42)),0)</f>
        <v>6624</v>
      </c>
      <c r="D49" s="275"/>
      <c r="E49" s="275"/>
      <c r="F49" s="307"/>
      <c r="G49" s="277" t="s">
        <v>1073</v>
      </c>
    </row>
    <row r="50" spans="1:7" s="301" customFormat="1" ht="24">
      <c r="A50" s="950" t="s">
        <v>789</v>
      </c>
      <c r="B50" s="253" t="s">
        <v>124</v>
      </c>
      <c r="C50" s="275"/>
      <c r="D50" s="275"/>
      <c r="E50" s="275"/>
      <c r="F50" s="307">
        <f>IF('数据-取费表'!B24=0,'数据-取费表'!N16,1)</f>
        <v>1</v>
      </c>
      <c r="G50" s="290" t="s">
        <v>125</v>
      </c>
    </row>
    <row r="51" spans="1:7" ht="16.5" customHeight="1">
      <c r="A51" s="950" t="s">
        <v>790</v>
      </c>
      <c r="B51" s="253" t="s">
        <v>132</v>
      </c>
      <c r="C51" s="275">
        <f ca="1">ROUND(C49*F50,0)</f>
        <v>6624</v>
      </c>
      <c r="D51" s="275"/>
      <c r="E51" s="275"/>
      <c r="F51" s="307"/>
      <c r="G51" s="277" t="s">
        <v>64</v>
      </c>
    </row>
    <row r="52" spans="1:7" s="251" customFormat="1" ht="16.5" thickBot="1">
      <c r="A52" s="308" t="s">
        <v>65</v>
      </c>
      <c r="B52" s="309"/>
      <c r="C52" s="310">
        <f ca="1">C31+C51</f>
        <v>35649</v>
      </c>
      <c r="D52" s="309"/>
      <c r="E52" s="309"/>
      <c r="F52" s="309"/>
      <c r="G52" s="311"/>
    </row>
    <row r="55" spans="1:7" ht="15">
      <c r="B55" s="313" t="s">
        <v>66</v>
      </c>
      <c r="C55" s="314"/>
    </row>
    <row r="56" spans="1:7">
      <c r="B56" s="316" t="s">
        <v>67</v>
      </c>
      <c r="C56" s="317">
        <f ca="1">ROUND(C51/C52,3)</f>
        <v>0.186</v>
      </c>
    </row>
    <row r="57" spans="1:7">
      <c r="B57" s="316" t="s">
        <v>68</v>
      </c>
      <c r="C57" s="318">
        <f ca="1">1-C56</f>
        <v>0.81400000000000006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RowHeight="13.5"/>
  <cols>
    <col min="1" max="1" width="12.625" style="854" customWidth="1"/>
    <col min="2" max="5" width="10.25" style="812" customWidth="1"/>
    <col min="6" max="6" width="9" style="812"/>
    <col min="7" max="8" width="9" style="827"/>
    <col min="9" max="16384" width="9" style="812"/>
  </cols>
  <sheetData>
    <row r="1" spans="1:19">
      <c r="A1" s="3271" t="s">
        <v>156</v>
      </c>
      <c r="B1" s="3271"/>
      <c r="C1" s="3271"/>
      <c r="D1" s="3271"/>
      <c r="E1" s="3271"/>
      <c r="F1" s="3271"/>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72" t="s">
        <v>169</v>
      </c>
      <c r="B2" s="3272"/>
      <c r="C2" s="3272"/>
      <c r="D2" s="3272"/>
      <c r="E2" s="3272"/>
      <c r="F2" s="3272"/>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73"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74"/>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1053</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1053</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71" t="s">
        <v>871</v>
      </c>
      <c r="B1" s="3271"/>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9" t="s">
        <v>878</v>
      </c>
      <c r="B5" s="840" t="s">
        <v>879</v>
      </c>
      <c r="C5" s="1063">
        <v>8.8999999999999996E-2</v>
      </c>
      <c r="D5" s="1063">
        <v>7.3999999999999996E-2</v>
      </c>
      <c r="E5" s="1063">
        <v>7.4999999999999997E-2</v>
      </c>
      <c r="F5" s="1064">
        <v>0.1</v>
      </c>
    </row>
    <row r="6" spans="1:6" ht="14.25" thickBot="1">
      <c r="A6" s="839" t="s">
        <v>212</v>
      </c>
      <c r="B6" s="833" t="s">
        <v>880</v>
      </c>
      <c r="C6" s="1065">
        <v>0.1</v>
      </c>
      <c r="D6" s="1065">
        <v>9.0999999999999998E-2</v>
      </c>
      <c r="E6" s="1065">
        <v>9.0999999999999998E-2</v>
      </c>
      <c r="F6" s="1066">
        <v>0.1</v>
      </c>
    </row>
    <row r="7" spans="1:6" ht="14.25" thickBot="1">
      <c r="A7" s="839" t="s">
        <v>212</v>
      </c>
      <c r="B7" s="843" t="s">
        <v>201</v>
      </c>
      <c r="C7" s="1065">
        <v>8.5999999999999993E-2</v>
      </c>
      <c r="D7" s="1065">
        <v>9.6000000000000002E-2</v>
      </c>
      <c r="E7" s="1065">
        <v>7.5999999999999998E-2</v>
      </c>
      <c r="F7" s="1066">
        <v>0.1</v>
      </c>
    </row>
    <row r="8" spans="1:6" ht="14.25" thickBot="1">
      <c r="A8" s="839" t="s">
        <v>212</v>
      </c>
      <c r="B8" s="833" t="s">
        <v>213</v>
      </c>
      <c r="C8" s="1065">
        <v>9.9000000000000005E-2</v>
      </c>
      <c r="D8" s="1065">
        <v>9.8000000000000004E-2</v>
      </c>
      <c r="E8" s="1065">
        <v>9.8000000000000004E-2</v>
      </c>
      <c r="F8" s="1066">
        <v>0.1</v>
      </c>
    </row>
    <row r="9" spans="1:6" ht="14.25" thickBot="1">
      <c r="A9" s="849" t="s">
        <v>212</v>
      </c>
      <c r="B9" s="844" t="s">
        <v>225</v>
      </c>
      <c r="C9" s="1067">
        <v>0.05</v>
      </c>
      <c r="D9" s="1075"/>
      <c r="E9" s="1075"/>
      <c r="F9" s="1076"/>
    </row>
    <row r="10" spans="1:6" ht="14.25" thickBot="1">
      <c r="A10" s="839" t="s">
        <v>269</v>
      </c>
      <c r="B10" s="840" t="s">
        <v>881</v>
      </c>
      <c r="C10" s="1063">
        <v>8.8999999999999996E-2</v>
      </c>
      <c r="D10" s="1063">
        <v>7.2999999999999995E-2</v>
      </c>
      <c r="E10" s="1063">
        <v>8.2000000000000003E-2</v>
      </c>
      <c r="F10" s="1064">
        <v>0.1</v>
      </c>
    </row>
    <row r="11" spans="1:6" ht="14.25" thickBot="1">
      <c r="A11" s="839" t="s">
        <v>269</v>
      </c>
      <c r="B11" s="843" t="s">
        <v>188</v>
      </c>
      <c r="C11" s="1065">
        <v>8.8999999999999996E-2</v>
      </c>
      <c r="D11" s="1065">
        <v>7.2999999999999995E-2</v>
      </c>
      <c r="E11" s="1065">
        <v>8.2000000000000003E-2</v>
      </c>
      <c r="F11" s="1066">
        <v>0.1</v>
      </c>
    </row>
    <row r="12" spans="1:6" ht="14.25" thickBot="1">
      <c r="A12" s="839" t="s">
        <v>269</v>
      </c>
      <c r="B12" s="843" t="s">
        <v>138</v>
      </c>
      <c r="C12" s="1065">
        <v>6.0999999999999999E-2</v>
      </c>
      <c r="D12" s="1065">
        <v>7.0999999999999994E-2</v>
      </c>
      <c r="E12" s="1065">
        <v>9.6000000000000002E-2</v>
      </c>
      <c r="F12" s="1066">
        <v>0.1</v>
      </c>
    </row>
    <row r="13" spans="1:6" ht="14.25" thickBot="1">
      <c r="A13" s="839" t="s">
        <v>269</v>
      </c>
      <c r="B13" s="843" t="s">
        <v>214</v>
      </c>
      <c r="C13" s="1065">
        <v>6.9000000000000006E-2</v>
      </c>
      <c r="D13" s="1065">
        <v>6.5000000000000002E-2</v>
      </c>
      <c r="E13" s="1065">
        <v>6.6000000000000003E-2</v>
      </c>
      <c r="F13" s="1066">
        <v>0.1</v>
      </c>
    </row>
    <row r="14" spans="1:6" ht="14.25" thickBot="1">
      <c r="A14" s="839" t="s">
        <v>269</v>
      </c>
      <c r="B14" s="843" t="s">
        <v>226</v>
      </c>
      <c r="C14" s="1065">
        <v>0.1</v>
      </c>
      <c r="D14" s="1065">
        <v>6.5000000000000002E-2</v>
      </c>
      <c r="E14" s="1065">
        <v>7.0000000000000007E-2</v>
      </c>
      <c r="F14" s="1066">
        <v>0.1</v>
      </c>
    </row>
    <row r="15" spans="1:6" ht="14.25" thickBot="1">
      <c r="A15" s="839" t="s">
        <v>269</v>
      </c>
      <c r="B15" s="843" t="s">
        <v>237</v>
      </c>
      <c r="C15" s="1065">
        <v>9.8000000000000004E-2</v>
      </c>
      <c r="D15" s="1065">
        <v>8.8999999999999996E-2</v>
      </c>
      <c r="E15" s="1065">
        <v>8.8999999999999996E-2</v>
      </c>
      <c r="F15" s="1066">
        <v>0.1</v>
      </c>
    </row>
    <row r="16" spans="1:6" ht="14.25" thickBot="1">
      <c r="A16" s="839" t="s">
        <v>269</v>
      </c>
      <c r="B16" s="843" t="s">
        <v>248</v>
      </c>
      <c r="C16" s="1065">
        <v>7.0000000000000007E-2</v>
      </c>
      <c r="D16" s="1065">
        <v>9.2999999999999999E-2</v>
      </c>
      <c r="E16" s="1065">
        <v>9.6000000000000002E-2</v>
      </c>
      <c r="F16" s="1066">
        <v>0.1</v>
      </c>
    </row>
    <row r="17" spans="1:6" ht="14.25" thickBot="1">
      <c r="A17" s="839" t="s">
        <v>269</v>
      </c>
      <c r="B17" s="843" t="s">
        <v>259</v>
      </c>
      <c r="C17" s="1065">
        <v>9.5000000000000001E-2</v>
      </c>
      <c r="D17" s="1065">
        <v>0.1</v>
      </c>
      <c r="E17" s="1065">
        <v>0.1</v>
      </c>
      <c r="F17" s="1077"/>
    </row>
    <row r="18" spans="1:6" ht="14.25" thickBot="1">
      <c r="A18" s="839" t="s">
        <v>269</v>
      </c>
      <c r="B18" s="843" t="s">
        <v>271</v>
      </c>
      <c r="C18" s="1065">
        <v>7.3999999999999996E-2</v>
      </c>
      <c r="D18" s="1065">
        <v>9.9000000000000005E-2</v>
      </c>
      <c r="E18" s="1065">
        <v>0.1</v>
      </c>
      <c r="F18" s="1077"/>
    </row>
    <row r="19" spans="1:6" ht="14.25" thickBot="1">
      <c r="A19" s="839" t="s">
        <v>269</v>
      </c>
      <c r="B19" s="843" t="s">
        <v>281</v>
      </c>
      <c r="C19" s="1065">
        <v>9.9000000000000005E-2</v>
      </c>
      <c r="D19" s="1065">
        <v>7.5999999999999998E-2</v>
      </c>
      <c r="E19" s="1065">
        <v>8.6999999999999994E-2</v>
      </c>
      <c r="F19" s="1077"/>
    </row>
    <row r="20" spans="1:6" ht="14.25" thickBot="1">
      <c r="A20" s="839" t="s">
        <v>269</v>
      </c>
      <c r="B20" s="843" t="s">
        <v>291</v>
      </c>
      <c r="C20" s="1065">
        <v>9.8000000000000004E-2</v>
      </c>
      <c r="D20" s="1065">
        <v>8.5000000000000006E-2</v>
      </c>
      <c r="E20" s="1065">
        <v>8.2000000000000003E-2</v>
      </c>
      <c r="F20" s="1077"/>
    </row>
    <row r="21" spans="1:6" ht="14.25" thickBot="1">
      <c r="A21" s="839" t="s">
        <v>269</v>
      </c>
      <c r="B21" s="843" t="s">
        <v>301</v>
      </c>
      <c r="C21" s="1065">
        <v>6.6000000000000003E-2</v>
      </c>
      <c r="D21" s="1065">
        <v>6.4000000000000001E-2</v>
      </c>
      <c r="E21" s="1065">
        <v>6.5000000000000002E-2</v>
      </c>
      <c r="F21" s="1077"/>
    </row>
    <row r="22" spans="1:6" ht="14.25" thickBot="1">
      <c r="A22" s="839" t="s">
        <v>269</v>
      </c>
      <c r="B22" s="843" t="s">
        <v>882</v>
      </c>
      <c r="C22" s="1065">
        <v>0.08</v>
      </c>
      <c r="D22" s="1065">
        <v>9.8000000000000004E-2</v>
      </c>
      <c r="E22" s="1065">
        <v>9.8000000000000004E-2</v>
      </c>
      <c r="F22" s="1077"/>
    </row>
    <row r="23" spans="1:6" ht="14.25" thickBot="1">
      <c r="A23" s="839" t="s">
        <v>269</v>
      </c>
      <c r="B23" s="843" t="s">
        <v>322</v>
      </c>
      <c r="C23" s="1065">
        <v>9.9000000000000005E-2</v>
      </c>
      <c r="D23" s="1065">
        <v>9.8000000000000004E-2</v>
      </c>
      <c r="E23" s="1065">
        <v>9.0999999999999998E-2</v>
      </c>
      <c r="F23" s="1077"/>
    </row>
    <row r="24" spans="1:6" ht="14.25" thickBot="1">
      <c r="A24" s="839" t="s">
        <v>269</v>
      </c>
      <c r="B24" s="843" t="s">
        <v>333</v>
      </c>
      <c r="C24" s="1065">
        <v>8.8999999999999996E-2</v>
      </c>
      <c r="D24" s="1065">
        <v>9.7000000000000003E-2</v>
      </c>
      <c r="E24" s="1065">
        <v>7.0000000000000007E-2</v>
      </c>
      <c r="F24" s="1077"/>
    </row>
    <row r="25" spans="1:6" ht="14.25" thickBot="1">
      <c r="A25" s="839" t="s">
        <v>269</v>
      </c>
      <c r="B25" s="843" t="s">
        <v>343</v>
      </c>
      <c r="C25" s="1065">
        <v>8.8999999999999996E-2</v>
      </c>
      <c r="D25" s="1065">
        <v>0.1</v>
      </c>
      <c r="E25" s="1065">
        <v>8.1000000000000003E-2</v>
      </c>
      <c r="F25" s="1077"/>
    </row>
    <row r="26" spans="1:6" ht="14.25" thickBot="1">
      <c r="A26" s="839" t="s">
        <v>269</v>
      </c>
      <c r="B26" s="843" t="s">
        <v>353</v>
      </c>
      <c r="C26" s="1078"/>
      <c r="D26" s="1065">
        <v>9.6000000000000002E-2</v>
      </c>
      <c r="E26" s="1065">
        <v>9.2999999999999999E-2</v>
      </c>
      <c r="F26" s="1077"/>
    </row>
    <row r="27" spans="1:6" ht="14.25" thickBot="1">
      <c r="A27" s="839" t="s">
        <v>269</v>
      </c>
      <c r="B27" s="843" t="s">
        <v>363</v>
      </c>
      <c r="C27" s="1078"/>
      <c r="D27" s="1065">
        <v>7.5999999999999998E-2</v>
      </c>
      <c r="E27" s="1065">
        <v>9.1999999999999998E-2</v>
      </c>
      <c r="F27" s="1077"/>
    </row>
    <row r="28" spans="1:6" ht="14.25" thickBot="1">
      <c r="A28" s="849" t="s">
        <v>269</v>
      </c>
      <c r="B28" s="844" t="s">
        <v>373</v>
      </c>
      <c r="C28" s="1075"/>
      <c r="D28" s="1067">
        <v>7.5999999999999998E-2</v>
      </c>
      <c r="E28" s="1067">
        <v>9.1999999999999998E-2</v>
      </c>
      <c r="F28" s="1076"/>
    </row>
    <row r="29" spans="1:6" ht="14.25" thickBot="1">
      <c r="A29" s="839" t="s">
        <v>442</v>
      </c>
      <c r="B29" s="840" t="s">
        <v>883</v>
      </c>
      <c r="C29" s="1063">
        <v>6.4000000000000001E-2</v>
      </c>
      <c r="D29" s="1063">
        <v>6.5000000000000002E-2</v>
      </c>
      <c r="E29" s="1063">
        <v>6.9000000000000006E-2</v>
      </c>
      <c r="F29" s="1064">
        <v>0.1</v>
      </c>
    </row>
    <row r="30" spans="1:6" ht="14.25" thickBot="1">
      <c r="A30" s="839" t="s">
        <v>442</v>
      </c>
      <c r="B30" s="843" t="s">
        <v>189</v>
      </c>
      <c r="C30" s="1065">
        <v>6.4000000000000001E-2</v>
      </c>
      <c r="D30" s="1065">
        <v>9.9000000000000005E-2</v>
      </c>
      <c r="E30" s="1065">
        <v>0.1</v>
      </c>
      <c r="F30" s="1066">
        <v>0.1</v>
      </c>
    </row>
    <row r="31" spans="1:6" ht="14.25" thickBot="1">
      <c r="A31" s="839" t="s">
        <v>442</v>
      </c>
      <c r="B31" s="843" t="s">
        <v>202</v>
      </c>
      <c r="C31" s="1065">
        <v>0.1</v>
      </c>
      <c r="D31" s="1065">
        <v>9.5000000000000001E-2</v>
      </c>
      <c r="E31" s="1065">
        <v>8.8999999999999996E-2</v>
      </c>
      <c r="F31" s="1066">
        <v>0.1</v>
      </c>
    </row>
    <row r="32" spans="1:6" ht="14.25" thickBot="1">
      <c r="A32" s="839" t="s">
        <v>442</v>
      </c>
      <c r="B32" s="843" t="s">
        <v>215</v>
      </c>
      <c r="C32" s="1065">
        <v>0.05</v>
      </c>
      <c r="D32" s="1065">
        <v>0.05</v>
      </c>
      <c r="E32" s="1065">
        <v>8.7999999999999995E-2</v>
      </c>
      <c r="F32" s="1066">
        <v>0.1</v>
      </c>
    </row>
    <row r="33" spans="1:6" ht="14.25" thickBot="1">
      <c r="A33" s="839" t="s">
        <v>442</v>
      </c>
      <c r="B33" s="843" t="s">
        <v>227</v>
      </c>
      <c r="C33" s="1065">
        <v>7.4999999999999997E-2</v>
      </c>
      <c r="D33" s="1065">
        <v>9.4E-2</v>
      </c>
      <c r="E33" s="1065">
        <v>9.7000000000000003E-2</v>
      </c>
      <c r="F33" s="1066">
        <v>0.1</v>
      </c>
    </row>
    <row r="34" spans="1:6" ht="14.25" thickBot="1">
      <c r="A34" s="839" t="s">
        <v>442</v>
      </c>
      <c r="B34" s="843" t="s">
        <v>238</v>
      </c>
      <c r="C34" s="1065">
        <v>9.8000000000000004E-2</v>
      </c>
      <c r="D34" s="1065">
        <v>8.5999999999999993E-2</v>
      </c>
      <c r="E34" s="1065">
        <v>9.7000000000000003E-2</v>
      </c>
      <c r="F34" s="1066">
        <v>0.1</v>
      </c>
    </row>
    <row r="35" spans="1:6" ht="14.25" thickBot="1">
      <c r="A35" s="839" t="s">
        <v>442</v>
      </c>
      <c r="B35" s="843" t="s">
        <v>249</v>
      </c>
      <c r="C35" s="1065">
        <v>5.8999999999999997E-2</v>
      </c>
      <c r="D35" s="1065">
        <v>6.5000000000000002E-2</v>
      </c>
      <c r="E35" s="1065">
        <v>7.0000000000000007E-2</v>
      </c>
      <c r="F35" s="1066">
        <v>0.1</v>
      </c>
    </row>
    <row r="36" spans="1:6" ht="14.25" thickBot="1">
      <c r="A36" s="839" t="s">
        <v>442</v>
      </c>
      <c r="B36" s="843" t="s">
        <v>260</v>
      </c>
      <c r="C36" s="1065">
        <v>6.3E-2</v>
      </c>
      <c r="D36" s="1065">
        <v>0.1</v>
      </c>
      <c r="E36" s="1065">
        <v>0.1</v>
      </c>
      <c r="F36" s="1066">
        <v>0.1</v>
      </c>
    </row>
    <row r="37" spans="1:6" ht="14.25" thickBot="1">
      <c r="A37" s="839" t="s">
        <v>442</v>
      </c>
      <c r="B37" s="843" t="s">
        <v>272</v>
      </c>
      <c r="C37" s="1065">
        <v>7.3999999999999996E-2</v>
      </c>
      <c r="D37" s="1065">
        <v>0.1</v>
      </c>
      <c r="E37" s="1065">
        <v>0.1</v>
      </c>
      <c r="F37" s="1066">
        <v>0.1</v>
      </c>
    </row>
    <row r="38" spans="1:6" ht="14.25" thickBot="1">
      <c r="A38" s="839" t="s">
        <v>442</v>
      </c>
      <c r="B38" s="843" t="s">
        <v>282</v>
      </c>
      <c r="C38" s="1065">
        <v>0.1</v>
      </c>
      <c r="D38" s="1065">
        <v>9.6000000000000002E-2</v>
      </c>
      <c r="E38" s="1065">
        <v>9.6000000000000002E-2</v>
      </c>
      <c r="F38" s="1077"/>
    </row>
    <row r="39" spans="1:6" ht="14.25" thickBot="1">
      <c r="A39" s="839" t="s">
        <v>442</v>
      </c>
      <c r="B39" s="843" t="s">
        <v>292</v>
      </c>
      <c r="C39" s="1065">
        <v>0.1</v>
      </c>
      <c r="D39" s="1065">
        <v>9.6000000000000002E-2</v>
      </c>
      <c r="E39" s="1065">
        <v>9.6000000000000002E-2</v>
      </c>
      <c r="F39" s="1077"/>
    </row>
    <row r="40" spans="1:6" ht="14.25" thickBot="1">
      <c r="A40" s="839" t="s">
        <v>442</v>
      </c>
      <c r="B40" s="843" t="s">
        <v>302</v>
      </c>
      <c r="C40" s="1065">
        <v>9.6000000000000002E-2</v>
      </c>
      <c r="D40" s="1065">
        <v>0.1</v>
      </c>
      <c r="E40" s="1065">
        <v>9.9000000000000005E-2</v>
      </c>
      <c r="F40" s="1077"/>
    </row>
    <row r="41" spans="1:6" ht="14.25" thickBot="1">
      <c r="A41" s="839" t="s">
        <v>442</v>
      </c>
      <c r="B41" s="843" t="s">
        <v>312</v>
      </c>
      <c r="C41" s="1065">
        <v>9.6000000000000002E-2</v>
      </c>
      <c r="D41" s="1065">
        <v>9.8000000000000004E-2</v>
      </c>
      <c r="E41" s="1065">
        <v>9.8000000000000004E-2</v>
      </c>
      <c r="F41" s="1077"/>
    </row>
    <row r="42" spans="1:6" ht="14.25" thickBot="1">
      <c r="A42" s="839" t="s">
        <v>442</v>
      </c>
      <c r="B42" s="843" t="s">
        <v>323</v>
      </c>
      <c r="C42" s="1065">
        <v>0.1</v>
      </c>
      <c r="D42" s="1065">
        <v>8.7999999999999995E-2</v>
      </c>
      <c r="E42" s="1065">
        <v>0.1</v>
      </c>
      <c r="F42" s="1077"/>
    </row>
    <row r="43" spans="1:6" ht="14.25" thickBot="1">
      <c r="A43" s="839" t="s">
        <v>442</v>
      </c>
      <c r="B43" s="843" t="s">
        <v>334</v>
      </c>
      <c r="C43" s="1065">
        <v>9.8000000000000004E-2</v>
      </c>
      <c r="D43" s="1065">
        <v>9.7000000000000003E-2</v>
      </c>
      <c r="E43" s="1065">
        <v>9.6000000000000002E-2</v>
      </c>
      <c r="F43" s="1077"/>
    </row>
    <row r="44" spans="1:6" ht="14.25" thickBot="1">
      <c r="A44" s="839" t="s">
        <v>442</v>
      </c>
      <c r="B44" s="843" t="s">
        <v>344</v>
      </c>
      <c r="C44" s="1065">
        <v>8.5999999999999993E-2</v>
      </c>
      <c r="D44" s="1065">
        <v>7.9000000000000001E-2</v>
      </c>
      <c r="E44" s="1065">
        <v>7.0999999999999994E-2</v>
      </c>
      <c r="F44" s="1077"/>
    </row>
    <row r="45" spans="1:6" ht="14.25" thickBot="1">
      <c r="A45" s="839" t="s">
        <v>442</v>
      </c>
      <c r="B45" s="843" t="s">
        <v>354</v>
      </c>
      <c r="C45" s="1065">
        <v>9.8000000000000004E-2</v>
      </c>
      <c r="D45" s="1065">
        <v>9.6000000000000002E-2</v>
      </c>
      <c r="E45" s="1065">
        <v>9.6000000000000002E-2</v>
      </c>
      <c r="F45" s="1077"/>
    </row>
    <row r="46" spans="1:6" ht="14.25" thickBot="1">
      <c r="A46" s="839" t="s">
        <v>442</v>
      </c>
      <c r="B46" s="843" t="s">
        <v>364</v>
      </c>
      <c r="C46" s="1065">
        <v>8.5999999999999993E-2</v>
      </c>
      <c r="D46" s="1065">
        <v>9.8000000000000004E-2</v>
      </c>
      <c r="E46" s="1065">
        <v>8.7999999999999995E-2</v>
      </c>
      <c r="F46" s="1077"/>
    </row>
    <row r="47" spans="1:6" ht="14.25" thickBot="1">
      <c r="A47" s="839" t="s">
        <v>442</v>
      </c>
      <c r="B47" s="843" t="s">
        <v>374</v>
      </c>
      <c r="C47" s="1065">
        <v>9.6000000000000002E-2</v>
      </c>
      <c r="D47" s="1078"/>
      <c r="E47" s="1065">
        <v>6.9000000000000006E-2</v>
      </c>
      <c r="F47" s="1077"/>
    </row>
    <row r="48" spans="1:6" ht="14.25" thickBot="1">
      <c r="A48" s="849" t="s">
        <v>442</v>
      </c>
      <c r="B48" s="844" t="s">
        <v>383</v>
      </c>
      <c r="C48" s="1067">
        <v>9.8000000000000004E-2</v>
      </c>
      <c r="D48" s="1075"/>
      <c r="E48" s="1067">
        <v>9.5000000000000001E-2</v>
      </c>
      <c r="F48" s="1076"/>
    </row>
    <row r="49" spans="1:6" ht="14.25" thickBot="1">
      <c r="A49" s="839" t="s">
        <v>137</v>
      </c>
      <c r="B49" s="840" t="s">
        <v>884</v>
      </c>
      <c r="C49" s="1063">
        <v>9.7000000000000003E-2</v>
      </c>
      <c r="D49" s="1063">
        <v>9.5000000000000001E-2</v>
      </c>
      <c r="E49" s="1063">
        <v>9.7000000000000003E-2</v>
      </c>
      <c r="F49" s="1064">
        <v>0.1</v>
      </c>
    </row>
    <row r="50" spans="1:6" ht="14.25" thickBot="1">
      <c r="A50" s="839" t="s">
        <v>137</v>
      </c>
      <c r="B50" s="833" t="s">
        <v>190</v>
      </c>
      <c r="C50" s="1065">
        <v>7.4999999999999997E-2</v>
      </c>
      <c r="D50" s="1065">
        <v>9.5000000000000001E-2</v>
      </c>
      <c r="E50" s="1065">
        <v>0.1</v>
      </c>
      <c r="F50" s="1066">
        <v>0.1</v>
      </c>
    </row>
    <row r="51" spans="1:6" ht="14.25" thickBot="1">
      <c r="A51" s="839" t="s">
        <v>137</v>
      </c>
      <c r="B51" s="833" t="s">
        <v>203</v>
      </c>
      <c r="C51" s="1065">
        <v>9.8000000000000004E-2</v>
      </c>
      <c r="D51" s="1065">
        <v>8.8999999999999996E-2</v>
      </c>
      <c r="E51" s="1065">
        <v>0.1</v>
      </c>
      <c r="F51" s="1066">
        <v>0.1</v>
      </c>
    </row>
    <row r="52" spans="1:6" ht="14.25" thickBot="1">
      <c r="A52" s="839" t="s">
        <v>137</v>
      </c>
      <c r="B52" s="833" t="s">
        <v>216</v>
      </c>
      <c r="C52" s="1065">
        <v>9.8000000000000004E-2</v>
      </c>
      <c r="D52" s="1065">
        <v>9.7000000000000003E-2</v>
      </c>
      <c r="E52" s="1065">
        <v>8.1000000000000003E-2</v>
      </c>
      <c r="F52" s="1066">
        <v>0.1</v>
      </c>
    </row>
    <row r="53" spans="1:6" ht="14.25" thickBot="1">
      <c r="A53" s="839" t="s">
        <v>137</v>
      </c>
      <c r="B53" s="833" t="s">
        <v>228</v>
      </c>
      <c r="C53" s="1065">
        <v>9.7000000000000003E-2</v>
      </c>
      <c r="D53" s="1065">
        <v>7.5999999999999998E-2</v>
      </c>
      <c r="E53" s="1065">
        <v>7.0999999999999994E-2</v>
      </c>
      <c r="F53" s="1066">
        <v>0.1</v>
      </c>
    </row>
    <row r="54" spans="1:6" ht="14.25" thickBot="1">
      <c r="A54" s="839" t="s">
        <v>137</v>
      </c>
      <c r="B54" s="833" t="s">
        <v>239</v>
      </c>
      <c r="C54" s="1065">
        <v>7.5999999999999998E-2</v>
      </c>
      <c r="D54" s="1065">
        <v>0.1</v>
      </c>
      <c r="E54" s="1065">
        <v>9.9000000000000005E-2</v>
      </c>
      <c r="F54" s="1066">
        <v>0.1</v>
      </c>
    </row>
    <row r="55" spans="1:6" ht="14.25" thickBot="1">
      <c r="A55" s="839" t="s">
        <v>137</v>
      </c>
      <c r="B55" s="833" t="s">
        <v>250</v>
      </c>
      <c r="C55" s="1065">
        <v>0.1</v>
      </c>
      <c r="D55" s="1065">
        <v>0.1</v>
      </c>
      <c r="E55" s="1065">
        <v>9.6000000000000002E-2</v>
      </c>
      <c r="F55" s="1066">
        <v>0.1</v>
      </c>
    </row>
    <row r="56" spans="1:6" ht="14.25" thickBot="1">
      <c r="A56" s="839" t="s">
        <v>137</v>
      </c>
      <c r="B56" s="833" t="s">
        <v>261</v>
      </c>
      <c r="C56" s="1065">
        <v>0.1</v>
      </c>
      <c r="D56" s="1065">
        <v>9.6000000000000002E-2</v>
      </c>
      <c r="E56" s="1065">
        <v>5.1999999999999998E-2</v>
      </c>
      <c r="F56" s="1066">
        <v>0.1</v>
      </c>
    </row>
    <row r="57" spans="1:6" ht="14.25" thickBot="1">
      <c r="A57" s="839" t="s">
        <v>137</v>
      </c>
      <c r="B57" s="833" t="s">
        <v>273</v>
      </c>
      <c r="C57" s="1065">
        <v>9.7000000000000003E-2</v>
      </c>
      <c r="D57" s="1065">
        <v>9.6000000000000002E-2</v>
      </c>
      <c r="E57" s="1065">
        <v>9.6000000000000002E-2</v>
      </c>
      <c r="F57" s="1066">
        <v>0.1</v>
      </c>
    </row>
    <row r="58" spans="1:6" ht="14.25" thickBot="1">
      <c r="A58" s="839" t="s">
        <v>137</v>
      </c>
      <c r="B58" s="833" t="s">
        <v>283</v>
      </c>
      <c r="C58" s="1065">
        <v>9.6000000000000002E-2</v>
      </c>
      <c r="D58" s="1065">
        <v>9.9000000000000005E-2</v>
      </c>
      <c r="E58" s="1065">
        <v>9.6000000000000002E-2</v>
      </c>
      <c r="F58" s="1066">
        <v>0.1</v>
      </c>
    </row>
    <row r="59" spans="1:6" ht="14.25" thickBot="1">
      <c r="A59" s="839" t="s">
        <v>137</v>
      </c>
      <c r="B59" s="833" t="s">
        <v>293</v>
      </c>
      <c r="C59" s="1065">
        <v>7.1999999999999995E-2</v>
      </c>
      <c r="D59" s="1065">
        <v>9.6000000000000002E-2</v>
      </c>
      <c r="E59" s="1065">
        <v>7.0999999999999994E-2</v>
      </c>
      <c r="F59" s="1066">
        <v>0.1</v>
      </c>
    </row>
    <row r="60" spans="1:6" ht="14.25" thickBot="1">
      <c r="A60" s="839" t="s">
        <v>137</v>
      </c>
      <c r="B60" s="833" t="s">
        <v>303</v>
      </c>
      <c r="C60" s="1065">
        <v>9.6000000000000002E-2</v>
      </c>
      <c r="D60" s="1065">
        <v>8.8999999999999996E-2</v>
      </c>
      <c r="E60" s="1065">
        <v>9.6000000000000002E-2</v>
      </c>
      <c r="F60" s="1066">
        <v>0.1</v>
      </c>
    </row>
    <row r="61" spans="1:6" ht="14.25" thickBot="1">
      <c r="A61" s="839" t="s">
        <v>137</v>
      </c>
      <c r="B61" s="833" t="s">
        <v>313</v>
      </c>
      <c r="C61" s="1065">
        <v>8.8999999999999996E-2</v>
      </c>
      <c r="D61" s="1065">
        <v>9.8000000000000004E-2</v>
      </c>
      <c r="E61" s="1065">
        <v>8.7999999999999995E-2</v>
      </c>
      <c r="F61" s="1077"/>
    </row>
    <row r="62" spans="1:6" ht="14.25" thickBot="1">
      <c r="A62" s="839" t="s">
        <v>137</v>
      </c>
      <c r="B62" s="833" t="s">
        <v>324</v>
      </c>
      <c r="C62" s="1065">
        <v>9.8000000000000004E-2</v>
      </c>
      <c r="D62" s="1065">
        <v>9.2999999999999999E-2</v>
      </c>
      <c r="E62" s="1065">
        <v>9.7000000000000003E-2</v>
      </c>
      <c r="F62" s="1077"/>
    </row>
    <row r="63" spans="1:6" ht="14.25" thickBot="1">
      <c r="A63" s="839" t="s">
        <v>137</v>
      </c>
      <c r="B63" s="833" t="s">
        <v>335</v>
      </c>
      <c r="C63" s="1065">
        <v>9.6000000000000002E-2</v>
      </c>
      <c r="D63" s="1065">
        <v>9.8000000000000004E-2</v>
      </c>
      <c r="E63" s="1065">
        <v>0.09</v>
      </c>
      <c r="F63" s="1077"/>
    </row>
    <row r="64" spans="1:6" ht="14.25" thickBot="1">
      <c r="A64" s="839" t="s">
        <v>137</v>
      </c>
      <c r="B64" s="833" t="s">
        <v>345</v>
      </c>
      <c r="C64" s="1065">
        <v>9.9000000000000005E-2</v>
      </c>
      <c r="D64" s="1065">
        <v>9.7000000000000003E-2</v>
      </c>
      <c r="E64" s="1065">
        <v>9.9000000000000005E-2</v>
      </c>
      <c r="F64" s="1077"/>
    </row>
    <row r="65" spans="1:6" ht="14.25" thickBot="1">
      <c r="A65" s="839" t="s">
        <v>137</v>
      </c>
      <c r="B65" s="833" t="s">
        <v>355</v>
      </c>
      <c r="C65" s="1065">
        <v>9.8000000000000004E-2</v>
      </c>
      <c r="D65" s="1065">
        <v>9.6000000000000002E-2</v>
      </c>
      <c r="E65" s="1065">
        <v>9.6000000000000002E-2</v>
      </c>
      <c r="F65" s="1077"/>
    </row>
    <row r="66" spans="1:6" ht="14.25" thickBot="1">
      <c r="A66" s="839" t="s">
        <v>137</v>
      </c>
      <c r="B66" s="833" t="s">
        <v>365</v>
      </c>
      <c r="C66" s="1065">
        <v>9.6000000000000002E-2</v>
      </c>
      <c r="D66" s="1065">
        <v>9.1999999999999998E-2</v>
      </c>
      <c r="E66" s="1065">
        <v>9.6000000000000002E-2</v>
      </c>
      <c r="F66" s="1077"/>
    </row>
    <row r="67" spans="1:6" ht="14.25" thickBot="1">
      <c r="A67" s="839" t="s">
        <v>137</v>
      </c>
      <c r="B67" s="833" t="s">
        <v>375</v>
      </c>
      <c r="C67" s="1065">
        <v>9.4E-2</v>
      </c>
      <c r="D67" s="1065">
        <v>0.1</v>
      </c>
      <c r="E67" s="1065">
        <v>8.7999999999999995E-2</v>
      </c>
      <c r="F67" s="1077"/>
    </row>
    <row r="68" spans="1:6" ht="14.25" thickBot="1">
      <c r="A68" s="839" t="s">
        <v>137</v>
      </c>
      <c r="B68" s="833" t="s">
        <v>384</v>
      </c>
      <c r="C68" s="1065">
        <v>0.1</v>
      </c>
      <c r="D68" s="1065">
        <v>8.7999999999999995E-2</v>
      </c>
      <c r="E68" s="1065">
        <v>9.7000000000000003E-2</v>
      </c>
      <c r="F68" s="1077"/>
    </row>
    <row r="69" spans="1:6" ht="14.25" thickBot="1">
      <c r="A69" s="839" t="s">
        <v>137</v>
      </c>
      <c r="B69" s="833" t="s">
        <v>393</v>
      </c>
      <c r="C69" s="1065">
        <v>6.4000000000000001E-2</v>
      </c>
      <c r="D69" s="1065">
        <v>0.1</v>
      </c>
      <c r="E69" s="1065">
        <v>0.1</v>
      </c>
      <c r="F69" s="1077"/>
    </row>
    <row r="70" spans="1:6" ht="14.25" thickBot="1">
      <c r="A70" s="839" t="s">
        <v>137</v>
      </c>
      <c r="B70" s="833" t="s">
        <v>401</v>
      </c>
      <c r="C70" s="1065">
        <v>9.0999999999999998E-2</v>
      </c>
      <c r="D70" s="1078"/>
      <c r="E70" s="1078"/>
      <c r="F70" s="1077"/>
    </row>
    <row r="71" spans="1:6" ht="14.25" thickBot="1">
      <c r="A71" s="839" t="s">
        <v>137</v>
      </c>
      <c r="B71" s="833" t="s">
        <v>408</v>
      </c>
      <c r="C71" s="1065">
        <v>0.1</v>
      </c>
      <c r="D71" s="1078"/>
      <c r="E71" s="1078"/>
      <c r="F71" s="1077"/>
    </row>
    <row r="72" spans="1:6" ht="14.25" thickBot="1">
      <c r="A72" s="839" t="s">
        <v>137</v>
      </c>
      <c r="B72" s="833" t="s">
        <v>885</v>
      </c>
      <c r="C72" s="1078"/>
      <c r="D72" s="1078"/>
      <c r="E72" s="1078"/>
      <c r="F72" s="1066">
        <v>0.05</v>
      </c>
    </row>
    <row r="73" spans="1:6" ht="14.25" thickBot="1">
      <c r="A73" s="839" t="s">
        <v>137</v>
      </c>
      <c r="B73" s="833" t="s">
        <v>886</v>
      </c>
      <c r="C73" s="1078"/>
      <c r="D73" s="1078"/>
      <c r="E73" s="1078"/>
      <c r="F73" s="1066">
        <v>0.05</v>
      </c>
    </row>
    <row r="74" spans="1:6" ht="14.25" thickBot="1">
      <c r="A74" s="839" t="s">
        <v>137</v>
      </c>
      <c r="B74" s="833" t="s">
        <v>887</v>
      </c>
      <c r="C74" s="1078"/>
      <c r="D74" s="1078"/>
      <c r="E74" s="1078"/>
      <c r="F74" s="1066">
        <v>0.05</v>
      </c>
    </row>
    <row r="75" spans="1:6" ht="14.25" thickBot="1">
      <c r="A75" s="849" t="s">
        <v>137</v>
      </c>
      <c r="B75" s="845" t="s">
        <v>888</v>
      </c>
      <c r="C75" s="1075"/>
      <c r="D75" s="1075"/>
      <c r="E75" s="1075"/>
      <c r="F75" s="1068">
        <v>0.05</v>
      </c>
    </row>
    <row r="76" spans="1:6" ht="14.25" thickBot="1">
      <c r="A76" s="839" t="s">
        <v>523</v>
      </c>
      <c r="B76" s="840" t="s">
        <v>889</v>
      </c>
      <c r="C76" s="1063">
        <v>0.1</v>
      </c>
      <c r="D76" s="1063">
        <v>0.1</v>
      </c>
      <c r="E76" s="1063">
        <v>0.1</v>
      </c>
      <c r="F76" s="1064">
        <v>0.1</v>
      </c>
    </row>
    <row r="77" spans="1:6" ht="14.25" thickBot="1">
      <c r="A77" s="839" t="s">
        <v>523</v>
      </c>
      <c r="B77" s="833" t="s">
        <v>191</v>
      </c>
      <c r="C77" s="1065">
        <v>8.7999999999999995E-2</v>
      </c>
      <c r="D77" s="1065">
        <v>8.6999999999999994E-2</v>
      </c>
      <c r="E77" s="1065">
        <v>7.9000000000000001E-2</v>
      </c>
      <c r="F77" s="1066">
        <v>0.1</v>
      </c>
    </row>
    <row r="78" spans="1:6" ht="14.25" thickBot="1">
      <c r="A78" s="839" t="s">
        <v>523</v>
      </c>
      <c r="B78" s="833" t="s">
        <v>204</v>
      </c>
      <c r="C78" s="1065">
        <v>8.6999999999999994E-2</v>
      </c>
      <c r="D78" s="1065">
        <v>8.4000000000000005E-2</v>
      </c>
      <c r="E78" s="1065">
        <v>9.6000000000000002E-2</v>
      </c>
      <c r="F78" s="1066">
        <v>0.1</v>
      </c>
    </row>
    <row r="79" spans="1:6" ht="14.25" thickBot="1">
      <c r="A79" s="839" t="s">
        <v>523</v>
      </c>
      <c r="B79" s="833" t="s">
        <v>217</v>
      </c>
      <c r="C79" s="1065">
        <v>9.8000000000000004E-2</v>
      </c>
      <c r="D79" s="1065">
        <v>9.8000000000000004E-2</v>
      </c>
      <c r="E79" s="1065">
        <v>9.0999999999999998E-2</v>
      </c>
      <c r="F79" s="1066">
        <v>0.1</v>
      </c>
    </row>
    <row r="80" spans="1:6" ht="14.25" thickBot="1">
      <c r="A80" s="839" t="s">
        <v>523</v>
      </c>
      <c r="B80" s="833" t="s">
        <v>229</v>
      </c>
      <c r="C80" s="1065">
        <v>9.6000000000000002E-2</v>
      </c>
      <c r="D80" s="1065">
        <v>9.6000000000000002E-2</v>
      </c>
      <c r="E80" s="1065">
        <v>0.1</v>
      </c>
      <c r="F80" s="1066">
        <v>0.1</v>
      </c>
    </row>
    <row r="81" spans="1:6" ht="14.25" thickBot="1">
      <c r="A81" s="839" t="s">
        <v>523</v>
      </c>
      <c r="B81" s="833" t="s">
        <v>240</v>
      </c>
      <c r="C81" s="1065">
        <v>9.9000000000000005E-2</v>
      </c>
      <c r="D81" s="1065">
        <v>9.9000000000000005E-2</v>
      </c>
      <c r="E81" s="1065">
        <v>9.8000000000000004E-2</v>
      </c>
      <c r="F81" s="1066">
        <v>0.1</v>
      </c>
    </row>
    <row r="82" spans="1:6" ht="14.25" thickBot="1">
      <c r="A82" s="839" t="s">
        <v>523</v>
      </c>
      <c r="B82" s="833" t="s">
        <v>251</v>
      </c>
      <c r="C82" s="1065">
        <v>9.9000000000000005E-2</v>
      </c>
      <c r="D82" s="1065">
        <v>9.9000000000000005E-2</v>
      </c>
      <c r="E82" s="1065">
        <v>9.7000000000000003E-2</v>
      </c>
      <c r="F82" s="1066">
        <v>0.1</v>
      </c>
    </row>
    <row r="83" spans="1:6" ht="14.25" thickBot="1">
      <c r="A83" s="839" t="s">
        <v>523</v>
      </c>
      <c r="B83" s="833" t="s">
        <v>262</v>
      </c>
      <c r="C83" s="1065">
        <v>9.8000000000000004E-2</v>
      </c>
      <c r="D83" s="1065">
        <v>9.8000000000000004E-2</v>
      </c>
      <c r="E83" s="1065">
        <v>9.8000000000000004E-2</v>
      </c>
      <c r="F83" s="1066">
        <v>0.1</v>
      </c>
    </row>
    <row r="84" spans="1:6" ht="14.25" thickBot="1">
      <c r="A84" s="839" t="s">
        <v>523</v>
      </c>
      <c r="B84" s="833" t="s">
        <v>274</v>
      </c>
      <c r="C84" s="1065">
        <v>9.9000000000000005E-2</v>
      </c>
      <c r="D84" s="1065">
        <v>9.9000000000000005E-2</v>
      </c>
      <c r="E84" s="1065">
        <v>9.9000000000000005E-2</v>
      </c>
      <c r="F84" s="1066">
        <v>0.1</v>
      </c>
    </row>
    <row r="85" spans="1:6" ht="14.25" thickBot="1">
      <c r="A85" s="839" t="s">
        <v>523</v>
      </c>
      <c r="B85" s="833" t="s">
        <v>284</v>
      </c>
      <c r="C85" s="1065">
        <v>9.9000000000000005E-2</v>
      </c>
      <c r="D85" s="1065">
        <v>9.9000000000000005E-2</v>
      </c>
      <c r="E85" s="1065">
        <v>9.9000000000000005E-2</v>
      </c>
      <c r="F85" s="1066">
        <v>0.1</v>
      </c>
    </row>
    <row r="86" spans="1:6" ht="14.25" thickBot="1">
      <c r="A86" s="839" t="s">
        <v>523</v>
      </c>
      <c r="B86" s="833" t="s">
        <v>294</v>
      </c>
      <c r="C86" s="1065">
        <v>0.1</v>
      </c>
      <c r="D86" s="1065">
        <v>0.1</v>
      </c>
      <c r="E86" s="1065">
        <v>7.6999999999999999E-2</v>
      </c>
      <c r="F86" s="1066">
        <v>0.1</v>
      </c>
    </row>
    <row r="87" spans="1:6" ht="14.25" thickBot="1">
      <c r="A87" s="839" t="s">
        <v>523</v>
      </c>
      <c r="B87" s="833" t="s">
        <v>304</v>
      </c>
      <c r="C87" s="1065">
        <v>0.1</v>
      </c>
      <c r="D87" s="1065">
        <v>0.1</v>
      </c>
      <c r="E87" s="1065">
        <v>9.8000000000000004E-2</v>
      </c>
      <c r="F87" s="1077"/>
    </row>
    <row r="88" spans="1:6" ht="14.25" thickBot="1">
      <c r="A88" s="839" t="s">
        <v>523</v>
      </c>
      <c r="B88" s="833" t="s">
        <v>314</v>
      </c>
      <c r="C88" s="1065">
        <v>9.1999999999999998E-2</v>
      </c>
      <c r="D88" s="1065">
        <v>8.5000000000000006E-2</v>
      </c>
      <c r="E88" s="1065">
        <v>9.6000000000000002E-2</v>
      </c>
      <c r="F88" s="1077"/>
    </row>
    <row r="89" spans="1:6" ht="14.25" thickBot="1">
      <c r="A89" s="839" t="s">
        <v>523</v>
      </c>
      <c r="B89" s="833" t="s">
        <v>325</v>
      </c>
      <c r="C89" s="1065">
        <v>0.1</v>
      </c>
      <c r="D89" s="1065">
        <v>0.1</v>
      </c>
      <c r="E89" s="1065">
        <v>9.7000000000000003E-2</v>
      </c>
      <c r="F89" s="1077"/>
    </row>
    <row r="90" spans="1:6" ht="14.25" thickBot="1">
      <c r="A90" s="839" t="s">
        <v>523</v>
      </c>
      <c r="B90" s="833" t="s">
        <v>336</v>
      </c>
      <c r="C90" s="1065">
        <v>9.8000000000000004E-2</v>
      </c>
      <c r="D90" s="1065">
        <v>9.8000000000000004E-2</v>
      </c>
      <c r="E90" s="1065">
        <v>8.7999999999999995E-2</v>
      </c>
      <c r="F90" s="1077"/>
    </row>
    <row r="91" spans="1:6" ht="14.25" thickBot="1">
      <c r="A91" s="839" t="s">
        <v>523</v>
      </c>
      <c r="B91" s="833" t="s">
        <v>346</v>
      </c>
      <c r="C91" s="1065">
        <v>9.9000000000000005E-2</v>
      </c>
      <c r="D91" s="1065">
        <v>9.9000000000000005E-2</v>
      </c>
      <c r="E91" s="1065">
        <v>9.0999999999999998E-2</v>
      </c>
      <c r="F91" s="1077"/>
    </row>
    <row r="92" spans="1:6" ht="14.25" thickBot="1">
      <c r="A92" s="839" t="s">
        <v>523</v>
      </c>
      <c r="B92" s="833" t="s">
        <v>356</v>
      </c>
      <c r="C92" s="1065">
        <v>9.6000000000000002E-2</v>
      </c>
      <c r="D92" s="1065">
        <v>9.6000000000000002E-2</v>
      </c>
      <c r="E92" s="1065">
        <v>7.2999999999999995E-2</v>
      </c>
      <c r="F92" s="1077"/>
    </row>
    <row r="93" spans="1:6" ht="14.25" thickBot="1">
      <c r="A93" s="839" t="s">
        <v>523</v>
      </c>
      <c r="B93" s="833" t="s">
        <v>366</v>
      </c>
      <c r="C93" s="1065">
        <v>9.6000000000000002E-2</v>
      </c>
      <c r="D93" s="1065">
        <v>9.6000000000000002E-2</v>
      </c>
      <c r="E93" s="1065">
        <v>9.9000000000000005E-2</v>
      </c>
      <c r="F93" s="1077"/>
    </row>
    <row r="94" spans="1:6" ht="14.25" thickBot="1">
      <c r="A94" s="839" t="s">
        <v>523</v>
      </c>
      <c r="B94" s="833" t="s">
        <v>376</v>
      </c>
      <c r="C94" s="1065">
        <v>7.5999999999999998E-2</v>
      </c>
      <c r="D94" s="1065">
        <v>7.3999999999999996E-2</v>
      </c>
      <c r="E94" s="1065">
        <v>9.7000000000000003E-2</v>
      </c>
      <c r="F94" s="1077"/>
    </row>
    <row r="95" spans="1:6" ht="14.25" thickBot="1">
      <c r="A95" s="839" t="s">
        <v>523</v>
      </c>
      <c r="B95" s="833" t="s">
        <v>385</v>
      </c>
      <c r="C95" s="1065">
        <v>9.9000000000000005E-2</v>
      </c>
      <c r="D95" s="1065">
        <v>9.4E-2</v>
      </c>
      <c r="E95" s="1065">
        <v>9.6000000000000002E-2</v>
      </c>
      <c r="F95" s="1077"/>
    </row>
    <row r="96" spans="1:6" ht="14.25" thickBot="1">
      <c r="A96" s="839" t="s">
        <v>523</v>
      </c>
      <c r="B96" s="833" t="s">
        <v>394</v>
      </c>
      <c r="C96" s="1065">
        <v>9.9000000000000005E-2</v>
      </c>
      <c r="D96" s="1065">
        <v>9.9000000000000005E-2</v>
      </c>
      <c r="E96" s="1065">
        <v>9.9000000000000005E-2</v>
      </c>
      <c r="F96" s="1077"/>
    </row>
    <row r="97" spans="1:6" ht="14.25" thickBot="1">
      <c r="A97" s="839" t="s">
        <v>523</v>
      </c>
      <c r="B97" s="833" t="s">
        <v>402</v>
      </c>
      <c r="C97" s="1065">
        <v>9.8000000000000004E-2</v>
      </c>
      <c r="D97" s="1065">
        <v>9.8000000000000004E-2</v>
      </c>
      <c r="E97" s="1065">
        <v>9.7000000000000003E-2</v>
      </c>
      <c r="F97" s="1077"/>
    </row>
    <row r="98" spans="1:6" ht="14.25" thickBot="1">
      <c r="A98" s="839" t="s">
        <v>523</v>
      </c>
      <c r="B98" s="833" t="s">
        <v>409</v>
      </c>
      <c r="C98" s="1065">
        <v>0.1</v>
      </c>
      <c r="D98" s="1065">
        <v>0.1</v>
      </c>
      <c r="E98" s="1065">
        <v>9.7000000000000003E-2</v>
      </c>
      <c r="F98" s="1077"/>
    </row>
    <row r="99" spans="1:6" ht="14.25" thickBot="1">
      <c r="A99" s="839" t="s">
        <v>523</v>
      </c>
      <c r="B99" s="833" t="s">
        <v>416</v>
      </c>
      <c r="C99" s="1065">
        <v>0.1</v>
      </c>
      <c r="D99" s="1065">
        <v>0.1</v>
      </c>
      <c r="E99" s="1078"/>
      <c r="F99" s="1077"/>
    </row>
    <row r="100" spans="1:6" ht="14.25" thickBot="1">
      <c r="A100" s="839" t="s">
        <v>523</v>
      </c>
      <c r="B100" s="833" t="s">
        <v>423</v>
      </c>
      <c r="C100" s="1065">
        <v>0.09</v>
      </c>
      <c r="D100" s="1065">
        <v>8.8999999999999996E-2</v>
      </c>
      <c r="E100" s="1078"/>
      <c r="F100" s="1077"/>
    </row>
    <row r="101" spans="1:6" ht="14.25" thickBot="1">
      <c r="A101" s="839" t="s">
        <v>523</v>
      </c>
      <c r="B101" s="833" t="s">
        <v>430</v>
      </c>
      <c r="C101" s="1065">
        <v>9.8000000000000004E-2</v>
      </c>
      <c r="D101" s="1065">
        <v>9.7000000000000003E-2</v>
      </c>
      <c r="E101" s="1078"/>
      <c r="F101" s="1077"/>
    </row>
    <row r="102" spans="1:6" ht="14.25" thickBot="1">
      <c r="A102" s="839" t="s">
        <v>523</v>
      </c>
      <c r="B102" s="833" t="s">
        <v>890</v>
      </c>
      <c r="C102" s="1078"/>
      <c r="D102" s="1078"/>
      <c r="E102" s="1078"/>
      <c r="F102" s="1066">
        <v>0.05</v>
      </c>
    </row>
    <row r="103" spans="1:6" ht="24.75" thickBot="1">
      <c r="A103" s="839" t="s">
        <v>523</v>
      </c>
      <c r="B103" s="833" t="s">
        <v>891</v>
      </c>
      <c r="C103" s="1078"/>
      <c r="D103" s="1078"/>
      <c r="E103" s="1078"/>
      <c r="F103" s="1066">
        <v>0.05</v>
      </c>
    </row>
    <row r="104" spans="1:6" ht="14.25" thickBot="1">
      <c r="A104" s="839" t="s">
        <v>523</v>
      </c>
      <c r="B104" s="833" t="s">
        <v>892</v>
      </c>
      <c r="C104" s="1078"/>
      <c r="D104" s="1078"/>
      <c r="E104" s="1078"/>
      <c r="F104" s="1066">
        <v>0.05</v>
      </c>
    </row>
    <row r="105" spans="1:6" ht="14.25" thickBot="1">
      <c r="A105" s="839" t="s">
        <v>523</v>
      </c>
      <c r="B105" s="833" t="s">
        <v>893</v>
      </c>
      <c r="C105" s="1078"/>
      <c r="D105" s="1078"/>
      <c r="E105" s="1078"/>
      <c r="F105" s="1066">
        <v>0.05</v>
      </c>
    </row>
    <row r="106" spans="1:6" ht="14.25" thickBot="1">
      <c r="A106" s="839" t="s">
        <v>523</v>
      </c>
      <c r="B106" s="833" t="s">
        <v>894</v>
      </c>
      <c r="C106" s="1078"/>
      <c r="D106" s="1078"/>
      <c r="E106" s="1078"/>
      <c r="F106" s="1066">
        <v>0.05</v>
      </c>
    </row>
    <row r="107" spans="1:6" ht="24.75" thickBot="1">
      <c r="A107" s="839" t="s">
        <v>523</v>
      </c>
      <c r="B107" s="833" t="s">
        <v>895</v>
      </c>
      <c r="C107" s="1078"/>
      <c r="D107" s="1078"/>
      <c r="E107" s="1078"/>
      <c r="F107" s="1066">
        <v>0.05</v>
      </c>
    </row>
    <row r="108" spans="1:6" ht="24.75" thickBot="1">
      <c r="A108" s="839" t="s">
        <v>523</v>
      </c>
      <c r="B108" s="833" t="s">
        <v>896</v>
      </c>
      <c r="C108" s="1078"/>
      <c r="D108" s="1078"/>
      <c r="E108" s="1078"/>
      <c r="F108" s="1066">
        <v>0.05</v>
      </c>
    </row>
    <row r="109" spans="1:6" ht="24.75" thickBot="1">
      <c r="A109" s="849" t="s">
        <v>523</v>
      </c>
      <c r="B109" s="845" t="s">
        <v>897</v>
      </c>
      <c r="C109" s="1075"/>
      <c r="D109" s="1075"/>
      <c r="E109" s="1075"/>
      <c r="F109" s="1068">
        <v>0.05</v>
      </c>
    </row>
    <row r="110" spans="1:6" ht="14.25" thickBot="1">
      <c r="A110" s="839" t="s">
        <v>56</v>
      </c>
      <c r="B110" s="840" t="s">
        <v>898</v>
      </c>
      <c r="C110" s="1063">
        <v>0.129</v>
      </c>
      <c r="D110" s="1063">
        <v>0.129</v>
      </c>
      <c r="E110" s="1063">
        <v>0.126</v>
      </c>
      <c r="F110" s="1064">
        <v>0.13</v>
      </c>
    </row>
    <row r="111" spans="1:6" ht="14.25" thickBot="1">
      <c r="A111" s="839" t="s">
        <v>56</v>
      </c>
      <c r="B111" s="833" t="s">
        <v>192</v>
      </c>
      <c r="C111" s="1065">
        <v>0.11</v>
      </c>
      <c r="D111" s="1065">
        <v>0.11</v>
      </c>
      <c r="E111" s="1065">
        <v>9.9000000000000005E-2</v>
      </c>
      <c r="F111" s="1066">
        <v>0.128</v>
      </c>
    </row>
    <row r="112" spans="1:6" ht="14.25" thickBot="1">
      <c r="A112" s="839" t="s">
        <v>56</v>
      </c>
      <c r="B112" s="833" t="s">
        <v>205</v>
      </c>
      <c r="C112" s="1065">
        <v>0.125</v>
      </c>
      <c r="D112" s="1065">
        <v>0.125</v>
      </c>
      <c r="E112" s="1065">
        <v>0.12</v>
      </c>
      <c r="F112" s="1066">
        <v>0.125</v>
      </c>
    </row>
    <row r="113" spans="1:6" ht="14.25" thickBot="1">
      <c r="A113" s="839" t="s">
        <v>56</v>
      </c>
      <c r="B113" s="833" t="s">
        <v>218</v>
      </c>
      <c r="C113" s="1065">
        <v>0.13</v>
      </c>
      <c r="D113" s="1065">
        <v>0.13</v>
      </c>
      <c r="E113" s="1065">
        <v>0.13</v>
      </c>
      <c r="F113" s="1066">
        <v>0.13</v>
      </c>
    </row>
    <row r="114" spans="1:6" ht="14.25" thickBot="1">
      <c r="A114" s="839" t="s">
        <v>56</v>
      </c>
      <c r="B114" s="833" t="s">
        <v>230</v>
      </c>
      <c r="C114" s="1065">
        <v>0.123</v>
      </c>
      <c r="D114" s="1065">
        <v>0.123</v>
      </c>
      <c r="E114" s="1065">
        <v>0.12</v>
      </c>
      <c r="F114" s="1066">
        <v>0.13</v>
      </c>
    </row>
    <row r="115" spans="1:6" ht="14.25" thickBot="1">
      <c r="A115" s="839" t="s">
        <v>56</v>
      </c>
      <c r="B115" s="833" t="s">
        <v>241</v>
      </c>
      <c r="C115" s="1065">
        <v>0.125</v>
      </c>
      <c r="D115" s="1065">
        <v>0.125</v>
      </c>
      <c r="E115" s="1065">
        <v>0.11700000000000001</v>
      </c>
      <c r="F115" s="1066">
        <v>0.13</v>
      </c>
    </row>
    <row r="116" spans="1:6" ht="14.25" thickBot="1">
      <c r="A116" s="839" t="s">
        <v>56</v>
      </c>
      <c r="B116" s="833" t="s">
        <v>252</v>
      </c>
      <c r="C116" s="1065">
        <v>0.11700000000000001</v>
      </c>
      <c r="D116" s="1065">
        <v>0.11700000000000001</v>
      </c>
      <c r="E116" s="1065">
        <v>8.7999999999999995E-2</v>
      </c>
      <c r="F116" s="1066">
        <v>0.13</v>
      </c>
    </row>
    <row r="117" spans="1:6" ht="14.25" thickBot="1">
      <c r="A117" s="839" t="s">
        <v>56</v>
      </c>
      <c r="B117" s="833" t="s">
        <v>263</v>
      </c>
      <c r="C117" s="1065">
        <v>0.13</v>
      </c>
      <c r="D117" s="1065">
        <v>0.13</v>
      </c>
      <c r="E117" s="1065">
        <v>0.129</v>
      </c>
      <c r="F117" s="1066">
        <v>0.13</v>
      </c>
    </row>
    <row r="118" spans="1:6" ht="14.25" thickBot="1">
      <c r="A118" s="839" t="s">
        <v>56</v>
      </c>
      <c r="B118" s="833" t="s">
        <v>275</v>
      </c>
      <c r="C118" s="1065">
        <v>0.123</v>
      </c>
      <c r="D118" s="1065">
        <v>0.123</v>
      </c>
      <c r="E118" s="1065">
        <v>0.11600000000000001</v>
      </c>
      <c r="F118" s="1066">
        <v>0.13</v>
      </c>
    </row>
    <row r="119" spans="1:6" ht="14.25" thickBot="1">
      <c r="A119" s="839" t="s">
        <v>56</v>
      </c>
      <c r="B119" s="833" t="s">
        <v>285</v>
      </c>
      <c r="C119" s="1065">
        <v>0.127</v>
      </c>
      <c r="D119" s="1065">
        <v>0.127</v>
      </c>
      <c r="E119" s="1065">
        <v>0.124</v>
      </c>
      <c r="F119" s="1066">
        <v>0.13</v>
      </c>
    </row>
    <row r="120" spans="1:6" ht="14.25" thickBot="1">
      <c r="A120" s="839" t="s">
        <v>56</v>
      </c>
      <c r="B120" s="833" t="s">
        <v>295</v>
      </c>
      <c r="C120" s="1065">
        <v>0.125</v>
      </c>
      <c r="D120" s="1065">
        <v>0.125</v>
      </c>
      <c r="E120" s="1065">
        <v>0.122</v>
      </c>
      <c r="F120" s="1066">
        <v>0.13</v>
      </c>
    </row>
    <row r="121" spans="1:6" ht="14.25" thickBot="1">
      <c r="A121" s="839" t="s">
        <v>56</v>
      </c>
      <c r="B121" s="833" t="s">
        <v>305</v>
      </c>
      <c r="C121" s="1065">
        <v>0.13</v>
      </c>
      <c r="D121" s="1065">
        <v>0.13</v>
      </c>
      <c r="E121" s="1065">
        <v>0.13</v>
      </c>
      <c r="F121" s="1066">
        <v>0.13</v>
      </c>
    </row>
    <row r="122" spans="1:6" ht="14.25" thickBot="1">
      <c r="A122" s="839" t="s">
        <v>56</v>
      </c>
      <c r="B122" s="833" t="s">
        <v>315</v>
      </c>
      <c r="C122" s="1065">
        <v>0.13</v>
      </c>
      <c r="D122" s="1065">
        <v>0.13</v>
      </c>
      <c r="E122" s="1065">
        <v>0.125</v>
      </c>
      <c r="F122" s="1066">
        <v>0.13</v>
      </c>
    </row>
    <row r="123" spans="1:6" ht="14.25" thickBot="1">
      <c r="A123" s="839" t="s">
        <v>56</v>
      </c>
      <c r="B123" s="833" t="s">
        <v>326</v>
      </c>
      <c r="C123" s="1065">
        <v>0.129</v>
      </c>
      <c r="D123" s="1065">
        <v>0.129</v>
      </c>
      <c r="E123" s="1065">
        <v>0.123</v>
      </c>
      <c r="F123" s="1066">
        <v>0.13</v>
      </c>
    </row>
    <row r="124" spans="1:6" ht="14.25" thickBot="1">
      <c r="A124" s="839" t="s">
        <v>56</v>
      </c>
      <c r="B124" s="833" t="s">
        <v>337</v>
      </c>
      <c r="C124" s="1065">
        <v>0.10199999999999999</v>
      </c>
      <c r="D124" s="1065">
        <v>0.10100000000000001</v>
      </c>
      <c r="E124" s="1065">
        <v>0.08</v>
      </c>
      <c r="F124" s="1077"/>
    </row>
    <row r="125" spans="1:6" ht="14.25" thickBot="1">
      <c r="A125" s="839" t="s">
        <v>56</v>
      </c>
      <c r="B125" s="833" t="s">
        <v>347</v>
      </c>
      <c r="C125" s="1065">
        <v>0.13</v>
      </c>
      <c r="D125" s="1065">
        <v>0.13</v>
      </c>
      <c r="E125" s="1065">
        <v>0.129</v>
      </c>
      <c r="F125" s="1077"/>
    </row>
    <row r="126" spans="1:6" ht="14.25" thickBot="1">
      <c r="A126" s="839" t="s">
        <v>56</v>
      </c>
      <c r="B126" s="833" t="s">
        <v>357</v>
      </c>
      <c r="C126" s="1065">
        <v>0.13</v>
      </c>
      <c r="D126" s="1065">
        <v>0.13</v>
      </c>
      <c r="E126" s="1065">
        <v>0.126</v>
      </c>
      <c r="F126" s="1077"/>
    </row>
    <row r="127" spans="1:6" ht="14.25" thickBot="1">
      <c r="A127" s="839" t="s">
        <v>56</v>
      </c>
      <c r="B127" s="833" t="s">
        <v>367</v>
      </c>
      <c r="C127" s="1065">
        <v>0.125</v>
      </c>
      <c r="D127" s="1065">
        <v>0.125</v>
      </c>
      <c r="E127" s="1065">
        <v>0.121</v>
      </c>
      <c r="F127" s="1077"/>
    </row>
    <row r="128" spans="1:6" ht="14.25" thickBot="1">
      <c r="A128" s="839" t="s">
        <v>56</v>
      </c>
      <c r="B128" s="833" t="s">
        <v>377</v>
      </c>
      <c r="C128" s="1065">
        <v>0.12</v>
      </c>
      <c r="D128" s="1065">
        <v>0.12</v>
      </c>
      <c r="E128" s="1065">
        <v>0.105</v>
      </c>
      <c r="F128" s="1077"/>
    </row>
    <row r="129" spans="1:6" ht="14.25" thickBot="1">
      <c r="A129" s="839" t="s">
        <v>56</v>
      </c>
      <c r="B129" s="833" t="s">
        <v>386</v>
      </c>
      <c r="C129" s="1065">
        <v>0.13</v>
      </c>
      <c r="D129" s="1065">
        <v>0.13</v>
      </c>
      <c r="E129" s="1065">
        <v>0.126</v>
      </c>
      <c r="F129" s="1077"/>
    </row>
    <row r="130" spans="1:6" ht="14.25" thickBot="1">
      <c r="A130" s="839" t="s">
        <v>56</v>
      </c>
      <c r="B130" s="833" t="s">
        <v>395</v>
      </c>
      <c r="C130" s="1065">
        <v>0.125</v>
      </c>
      <c r="D130" s="1065">
        <v>0.125</v>
      </c>
      <c r="E130" s="1065">
        <v>0.122</v>
      </c>
      <c r="F130" s="1077"/>
    </row>
    <row r="131" spans="1:6" ht="14.25" thickBot="1">
      <c r="A131" s="839" t="s">
        <v>56</v>
      </c>
      <c r="B131" s="833" t="s">
        <v>403</v>
      </c>
      <c r="C131" s="1065">
        <v>0.127</v>
      </c>
      <c r="D131" s="1065">
        <v>0.126</v>
      </c>
      <c r="E131" s="1065">
        <v>0.123</v>
      </c>
      <c r="F131" s="1077"/>
    </row>
    <row r="132" spans="1:6" ht="14.25" thickBot="1">
      <c r="A132" s="839" t="s">
        <v>56</v>
      </c>
      <c r="B132" s="833" t="s">
        <v>410</v>
      </c>
      <c r="C132" s="1065">
        <v>9.0999999999999998E-2</v>
      </c>
      <c r="D132" s="1065">
        <v>0.121</v>
      </c>
      <c r="E132" s="1065">
        <v>9.9000000000000005E-2</v>
      </c>
      <c r="F132" s="1077"/>
    </row>
    <row r="133" spans="1:6" ht="14.25" thickBot="1">
      <c r="A133" s="839" t="s">
        <v>56</v>
      </c>
      <c r="B133" s="833" t="s">
        <v>417</v>
      </c>
      <c r="C133" s="1065">
        <v>0.13</v>
      </c>
      <c r="D133" s="1065">
        <v>0.13</v>
      </c>
      <c r="E133" s="1065">
        <v>0.129</v>
      </c>
      <c r="F133" s="1077"/>
    </row>
    <row r="134" spans="1:6" ht="14.25" thickBot="1">
      <c r="A134" s="839" t="s">
        <v>56</v>
      </c>
      <c r="B134" s="833" t="s">
        <v>899</v>
      </c>
      <c r="C134" s="1065">
        <v>6.8000000000000005E-2</v>
      </c>
      <c r="D134" s="1065">
        <v>6.5000000000000002E-2</v>
      </c>
      <c r="E134" s="1065">
        <v>6.5000000000000002E-2</v>
      </c>
      <c r="F134" s="1066">
        <v>0.13</v>
      </c>
    </row>
    <row r="135" spans="1:6" ht="14.25" thickBot="1">
      <c r="A135" s="839" t="s">
        <v>56</v>
      </c>
      <c r="B135" s="833" t="s">
        <v>431</v>
      </c>
      <c r="C135" s="1065">
        <v>0.123</v>
      </c>
      <c r="D135" s="1065">
        <v>0.123</v>
      </c>
      <c r="E135" s="1065">
        <v>0.11</v>
      </c>
      <c r="F135" s="1077"/>
    </row>
    <row r="136" spans="1:6" ht="14.25" thickBot="1">
      <c r="A136" s="839" t="s">
        <v>56</v>
      </c>
      <c r="B136" s="833" t="s">
        <v>438</v>
      </c>
      <c r="C136" s="1065">
        <v>0.13</v>
      </c>
      <c r="D136" s="1065">
        <v>0.13</v>
      </c>
      <c r="E136" s="1065">
        <v>0.125</v>
      </c>
      <c r="F136" s="1077"/>
    </row>
    <row r="137" spans="1:6" ht="14.25" thickBot="1">
      <c r="A137" s="839" t="s">
        <v>56</v>
      </c>
      <c r="B137" s="833" t="s">
        <v>445</v>
      </c>
      <c r="C137" s="1065">
        <v>0.121</v>
      </c>
      <c r="D137" s="1065">
        <v>0.122</v>
      </c>
      <c r="E137" s="1065">
        <v>0.115</v>
      </c>
      <c r="F137" s="1077"/>
    </row>
    <row r="138" spans="1:6" ht="14.25" thickBot="1">
      <c r="A138" s="839" t="s">
        <v>56</v>
      </c>
      <c r="B138" s="833" t="s">
        <v>900</v>
      </c>
      <c r="C138" s="1065">
        <v>0.105</v>
      </c>
      <c r="D138" s="1065">
        <v>0.125</v>
      </c>
      <c r="E138" s="1065">
        <v>0.112</v>
      </c>
      <c r="F138" s="1077"/>
    </row>
    <row r="139" spans="1:6" ht="14.25" thickBot="1">
      <c r="A139" s="839" t="s">
        <v>56</v>
      </c>
      <c r="B139" s="833" t="s">
        <v>901</v>
      </c>
      <c r="C139" s="1065">
        <v>0.127</v>
      </c>
      <c r="D139" s="1065">
        <v>0.127</v>
      </c>
      <c r="E139" s="1065">
        <v>0.122</v>
      </c>
      <c r="F139" s="1066">
        <v>0.13</v>
      </c>
    </row>
    <row r="140" spans="1:6" ht="14.25" thickBot="1">
      <c r="A140" s="839" t="s">
        <v>56</v>
      </c>
      <c r="B140" s="833" t="s">
        <v>902</v>
      </c>
      <c r="C140" s="1065">
        <v>0.125</v>
      </c>
      <c r="D140" s="1065">
        <v>0.125</v>
      </c>
      <c r="E140" s="1065">
        <v>0.11899999999999999</v>
      </c>
      <c r="F140" s="1066">
        <v>0.13</v>
      </c>
    </row>
    <row r="141" spans="1:6" ht="14.25" thickBot="1">
      <c r="A141" s="839" t="s">
        <v>56</v>
      </c>
      <c r="B141" s="833" t="s">
        <v>464</v>
      </c>
      <c r="C141" s="1065">
        <v>0.125</v>
      </c>
      <c r="D141" s="1065">
        <v>0.125</v>
      </c>
      <c r="E141" s="1065">
        <v>0.11700000000000001</v>
      </c>
      <c r="F141" s="1077"/>
    </row>
    <row r="142" spans="1:6" ht="14.25" thickBot="1">
      <c r="A142" s="839" t="s">
        <v>56</v>
      </c>
      <c r="B142" s="833" t="s">
        <v>469</v>
      </c>
      <c r="C142" s="1065">
        <v>0.125</v>
      </c>
      <c r="D142" s="1065">
        <v>0.125</v>
      </c>
      <c r="E142" s="1065">
        <v>0.115</v>
      </c>
      <c r="F142" s="1077"/>
    </row>
    <row r="143" spans="1:6" ht="14.25" thickBot="1">
      <c r="A143" s="839" t="s">
        <v>56</v>
      </c>
      <c r="B143" s="833" t="s">
        <v>474</v>
      </c>
      <c r="C143" s="1065">
        <v>0.121</v>
      </c>
      <c r="D143" s="1065">
        <v>0.121</v>
      </c>
      <c r="E143" s="1065">
        <v>0.108</v>
      </c>
      <c r="F143" s="1077"/>
    </row>
    <row r="144" spans="1:6" ht="14.25" thickBot="1">
      <c r="A144" s="839" t="s">
        <v>56</v>
      </c>
      <c r="B144" s="1069" t="s">
        <v>903</v>
      </c>
      <c r="C144" s="1070">
        <v>0.126</v>
      </c>
      <c r="D144" s="1070">
        <v>0.126</v>
      </c>
      <c r="E144" s="1070">
        <v>0.121</v>
      </c>
      <c r="F144" s="1077"/>
    </row>
    <row r="145" spans="1:6" ht="14.25" thickBot="1">
      <c r="A145" s="849" t="s">
        <v>56</v>
      </c>
      <c r="B145" s="1071" t="s">
        <v>904</v>
      </c>
      <c r="C145" s="1079"/>
      <c r="D145" s="1079"/>
      <c r="E145" s="1079"/>
      <c r="F145" s="1072">
        <v>0.05</v>
      </c>
    </row>
    <row r="146" spans="1:6" ht="24.75" thickBot="1">
      <c r="A146" s="1073" t="s">
        <v>56</v>
      </c>
      <c r="B146" s="843" t="s">
        <v>905</v>
      </c>
      <c r="C146" s="1078"/>
      <c r="D146" s="1078"/>
      <c r="E146" s="1078"/>
      <c r="F146" s="1074">
        <v>0.05</v>
      </c>
    </row>
    <row r="147" spans="1:6" ht="24.75" thickBot="1">
      <c r="A147" s="839" t="s">
        <v>56</v>
      </c>
      <c r="B147" s="833" t="s">
        <v>906</v>
      </c>
      <c r="C147" s="1078"/>
      <c r="D147" s="1078"/>
      <c r="E147" s="1078"/>
      <c r="F147" s="1066">
        <v>0.05</v>
      </c>
    </row>
    <row r="148" spans="1:6" ht="24.75" thickBot="1">
      <c r="A148" s="839" t="s">
        <v>56</v>
      </c>
      <c r="B148" s="833" t="s">
        <v>907</v>
      </c>
      <c r="C148" s="1078"/>
      <c r="D148" s="1078"/>
      <c r="E148" s="1078"/>
      <c r="F148" s="1066">
        <v>0.05</v>
      </c>
    </row>
    <row r="149" spans="1:6" ht="24.75" thickBot="1">
      <c r="A149" s="839" t="s">
        <v>56</v>
      </c>
      <c r="B149" s="833" t="s">
        <v>908</v>
      </c>
      <c r="C149" s="1078"/>
      <c r="D149" s="1078"/>
      <c r="E149" s="1078"/>
      <c r="F149" s="1066">
        <v>0.05</v>
      </c>
    </row>
    <row r="150" spans="1:6" ht="24.75" thickBot="1">
      <c r="A150" s="839" t="s">
        <v>56</v>
      </c>
      <c r="B150" s="833" t="s">
        <v>909</v>
      </c>
      <c r="C150" s="1078"/>
      <c r="D150" s="1078"/>
      <c r="E150" s="1078"/>
      <c r="F150" s="1066">
        <v>0.05</v>
      </c>
    </row>
    <row r="151" spans="1:6" ht="24.75" thickBot="1">
      <c r="A151" s="839" t="s">
        <v>56</v>
      </c>
      <c r="B151" s="833" t="s">
        <v>910</v>
      </c>
      <c r="C151" s="1078"/>
      <c r="D151" s="1078"/>
      <c r="E151" s="1078"/>
      <c r="F151" s="1066">
        <v>0.05</v>
      </c>
    </row>
    <row r="152" spans="1:6" ht="24.75" thickBot="1">
      <c r="A152" s="839" t="s">
        <v>56</v>
      </c>
      <c r="B152" s="833" t="s">
        <v>507</v>
      </c>
      <c r="C152" s="1078"/>
      <c r="D152" s="1078"/>
      <c r="E152" s="1078"/>
      <c r="F152" s="1066">
        <v>0.05</v>
      </c>
    </row>
    <row r="153" spans="1:6" ht="14.25" thickBot="1">
      <c r="A153" s="839" t="s">
        <v>56</v>
      </c>
      <c r="B153" s="833" t="s">
        <v>911</v>
      </c>
      <c r="C153" s="1078"/>
      <c r="D153" s="1078"/>
      <c r="E153" s="1078"/>
      <c r="F153" s="1066">
        <v>0.05</v>
      </c>
    </row>
    <row r="154" spans="1:6" ht="14.25" thickBot="1">
      <c r="A154" s="839" t="s">
        <v>56</v>
      </c>
      <c r="B154" s="833" t="s">
        <v>912</v>
      </c>
      <c r="C154" s="1078"/>
      <c r="D154" s="1078"/>
      <c r="E154" s="1078"/>
      <c r="F154" s="1066">
        <v>0.05</v>
      </c>
    </row>
    <row r="155" spans="1:6" ht="24.75" thickBot="1">
      <c r="A155" s="839" t="s">
        <v>56</v>
      </c>
      <c r="B155" s="833" t="s">
        <v>913</v>
      </c>
      <c r="C155" s="1078"/>
      <c r="D155" s="1078"/>
      <c r="E155" s="1078"/>
      <c r="F155" s="1066">
        <v>0.05</v>
      </c>
    </row>
    <row r="156" spans="1:6" ht="24.75" thickBot="1">
      <c r="A156" s="839" t="s">
        <v>56</v>
      </c>
      <c r="B156" s="833" t="s">
        <v>914</v>
      </c>
      <c r="C156" s="1078"/>
      <c r="D156" s="1078"/>
      <c r="E156" s="1078"/>
      <c r="F156" s="1066">
        <v>0.05</v>
      </c>
    </row>
    <row r="157" spans="1:6" ht="14.25" thickBot="1">
      <c r="A157" s="849" t="s">
        <v>56</v>
      </c>
      <c r="B157" s="845" t="s">
        <v>915</v>
      </c>
      <c r="C157" s="1075"/>
      <c r="D157" s="1075"/>
      <c r="E157" s="1075"/>
      <c r="F157" s="1068">
        <v>0.05</v>
      </c>
    </row>
    <row r="158" spans="1:6" ht="14.25" thickBot="1">
      <c r="A158" s="839" t="s">
        <v>526</v>
      </c>
      <c r="B158" s="840" t="s">
        <v>916</v>
      </c>
      <c r="C158" s="1063">
        <v>0.13</v>
      </c>
      <c r="D158" s="1063">
        <v>0.13</v>
      </c>
      <c r="E158" s="1063">
        <v>0.13</v>
      </c>
      <c r="F158" s="1064">
        <v>0.13</v>
      </c>
    </row>
    <row r="159" spans="1:6" ht="14.25" thickBot="1">
      <c r="A159" s="839" t="s">
        <v>526</v>
      </c>
      <c r="B159" s="833" t="s">
        <v>193</v>
      </c>
      <c r="C159" s="1065">
        <v>0.13</v>
      </c>
      <c r="D159" s="1065">
        <v>0.13</v>
      </c>
      <c r="E159" s="1065">
        <v>0.13</v>
      </c>
      <c r="F159" s="1066">
        <v>0.13</v>
      </c>
    </row>
    <row r="160" spans="1:6" ht="14.25" thickBot="1">
      <c r="A160" s="839" t="s">
        <v>526</v>
      </c>
      <c r="B160" s="833" t="s">
        <v>206</v>
      </c>
      <c r="C160" s="1065">
        <v>0.13</v>
      </c>
      <c r="D160" s="1065">
        <v>0.13</v>
      </c>
      <c r="E160" s="1065">
        <v>0.129</v>
      </c>
      <c r="F160" s="1066">
        <v>0.13</v>
      </c>
    </row>
    <row r="161" spans="1:6" ht="14.25" thickBot="1">
      <c r="A161" s="839" t="s">
        <v>526</v>
      </c>
      <c r="B161" s="833" t="s">
        <v>219</v>
      </c>
      <c r="C161" s="1065">
        <v>0.128</v>
      </c>
      <c r="D161" s="1065">
        <v>0.128</v>
      </c>
      <c r="E161" s="1065">
        <v>0.125</v>
      </c>
      <c r="F161" s="1066">
        <v>0.13</v>
      </c>
    </row>
    <row r="162" spans="1:6" ht="14.25" thickBot="1">
      <c r="A162" s="839" t="s">
        <v>526</v>
      </c>
      <c r="B162" s="833" t="s">
        <v>231</v>
      </c>
      <c r="C162" s="1065">
        <v>0.122</v>
      </c>
      <c r="D162" s="1065">
        <v>0.122</v>
      </c>
      <c r="E162" s="1065">
        <v>0.126</v>
      </c>
      <c r="F162" s="1066">
        <v>0.122</v>
      </c>
    </row>
    <row r="163" spans="1:6" ht="14.25" thickBot="1">
      <c r="A163" s="839" t="s">
        <v>526</v>
      </c>
      <c r="B163" s="833" t="s">
        <v>242</v>
      </c>
      <c r="C163" s="1065">
        <v>0.13</v>
      </c>
      <c r="D163" s="1065">
        <v>0.13</v>
      </c>
      <c r="E163" s="1065">
        <v>0.125</v>
      </c>
      <c r="F163" s="1066">
        <v>0.13</v>
      </c>
    </row>
    <row r="164" spans="1:6" ht="14.25" thickBot="1">
      <c r="A164" s="839" t="s">
        <v>526</v>
      </c>
      <c r="B164" s="833" t="s">
        <v>253</v>
      </c>
      <c r="C164" s="1065">
        <v>0.13</v>
      </c>
      <c r="D164" s="1065">
        <v>0.13</v>
      </c>
      <c r="E164" s="1065">
        <v>0.13</v>
      </c>
      <c r="F164" s="1066">
        <v>0.13</v>
      </c>
    </row>
    <row r="165" spans="1:6" ht="14.25" thickBot="1">
      <c r="A165" s="839" t="s">
        <v>526</v>
      </c>
      <c r="B165" s="833" t="s">
        <v>264</v>
      </c>
      <c r="C165" s="1065">
        <v>0.13</v>
      </c>
      <c r="D165" s="1065">
        <v>0.13</v>
      </c>
      <c r="E165" s="1065">
        <v>0.124</v>
      </c>
      <c r="F165" s="1066">
        <v>0.13</v>
      </c>
    </row>
    <row r="166" spans="1:6" ht="14.25" thickBot="1">
      <c r="A166" s="839" t="s">
        <v>526</v>
      </c>
      <c r="B166" s="833" t="s">
        <v>276</v>
      </c>
      <c r="C166" s="1065">
        <v>0.13</v>
      </c>
      <c r="D166" s="1065">
        <v>0.13</v>
      </c>
      <c r="E166" s="1065">
        <v>0.13</v>
      </c>
      <c r="F166" s="1066">
        <v>0.13</v>
      </c>
    </row>
    <row r="167" spans="1:6" ht="14.25" thickBot="1">
      <c r="A167" s="839" t="s">
        <v>526</v>
      </c>
      <c r="B167" s="833" t="s">
        <v>286</v>
      </c>
      <c r="C167" s="1065">
        <v>0.125</v>
      </c>
      <c r="D167" s="1065">
        <v>0.125</v>
      </c>
      <c r="E167" s="1065">
        <v>0.121</v>
      </c>
      <c r="F167" s="1077"/>
    </row>
    <row r="168" spans="1:6" ht="14.25" thickBot="1">
      <c r="A168" s="839" t="s">
        <v>526</v>
      </c>
      <c r="B168" s="833" t="s">
        <v>296</v>
      </c>
      <c r="C168" s="1065">
        <v>0.13</v>
      </c>
      <c r="D168" s="1065">
        <v>0.13</v>
      </c>
      <c r="E168" s="1065">
        <v>0.126</v>
      </c>
      <c r="F168" s="1077"/>
    </row>
    <row r="169" spans="1:6" ht="14.25" thickBot="1">
      <c r="A169" s="839" t="s">
        <v>526</v>
      </c>
      <c r="B169" s="833" t="s">
        <v>306</v>
      </c>
      <c r="C169" s="1065">
        <v>0.128</v>
      </c>
      <c r="D169" s="1065">
        <v>0.129</v>
      </c>
      <c r="E169" s="1065">
        <v>0.13</v>
      </c>
      <c r="F169" s="1077"/>
    </row>
    <row r="170" spans="1:6" ht="14.25" thickBot="1">
      <c r="A170" s="839" t="s">
        <v>526</v>
      </c>
      <c r="B170" s="833" t="s">
        <v>316</v>
      </c>
      <c r="C170" s="1065">
        <v>0.14099999999999999</v>
      </c>
      <c r="D170" s="1065">
        <v>0.13</v>
      </c>
      <c r="E170" s="1065">
        <v>0.125</v>
      </c>
      <c r="F170" s="1077"/>
    </row>
    <row r="171" spans="1:6" ht="14.25" thickBot="1">
      <c r="A171" s="839" t="s">
        <v>526</v>
      </c>
      <c r="B171" s="833" t="s">
        <v>917</v>
      </c>
      <c r="C171" s="1065">
        <v>0.127</v>
      </c>
      <c r="D171" s="1065">
        <v>0.126</v>
      </c>
      <c r="E171" s="1065">
        <v>0.126</v>
      </c>
      <c r="F171" s="1066">
        <v>0.11799999999999999</v>
      </c>
    </row>
    <row r="172" spans="1:6" ht="14.25" thickBot="1">
      <c r="A172" s="839" t="s">
        <v>526</v>
      </c>
      <c r="B172" s="833" t="s">
        <v>918</v>
      </c>
      <c r="C172" s="1065">
        <v>0.13</v>
      </c>
      <c r="D172" s="1065">
        <v>0.13</v>
      </c>
      <c r="E172" s="1065">
        <v>0.13</v>
      </c>
      <c r="F172" s="1077"/>
    </row>
    <row r="173" spans="1:6" ht="14.25" thickBot="1">
      <c r="A173" s="839" t="s">
        <v>526</v>
      </c>
      <c r="B173" s="833" t="s">
        <v>348</v>
      </c>
      <c r="C173" s="1065">
        <v>0.13</v>
      </c>
      <c r="D173" s="1065">
        <v>0.13</v>
      </c>
      <c r="E173" s="1065">
        <v>0.13</v>
      </c>
      <c r="F173" s="1077"/>
    </row>
    <row r="174" spans="1:6" ht="14.25" thickBot="1">
      <c r="A174" s="839" t="s">
        <v>526</v>
      </c>
      <c r="B174" s="833" t="s">
        <v>919</v>
      </c>
      <c r="C174" s="1065">
        <v>0.13</v>
      </c>
      <c r="D174" s="1065">
        <v>0.13</v>
      </c>
      <c r="E174" s="1065">
        <v>0.13</v>
      </c>
      <c r="F174" s="1066">
        <v>0.13</v>
      </c>
    </row>
    <row r="175" spans="1:6" ht="14.25" thickBot="1">
      <c r="A175" s="839" t="s">
        <v>526</v>
      </c>
      <c r="B175" s="833" t="s">
        <v>920</v>
      </c>
      <c r="C175" s="1065">
        <v>0.13</v>
      </c>
      <c r="D175" s="1065">
        <v>0.13</v>
      </c>
      <c r="E175" s="1065">
        <v>0.13</v>
      </c>
      <c r="F175" s="1066">
        <v>0.13</v>
      </c>
    </row>
    <row r="176" spans="1:6" ht="14.25" thickBot="1">
      <c r="A176" s="839" t="s">
        <v>526</v>
      </c>
      <c r="B176" s="833" t="s">
        <v>378</v>
      </c>
      <c r="C176" s="1065">
        <v>0.13</v>
      </c>
      <c r="D176" s="1065">
        <v>0.13</v>
      </c>
      <c r="E176" s="1065">
        <v>0.13</v>
      </c>
      <c r="F176" s="1066">
        <v>0.13</v>
      </c>
    </row>
    <row r="177" spans="1:6" ht="14.25" thickBot="1">
      <c r="A177" s="839" t="s">
        <v>526</v>
      </c>
      <c r="B177" s="833" t="s">
        <v>921</v>
      </c>
      <c r="C177" s="1065">
        <v>0.13</v>
      </c>
      <c r="D177" s="1065">
        <v>0.13</v>
      </c>
      <c r="E177" s="1065">
        <v>0.13</v>
      </c>
      <c r="F177" s="1066">
        <v>0.13</v>
      </c>
    </row>
    <row r="178" spans="1:6" ht="14.25" thickBot="1">
      <c r="A178" s="839" t="s">
        <v>526</v>
      </c>
      <c r="B178" s="833" t="s">
        <v>396</v>
      </c>
      <c r="C178" s="1065">
        <v>0.13</v>
      </c>
      <c r="D178" s="1065">
        <v>0.13</v>
      </c>
      <c r="E178" s="1065">
        <v>0.13</v>
      </c>
      <c r="F178" s="1066">
        <v>0.127</v>
      </c>
    </row>
    <row r="179" spans="1:6" ht="14.25" thickBot="1">
      <c r="A179" s="839" t="s">
        <v>526</v>
      </c>
      <c r="B179" s="833" t="s">
        <v>404</v>
      </c>
      <c r="C179" s="1065">
        <v>0.13</v>
      </c>
      <c r="D179" s="1065">
        <v>0.13</v>
      </c>
      <c r="E179" s="1065">
        <v>0.13</v>
      </c>
      <c r="F179" s="1077"/>
    </row>
    <row r="180" spans="1:6" ht="14.25" thickBot="1">
      <c r="A180" s="839" t="s">
        <v>526</v>
      </c>
      <c r="B180" s="833" t="s">
        <v>922</v>
      </c>
      <c r="C180" s="1065">
        <v>0.13</v>
      </c>
      <c r="D180" s="1065">
        <v>0.13</v>
      </c>
      <c r="E180" s="1065">
        <v>0.125</v>
      </c>
      <c r="F180" s="1066">
        <v>0.13</v>
      </c>
    </row>
    <row r="181" spans="1:6" ht="14.25" thickBot="1">
      <c r="A181" s="839" t="s">
        <v>526</v>
      </c>
      <c r="B181" s="833" t="s">
        <v>418</v>
      </c>
      <c r="C181" s="1065">
        <v>0.122</v>
      </c>
      <c r="D181" s="1065">
        <v>0.123</v>
      </c>
      <c r="E181" s="1065">
        <v>0.126</v>
      </c>
      <c r="F181" s="1066">
        <v>0.121</v>
      </c>
    </row>
    <row r="182" spans="1:6" ht="14.25" thickBot="1">
      <c r="A182" s="839" t="s">
        <v>526</v>
      </c>
      <c r="B182" s="833" t="s">
        <v>425</v>
      </c>
      <c r="C182" s="1065">
        <v>0.125</v>
      </c>
      <c r="D182" s="1065">
        <v>0.125</v>
      </c>
      <c r="E182" s="1065">
        <v>0.11700000000000001</v>
      </c>
      <c r="F182" s="1066">
        <v>0.13</v>
      </c>
    </row>
    <row r="183" spans="1:6" ht="14.25" thickBot="1">
      <c r="A183" s="839" t="s">
        <v>526</v>
      </c>
      <c r="B183" s="833" t="s">
        <v>432</v>
      </c>
      <c r="C183" s="1065">
        <v>0.127</v>
      </c>
      <c r="D183" s="1065">
        <v>0.127</v>
      </c>
      <c r="E183" s="1065">
        <v>0.128</v>
      </c>
      <c r="F183" s="1077"/>
    </row>
    <row r="184" spans="1:6" ht="14.25" thickBot="1">
      <c r="A184" s="839" t="s">
        <v>526</v>
      </c>
      <c r="B184" s="833" t="s">
        <v>439</v>
      </c>
      <c r="C184" s="1065">
        <v>0.125</v>
      </c>
      <c r="D184" s="1065">
        <v>0.125</v>
      </c>
      <c r="E184" s="1065">
        <v>0.127</v>
      </c>
      <c r="F184" s="1077"/>
    </row>
    <row r="185" spans="1:6" ht="14.25" thickBot="1">
      <c r="A185" s="839" t="s">
        <v>526</v>
      </c>
      <c r="B185" s="833" t="s">
        <v>923</v>
      </c>
      <c r="C185" s="1065">
        <v>0.127</v>
      </c>
      <c r="D185" s="1065">
        <v>0.127</v>
      </c>
      <c r="E185" s="1065">
        <v>0.128</v>
      </c>
      <c r="F185" s="1066">
        <v>0.13</v>
      </c>
    </row>
    <row r="186" spans="1:6" ht="24.75" thickBot="1">
      <c r="A186" s="839" t="s">
        <v>526</v>
      </c>
      <c r="B186" s="833" t="s">
        <v>924</v>
      </c>
      <c r="C186" s="1078"/>
      <c r="D186" s="1078"/>
      <c r="E186" s="1078"/>
      <c r="F186" s="1066">
        <v>0.05</v>
      </c>
    </row>
    <row r="187" spans="1:6" ht="14.25" thickBot="1">
      <c r="A187" s="839" t="s">
        <v>526</v>
      </c>
      <c r="B187" s="833" t="s">
        <v>925</v>
      </c>
      <c r="C187" s="1078"/>
      <c r="D187" s="1078"/>
      <c r="E187" s="1078"/>
      <c r="F187" s="1066">
        <v>0.05</v>
      </c>
    </row>
    <row r="188" spans="1:6" ht="14.25" thickBot="1">
      <c r="A188" s="839" t="s">
        <v>526</v>
      </c>
      <c r="B188" s="833" t="s">
        <v>926</v>
      </c>
      <c r="C188" s="1078"/>
      <c r="D188" s="1078"/>
      <c r="E188" s="1078"/>
      <c r="F188" s="1066">
        <v>0.05</v>
      </c>
    </row>
    <row r="189" spans="1:6" ht="24.75" thickBot="1">
      <c r="A189" s="839" t="s">
        <v>526</v>
      </c>
      <c r="B189" s="833" t="s">
        <v>927</v>
      </c>
      <c r="C189" s="1078"/>
      <c r="D189" s="1078"/>
      <c r="E189" s="1078"/>
      <c r="F189" s="1066">
        <v>0.05</v>
      </c>
    </row>
    <row r="190" spans="1:6" ht="24.75" thickBot="1">
      <c r="A190" s="839" t="s">
        <v>526</v>
      </c>
      <c r="B190" s="833" t="s">
        <v>928</v>
      </c>
      <c r="C190" s="1078"/>
      <c r="D190" s="1078"/>
      <c r="E190" s="1078"/>
      <c r="F190" s="1066">
        <v>0.05</v>
      </c>
    </row>
    <row r="191" spans="1:6" ht="24.75" thickBot="1">
      <c r="A191" s="839" t="s">
        <v>526</v>
      </c>
      <c r="B191" s="833" t="s">
        <v>929</v>
      </c>
      <c r="C191" s="1078"/>
      <c r="D191" s="1078"/>
      <c r="E191" s="1078"/>
      <c r="F191" s="1066">
        <v>0.05</v>
      </c>
    </row>
    <row r="192" spans="1:6" ht="24.75" thickBot="1">
      <c r="A192" s="839" t="s">
        <v>526</v>
      </c>
      <c r="B192" s="833" t="s">
        <v>930</v>
      </c>
      <c r="C192" s="1078"/>
      <c r="D192" s="1078"/>
      <c r="E192" s="1078"/>
      <c r="F192" s="1066">
        <v>0.05</v>
      </c>
    </row>
    <row r="193" spans="1:6" ht="24.75" thickBot="1">
      <c r="A193" s="839" t="s">
        <v>526</v>
      </c>
      <c r="B193" s="833" t="s">
        <v>931</v>
      </c>
      <c r="C193" s="1078"/>
      <c r="D193" s="1078"/>
      <c r="E193" s="1078"/>
      <c r="F193" s="1066">
        <v>0.05</v>
      </c>
    </row>
    <row r="194" spans="1:6" ht="24.75" thickBot="1">
      <c r="A194" s="839" t="s">
        <v>526</v>
      </c>
      <c r="B194" s="833" t="s">
        <v>932</v>
      </c>
      <c r="C194" s="1078"/>
      <c r="D194" s="1078"/>
      <c r="E194" s="1078"/>
      <c r="F194" s="1066">
        <v>0.05</v>
      </c>
    </row>
    <row r="195" spans="1:6" ht="14.25" thickBot="1">
      <c r="A195" s="839" t="s">
        <v>526</v>
      </c>
      <c r="B195" s="833" t="s">
        <v>933</v>
      </c>
      <c r="C195" s="1078"/>
      <c r="D195" s="1078"/>
      <c r="E195" s="1078"/>
      <c r="F195" s="1066">
        <v>0.05</v>
      </c>
    </row>
    <row r="196" spans="1:6" ht="24.75" thickBot="1">
      <c r="A196" s="839" t="s">
        <v>526</v>
      </c>
      <c r="B196" s="833" t="s">
        <v>934</v>
      </c>
      <c r="C196" s="1078"/>
      <c r="D196" s="1078"/>
      <c r="E196" s="1078"/>
      <c r="F196" s="1066">
        <v>0.05</v>
      </c>
    </row>
    <row r="197" spans="1:6" ht="24.75" thickBot="1">
      <c r="A197" s="839" t="s">
        <v>526</v>
      </c>
      <c r="B197" s="833" t="s">
        <v>935</v>
      </c>
      <c r="C197" s="1078"/>
      <c r="D197" s="1078"/>
      <c r="E197" s="1078"/>
      <c r="F197" s="1066">
        <v>0.05</v>
      </c>
    </row>
    <row r="198" spans="1:6" ht="24.75" thickBot="1">
      <c r="A198" s="839" t="s">
        <v>526</v>
      </c>
      <c r="B198" s="833" t="s">
        <v>936</v>
      </c>
      <c r="C198" s="1078"/>
      <c r="D198" s="1078"/>
      <c r="E198" s="1078"/>
      <c r="F198" s="1066">
        <v>0.05</v>
      </c>
    </row>
    <row r="199" spans="1:6" ht="24.75" thickBot="1">
      <c r="A199" s="839" t="s">
        <v>526</v>
      </c>
      <c r="B199" s="833" t="s">
        <v>937</v>
      </c>
      <c r="C199" s="1078"/>
      <c r="D199" s="1078"/>
      <c r="E199" s="1078"/>
      <c r="F199" s="1066">
        <v>0.05</v>
      </c>
    </row>
    <row r="200" spans="1:6" ht="24.75" thickBot="1">
      <c r="A200" s="839" t="s">
        <v>526</v>
      </c>
      <c r="B200" s="833" t="s">
        <v>938</v>
      </c>
      <c r="C200" s="1078"/>
      <c r="D200" s="1078"/>
      <c r="E200" s="1078"/>
      <c r="F200" s="1066">
        <v>0.05</v>
      </c>
    </row>
    <row r="201" spans="1:6" ht="24.75" thickBot="1">
      <c r="A201" s="839" t="s">
        <v>526</v>
      </c>
      <c r="B201" s="833" t="s">
        <v>939</v>
      </c>
      <c r="C201" s="1078"/>
      <c r="D201" s="1078"/>
      <c r="E201" s="1078"/>
      <c r="F201" s="1066">
        <v>0.05</v>
      </c>
    </row>
    <row r="202" spans="1:6" ht="24.75" thickBot="1">
      <c r="A202" s="839" t="s">
        <v>526</v>
      </c>
      <c r="B202" s="833" t="s">
        <v>940</v>
      </c>
      <c r="C202" s="1078"/>
      <c r="D202" s="1078"/>
      <c r="E202" s="1078"/>
      <c r="F202" s="1066">
        <v>0.05</v>
      </c>
    </row>
    <row r="203" spans="1:6" ht="24.75" thickBot="1">
      <c r="A203" s="839" t="s">
        <v>526</v>
      </c>
      <c r="B203" s="833" t="s">
        <v>941</v>
      </c>
      <c r="C203" s="1078"/>
      <c r="D203" s="1078"/>
      <c r="E203" s="1078"/>
      <c r="F203" s="1066">
        <v>0.05</v>
      </c>
    </row>
    <row r="204" spans="1:6" ht="14.25" thickBot="1">
      <c r="A204" s="839" t="s">
        <v>526</v>
      </c>
      <c r="B204" s="833" t="s">
        <v>942</v>
      </c>
      <c r="C204" s="1078"/>
      <c r="D204" s="1078"/>
      <c r="E204" s="1078"/>
      <c r="F204" s="1066">
        <v>0.05</v>
      </c>
    </row>
    <row r="205" spans="1:6" ht="14.25" thickBot="1">
      <c r="A205" s="849" t="s">
        <v>526</v>
      </c>
      <c r="B205" s="845" t="s">
        <v>943</v>
      </c>
      <c r="C205" s="1075"/>
      <c r="D205" s="1075"/>
      <c r="E205" s="1075"/>
      <c r="F205" s="1068">
        <v>0.05</v>
      </c>
    </row>
    <row r="206" spans="1:6" ht="14.25" thickBot="1">
      <c r="A206" s="839" t="s">
        <v>528</v>
      </c>
      <c r="B206" s="840" t="s">
        <v>944</v>
      </c>
      <c r="C206" s="1063">
        <v>0.15</v>
      </c>
      <c r="D206" s="1063">
        <v>0.15</v>
      </c>
      <c r="E206" s="1063">
        <v>0.15</v>
      </c>
      <c r="F206" s="1064">
        <v>0.15</v>
      </c>
    </row>
    <row r="207" spans="1:6" ht="14.25" thickBot="1">
      <c r="A207" s="839" t="s">
        <v>528</v>
      </c>
      <c r="B207" s="833" t="s">
        <v>194</v>
      </c>
      <c r="C207" s="1065">
        <v>0.15</v>
      </c>
      <c r="D207" s="1065">
        <v>0.15</v>
      </c>
      <c r="E207" s="1065">
        <v>0.15</v>
      </c>
      <c r="F207" s="1066">
        <v>0.14399999999999999</v>
      </c>
    </row>
    <row r="208" spans="1:6" ht="14.25" thickBot="1">
      <c r="A208" s="839" t="s">
        <v>528</v>
      </c>
      <c r="B208" s="833" t="s">
        <v>207</v>
      </c>
      <c r="C208" s="1065">
        <v>0.15</v>
      </c>
      <c r="D208" s="1065">
        <v>0.15</v>
      </c>
      <c r="E208" s="1065">
        <v>0.15</v>
      </c>
      <c r="F208" s="1066">
        <v>0.15</v>
      </c>
    </row>
    <row r="209" spans="1:6" ht="14.25" thickBot="1">
      <c r="A209" s="839" t="s">
        <v>528</v>
      </c>
      <c r="B209" s="833" t="s">
        <v>220</v>
      </c>
      <c r="C209" s="1065">
        <v>0.13700000000000001</v>
      </c>
      <c r="D209" s="1065">
        <v>0.13700000000000001</v>
      </c>
      <c r="E209" s="1065">
        <v>0.14000000000000001</v>
      </c>
      <c r="F209" s="1066">
        <v>0.11700000000000001</v>
      </c>
    </row>
    <row r="210" spans="1:6" ht="14.25" thickBot="1">
      <c r="A210" s="839" t="s">
        <v>528</v>
      </c>
      <c r="B210" s="833" t="s">
        <v>945</v>
      </c>
      <c r="C210" s="1065">
        <v>0.15</v>
      </c>
      <c r="D210" s="1065">
        <v>0.15</v>
      </c>
      <c r="E210" s="1065">
        <v>0.15</v>
      </c>
      <c r="F210" s="1066">
        <v>0.13800000000000001</v>
      </c>
    </row>
    <row r="211" spans="1:6" ht="14.25" thickBot="1">
      <c r="A211" s="839" t="s">
        <v>528</v>
      </c>
      <c r="B211" s="833" t="s">
        <v>946</v>
      </c>
      <c r="C211" s="1065">
        <v>0.13700000000000001</v>
      </c>
      <c r="D211" s="1065">
        <v>0.13500000000000001</v>
      </c>
      <c r="E211" s="1065">
        <v>0.13600000000000001</v>
      </c>
      <c r="F211" s="1066">
        <v>0.1</v>
      </c>
    </row>
    <row r="212" spans="1:6" ht="14.25" thickBot="1">
      <c r="A212" s="839" t="s">
        <v>528</v>
      </c>
      <c r="B212" s="833" t="s">
        <v>947</v>
      </c>
      <c r="C212" s="1065">
        <v>0.15</v>
      </c>
      <c r="D212" s="1065">
        <v>0.15</v>
      </c>
      <c r="E212" s="1065">
        <v>0.14799999999999999</v>
      </c>
      <c r="F212" s="1066">
        <v>0.13600000000000001</v>
      </c>
    </row>
    <row r="213" spans="1:6" ht="14.25" thickBot="1">
      <c r="A213" s="839" t="s">
        <v>528</v>
      </c>
      <c r="B213" s="833" t="s">
        <v>265</v>
      </c>
      <c r="C213" s="1065">
        <v>0.15</v>
      </c>
      <c r="D213" s="1065">
        <v>0.15</v>
      </c>
      <c r="E213" s="1065">
        <v>0.15</v>
      </c>
      <c r="F213" s="1066">
        <v>0.13800000000000001</v>
      </c>
    </row>
    <row r="214" spans="1:6" ht="14.25" thickBot="1">
      <c r="A214" s="839" t="s">
        <v>528</v>
      </c>
      <c r="B214" s="833" t="s">
        <v>277</v>
      </c>
      <c r="C214" s="1065">
        <v>9.0999999999999998E-2</v>
      </c>
      <c r="D214" s="1065">
        <v>0.09</v>
      </c>
      <c r="E214" s="1065">
        <v>9.1999999999999998E-2</v>
      </c>
      <c r="F214" s="1077"/>
    </row>
    <row r="215" spans="1:6" ht="14.25" thickBot="1">
      <c r="A215" s="839" t="s">
        <v>528</v>
      </c>
      <c r="B215" s="833" t="s">
        <v>948</v>
      </c>
      <c r="C215" s="1065">
        <v>0.15</v>
      </c>
      <c r="D215" s="1065">
        <v>0.15</v>
      </c>
      <c r="E215" s="1065">
        <v>0.15</v>
      </c>
      <c r="F215" s="1066">
        <v>0.15</v>
      </c>
    </row>
    <row r="216" spans="1:6" ht="14.25" thickBot="1">
      <c r="A216" s="839" t="s">
        <v>528</v>
      </c>
      <c r="B216" s="833" t="s">
        <v>297</v>
      </c>
      <c r="C216" s="1065">
        <v>0.14699999999999999</v>
      </c>
      <c r="D216" s="1065">
        <v>0.14699999999999999</v>
      </c>
      <c r="E216" s="1065">
        <v>0.15</v>
      </c>
      <c r="F216" s="1066">
        <v>0.14000000000000001</v>
      </c>
    </row>
    <row r="217" spans="1:6" ht="14.25" thickBot="1">
      <c r="A217" s="839" t="s">
        <v>528</v>
      </c>
      <c r="B217" s="833" t="s">
        <v>307</v>
      </c>
      <c r="C217" s="1065">
        <v>0.15</v>
      </c>
      <c r="D217" s="1065">
        <v>0.15</v>
      </c>
      <c r="E217" s="1065">
        <v>0.15</v>
      </c>
      <c r="F217" s="1066">
        <v>0.15</v>
      </c>
    </row>
    <row r="218" spans="1:6" ht="14.25" thickBot="1">
      <c r="A218" s="839" t="s">
        <v>528</v>
      </c>
      <c r="B218" s="833" t="s">
        <v>949</v>
      </c>
      <c r="C218" s="1065">
        <v>0.15</v>
      </c>
      <c r="D218" s="1065">
        <v>0.15</v>
      </c>
      <c r="E218" s="1065">
        <v>0.15</v>
      </c>
      <c r="F218" s="1066">
        <v>0.15</v>
      </c>
    </row>
    <row r="219" spans="1:6" ht="14.25" thickBot="1">
      <c r="A219" s="839" t="s">
        <v>528</v>
      </c>
      <c r="B219" s="833" t="s">
        <v>328</v>
      </c>
      <c r="C219" s="1065">
        <v>0.15</v>
      </c>
      <c r="D219" s="1065">
        <v>0.15</v>
      </c>
      <c r="E219" s="1065">
        <v>0.15</v>
      </c>
      <c r="F219" s="1066">
        <v>0.14799999999999999</v>
      </c>
    </row>
    <row r="220" spans="1:6" ht="14.25" thickBot="1">
      <c r="A220" s="839" t="s">
        <v>528</v>
      </c>
      <c r="B220" s="833" t="s">
        <v>950</v>
      </c>
      <c r="C220" s="1065">
        <v>0.15</v>
      </c>
      <c r="D220" s="1065">
        <v>0.15</v>
      </c>
      <c r="E220" s="1065">
        <v>0.15</v>
      </c>
      <c r="F220" s="1066">
        <v>0.15</v>
      </c>
    </row>
    <row r="221" spans="1:6" ht="14.25" thickBot="1">
      <c r="A221" s="839" t="s">
        <v>528</v>
      </c>
      <c r="B221" s="833" t="s">
        <v>349</v>
      </c>
      <c r="C221" s="1065"/>
      <c r="D221" s="1078"/>
      <c r="E221" s="1078"/>
      <c r="F221" s="1066">
        <v>0.14799999999999999</v>
      </c>
    </row>
    <row r="222" spans="1:6" ht="14.25" thickBot="1">
      <c r="A222" s="839" t="s">
        <v>528</v>
      </c>
      <c r="B222" s="833" t="s">
        <v>359</v>
      </c>
      <c r="C222" s="1065"/>
      <c r="D222" s="1078"/>
      <c r="E222" s="1078"/>
      <c r="F222" s="1066">
        <v>0.1</v>
      </c>
    </row>
    <row r="223" spans="1:6" ht="14.25" thickBot="1">
      <c r="A223" s="839" t="s">
        <v>528</v>
      </c>
      <c r="B223" s="833" t="s">
        <v>369</v>
      </c>
      <c r="C223" s="1065"/>
      <c r="D223" s="1078"/>
      <c r="E223" s="1078"/>
      <c r="F223" s="1066">
        <v>0.15</v>
      </c>
    </row>
    <row r="224" spans="1:6" ht="14.25" thickBot="1">
      <c r="A224" s="839" t="s">
        <v>528</v>
      </c>
      <c r="B224" s="833" t="s">
        <v>379</v>
      </c>
      <c r="C224" s="1065"/>
      <c r="D224" s="1078"/>
      <c r="E224" s="1078"/>
      <c r="F224" s="1066">
        <v>0.15</v>
      </c>
    </row>
    <row r="225" spans="1:6" ht="14.25" thickBot="1">
      <c r="A225" s="839" t="s">
        <v>528</v>
      </c>
      <c r="B225" s="833" t="s">
        <v>951</v>
      </c>
      <c r="C225" s="1065">
        <v>0.15</v>
      </c>
      <c r="D225" s="1065">
        <v>0.15</v>
      </c>
      <c r="E225" s="1065">
        <v>0.15</v>
      </c>
      <c r="F225" s="1066">
        <v>0.15</v>
      </c>
    </row>
    <row r="226" spans="1:6" ht="14.25" thickBot="1">
      <c r="A226" s="839" t="s">
        <v>528</v>
      </c>
      <c r="B226" s="833" t="s">
        <v>397</v>
      </c>
      <c r="C226" s="1065">
        <v>0.15</v>
      </c>
      <c r="D226" s="1065">
        <v>0.15</v>
      </c>
      <c r="E226" s="1065">
        <v>0.15</v>
      </c>
      <c r="F226" s="1066">
        <v>0.14799999999999999</v>
      </c>
    </row>
    <row r="227" spans="1:6" ht="14.25" thickBot="1">
      <c r="A227" s="839" t="s">
        <v>528</v>
      </c>
      <c r="B227" s="833" t="s">
        <v>952</v>
      </c>
      <c r="C227" s="1065">
        <v>0.15</v>
      </c>
      <c r="D227" s="1065">
        <v>0.15</v>
      </c>
      <c r="E227" s="1065">
        <v>0.15</v>
      </c>
      <c r="F227" s="1066">
        <v>0.15</v>
      </c>
    </row>
    <row r="228" spans="1:6" ht="14.25" thickBot="1">
      <c r="A228" s="839" t="s">
        <v>528</v>
      </c>
      <c r="B228" s="833" t="s">
        <v>412</v>
      </c>
      <c r="C228" s="1065">
        <v>0.15</v>
      </c>
      <c r="D228" s="1065">
        <v>0.15</v>
      </c>
      <c r="E228" s="1065">
        <v>0.15</v>
      </c>
      <c r="F228" s="1066">
        <v>0.15</v>
      </c>
    </row>
    <row r="229" spans="1:6" ht="14.25" thickBot="1">
      <c r="A229" s="839" t="s">
        <v>528</v>
      </c>
      <c r="B229" s="833" t="s">
        <v>419</v>
      </c>
      <c r="C229" s="1065">
        <v>0.15</v>
      </c>
      <c r="D229" s="1065">
        <v>0.15</v>
      </c>
      <c r="E229" s="1065">
        <v>0.15</v>
      </c>
      <c r="F229" s="1077"/>
    </row>
    <row r="230" spans="1:6" ht="14.25" thickBot="1">
      <c r="A230" s="839" t="s">
        <v>528</v>
      </c>
      <c r="B230" s="833" t="s">
        <v>426</v>
      </c>
      <c r="C230" s="1065">
        <v>0.14499999999999999</v>
      </c>
      <c r="D230" s="1065">
        <v>0.14499999999999999</v>
      </c>
      <c r="E230" s="1065">
        <v>0.14399999999999999</v>
      </c>
      <c r="F230" s="1077"/>
    </row>
    <row r="231" spans="1:6" ht="14.25" thickBot="1">
      <c r="A231" s="839" t="s">
        <v>528</v>
      </c>
      <c r="B231" s="833" t="s">
        <v>953</v>
      </c>
      <c r="C231" s="1065">
        <v>0.128</v>
      </c>
      <c r="D231" s="1065">
        <v>0.125</v>
      </c>
      <c r="E231" s="1065">
        <v>0.13200000000000001</v>
      </c>
      <c r="F231" s="1077"/>
    </row>
    <row r="232" spans="1:6" ht="14.25" thickBot="1">
      <c r="A232" s="839" t="s">
        <v>528</v>
      </c>
      <c r="B232" s="833" t="s">
        <v>954</v>
      </c>
      <c r="C232" s="1065">
        <v>0.14499999999999999</v>
      </c>
      <c r="D232" s="1065">
        <v>0.14399999999999999</v>
      </c>
      <c r="E232" s="1065">
        <v>0.14599999999999999</v>
      </c>
      <c r="F232" s="1066">
        <v>0.13800000000000001</v>
      </c>
    </row>
    <row r="233" spans="1:6" ht="14.25" thickBot="1">
      <c r="A233" s="839" t="s">
        <v>528</v>
      </c>
      <c r="B233" s="833" t="s">
        <v>955</v>
      </c>
      <c r="C233" s="1065">
        <v>0.14499999999999999</v>
      </c>
      <c r="D233" s="1065">
        <v>0.14299999999999999</v>
      </c>
      <c r="E233" s="1065">
        <v>0.14199999999999999</v>
      </c>
      <c r="F233" s="1077"/>
    </row>
    <row r="234" spans="1:6" ht="14.25" thickBot="1">
      <c r="A234" s="839" t="s">
        <v>528</v>
      </c>
      <c r="B234" s="833" t="s">
        <v>956</v>
      </c>
      <c r="C234" s="1065">
        <v>0.14000000000000001</v>
      </c>
      <c r="D234" s="1065">
        <v>0.14000000000000001</v>
      </c>
      <c r="E234" s="1065">
        <v>0.14399999999999999</v>
      </c>
      <c r="F234" s="1077"/>
    </row>
    <row r="235" spans="1:6" ht="14.25" thickBot="1">
      <c r="A235" s="839" t="s">
        <v>528</v>
      </c>
      <c r="B235" s="833" t="s">
        <v>957</v>
      </c>
      <c r="C235" s="1065">
        <v>0.14099999999999999</v>
      </c>
      <c r="D235" s="1065">
        <v>0.14199999999999999</v>
      </c>
      <c r="E235" s="1065">
        <v>0.14499999999999999</v>
      </c>
      <c r="F235" s="1066">
        <v>0.15</v>
      </c>
    </row>
    <row r="236" spans="1:6" ht="14.25" thickBot="1">
      <c r="A236" s="839" t="s">
        <v>528</v>
      </c>
      <c r="B236" s="833" t="s">
        <v>461</v>
      </c>
      <c r="C236" s="1078"/>
      <c r="D236" s="1078"/>
      <c r="E236" s="1078"/>
      <c r="F236" s="1066">
        <v>0.14299999999999999</v>
      </c>
    </row>
    <row r="237" spans="1:6" ht="24.75" thickBot="1">
      <c r="A237" s="839" t="s">
        <v>528</v>
      </c>
      <c r="B237" s="833" t="s">
        <v>958</v>
      </c>
      <c r="C237" s="1078"/>
      <c r="D237" s="1078"/>
      <c r="E237" s="1078"/>
      <c r="F237" s="1066">
        <v>0.05</v>
      </c>
    </row>
    <row r="238" spans="1:6" ht="24.75" thickBot="1">
      <c r="A238" s="839" t="s">
        <v>528</v>
      </c>
      <c r="B238" s="833" t="s">
        <v>959</v>
      </c>
      <c r="C238" s="1078"/>
      <c r="D238" s="1078"/>
      <c r="E238" s="1078"/>
      <c r="F238" s="1066">
        <v>0.05</v>
      </c>
    </row>
    <row r="239" spans="1:6" ht="24.75" thickBot="1">
      <c r="A239" s="839" t="s">
        <v>528</v>
      </c>
      <c r="B239" s="833" t="s">
        <v>960</v>
      </c>
      <c r="C239" s="1078"/>
      <c r="D239" s="1078"/>
      <c r="E239" s="1078"/>
      <c r="F239" s="1066">
        <v>0.05</v>
      </c>
    </row>
    <row r="240" spans="1:6" ht="24.75" thickBot="1">
      <c r="A240" s="839" t="s">
        <v>528</v>
      </c>
      <c r="B240" s="833" t="s">
        <v>961</v>
      </c>
      <c r="C240" s="1078"/>
      <c r="D240" s="1078"/>
      <c r="E240" s="1078"/>
      <c r="F240" s="1066">
        <v>0.05</v>
      </c>
    </row>
    <row r="241" spans="1:6" ht="24.75" thickBot="1">
      <c r="A241" s="839" t="s">
        <v>528</v>
      </c>
      <c r="B241" s="833" t="s">
        <v>962</v>
      </c>
      <c r="C241" s="1078"/>
      <c r="D241" s="1078"/>
      <c r="E241" s="1078"/>
      <c r="F241" s="1066">
        <v>0.05</v>
      </c>
    </row>
    <row r="242" spans="1:6" ht="24.75" thickBot="1">
      <c r="A242" s="839" t="s">
        <v>528</v>
      </c>
      <c r="B242" s="833" t="s">
        <v>963</v>
      </c>
      <c r="C242" s="1078"/>
      <c r="D242" s="1078"/>
      <c r="E242" s="1078"/>
      <c r="F242" s="1066">
        <v>0.05</v>
      </c>
    </row>
    <row r="243" spans="1:6" ht="24.75" thickBot="1">
      <c r="A243" s="839" t="s">
        <v>528</v>
      </c>
      <c r="B243" s="833" t="s">
        <v>964</v>
      </c>
      <c r="C243" s="1078"/>
      <c r="D243" s="1078"/>
      <c r="E243" s="1078"/>
      <c r="F243" s="1066">
        <v>0.05</v>
      </c>
    </row>
    <row r="244" spans="1:6" ht="24.75" thickBot="1">
      <c r="A244" s="849" t="s">
        <v>528</v>
      </c>
      <c r="B244" s="845" t="s">
        <v>965</v>
      </c>
      <c r="C244" s="1075"/>
      <c r="D244" s="1075"/>
      <c r="E244" s="1075"/>
      <c r="F244" s="1068">
        <v>0.05</v>
      </c>
    </row>
    <row r="245" spans="1:6" ht="14.25" thickBot="1">
      <c r="A245" s="839" t="s">
        <v>530</v>
      </c>
      <c r="B245" s="840" t="s">
        <v>966</v>
      </c>
      <c r="C245" s="1063">
        <v>0.15</v>
      </c>
      <c r="D245" s="1063">
        <v>0.15</v>
      </c>
      <c r="E245" s="1063">
        <v>0.15</v>
      </c>
      <c r="F245" s="1064">
        <v>0.14299999999999999</v>
      </c>
    </row>
    <row r="246" spans="1:6" ht="14.25" thickBot="1">
      <c r="A246" s="839" t="s">
        <v>530</v>
      </c>
      <c r="B246" s="833" t="s">
        <v>195</v>
      </c>
      <c r="C246" s="1065">
        <v>0.15</v>
      </c>
      <c r="D246" s="1065">
        <v>0.15</v>
      </c>
      <c r="E246" s="1065">
        <v>0.15</v>
      </c>
      <c r="F246" s="1066">
        <v>0.114</v>
      </c>
    </row>
    <row r="247" spans="1:6" ht="14.25" thickBot="1">
      <c r="A247" s="839" t="s">
        <v>530</v>
      </c>
      <c r="B247" s="833" t="s">
        <v>967</v>
      </c>
      <c r="C247" s="1065">
        <v>0.15</v>
      </c>
      <c r="D247" s="1065">
        <v>0.15</v>
      </c>
      <c r="E247" s="1065">
        <v>0.15</v>
      </c>
      <c r="F247" s="1066">
        <v>0.15</v>
      </c>
    </row>
    <row r="248" spans="1:6" ht="14.25" thickBot="1">
      <c r="A248" s="839" t="s">
        <v>530</v>
      </c>
      <c r="B248" s="833" t="s">
        <v>968</v>
      </c>
      <c r="C248" s="1065">
        <v>0.15</v>
      </c>
      <c r="D248" s="1065">
        <v>0.15</v>
      </c>
      <c r="E248" s="1065">
        <v>0.15</v>
      </c>
      <c r="F248" s="1066">
        <v>0.14000000000000001</v>
      </c>
    </row>
    <row r="249" spans="1:6" ht="14.25" thickBot="1">
      <c r="A249" s="839" t="s">
        <v>530</v>
      </c>
      <c r="B249" s="833" t="s">
        <v>969</v>
      </c>
      <c r="C249" s="1065">
        <v>0.15</v>
      </c>
      <c r="D249" s="1065">
        <v>0.14899999999999999</v>
      </c>
      <c r="E249" s="1065">
        <v>0.15</v>
      </c>
      <c r="F249" s="1066">
        <v>0.1</v>
      </c>
    </row>
    <row r="250" spans="1:6" ht="14.25" thickBot="1">
      <c r="A250" s="839" t="s">
        <v>530</v>
      </c>
      <c r="B250" s="833" t="s">
        <v>970</v>
      </c>
      <c r="C250" s="1065">
        <v>0.15</v>
      </c>
      <c r="D250" s="1065">
        <v>0.15</v>
      </c>
      <c r="E250" s="1065">
        <v>0.15</v>
      </c>
      <c r="F250" s="1066">
        <v>0.14399999999999999</v>
      </c>
    </row>
    <row r="251" spans="1:6" ht="14.25" thickBot="1">
      <c r="A251" s="839" t="s">
        <v>530</v>
      </c>
      <c r="B251" s="833" t="s">
        <v>255</v>
      </c>
      <c r="C251" s="1065">
        <v>0.15</v>
      </c>
      <c r="D251" s="1065">
        <v>0.15</v>
      </c>
      <c r="E251" s="1065">
        <v>0.15</v>
      </c>
      <c r="F251" s="1066">
        <v>0.14299999999999999</v>
      </c>
    </row>
    <row r="252" spans="1:6" ht="14.25" thickBot="1">
      <c r="A252" s="839" t="s">
        <v>530</v>
      </c>
      <c r="B252" s="833" t="s">
        <v>266</v>
      </c>
      <c r="C252" s="1065">
        <v>0.15</v>
      </c>
      <c r="D252" s="1065">
        <v>0.15</v>
      </c>
      <c r="E252" s="1065">
        <v>0.15</v>
      </c>
      <c r="F252" s="1066">
        <v>0.1</v>
      </c>
    </row>
    <row r="253" spans="1:6" ht="14.25" thickBot="1">
      <c r="A253" s="839" t="s">
        <v>530</v>
      </c>
      <c r="B253" s="833" t="s">
        <v>278</v>
      </c>
      <c r="C253" s="1065">
        <v>0.15</v>
      </c>
      <c r="D253" s="1065">
        <v>0.15</v>
      </c>
      <c r="E253" s="1065">
        <v>0.15</v>
      </c>
      <c r="F253" s="1066">
        <v>0.1</v>
      </c>
    </row>
    <row r="254" spans="1:6" ht="14.25" thickBot="1">
      <c r="A254" s="839" t="s">
        <v>530</v>
      </c>
      <c r="B254" s="833" t="s">
        <v>288</v>
      </c>
      <c r="C254" s="1078"/>
      <c r="D254" s="1078"/>
      <c r="E254" s="1078"/>
      <c r="F254" s="1066">
        <v>0.15</v>
      </c>
    </row>
    <row r="255" spans="1:6" ht="14.25" thickBot="1">
      <c r="A255" s="839" t="s">
        <v>530</v>
      </c>
      <c r="B255" s="833" t="s">
        <v>298</v>
      </c>
      <c r="C255" s="1078"/>
      <c r="D255" s="1078"/>
      <c r="E255" s="1078"/>
      <c r="F255" s="1066">
        <v>0.14299999999999999</v>
      </c>
    </row>
    <row r="256" spans="1:6" ht="14.25" thickBot="1">
      <c r="A256" s="839" t="s">
        <v>530</v>
      </c>
      <c r="B256" s="833" t="s">
        <v>971</v>
      </c>
      <c r="C256" s="1065">
        <v>0.14599999999999999</v>
      </c>
      <c r="D256" s="1065">
        <v>0.14699999999999999</v>
      </c>
      <c r="E256" s="1065">
        <v>0.15</v>
      </c>
      <c r="F256" s="1066">
        <v>0.13200000000000001</v>
      </c>
    </row>
    <row r="257" spans="1:6" ht="14.25" thickBot="1">
      <c r="A257" s="839" t="s">
        <v>530</v>
      </c>
      <c r="B257" s="833" t="s">
        <v>318</v>
      </c>
      <c r="C257" s="1065">
        <v>0.15</v>
      </c>
      <c r="D257" s="1065">
        <v>0.15</v>
      </c>
      <c r="E257" s="1065">
        <v>0.15</v>
      </c>
      <c r="F257" s="1066">
        <v>0.13900000000000001</v>
      </c>
    </row>
    <row r="258" spans="1:6" ht="14.25" thickBot="1">
      <c r="A258" s="839" t="s">
        <v>530</v>
      </c>
      <c r="B258" s="833" t="s">
        <v>329</v>
      </c>
      <c r="C258" s="1065">
        <v>0.15</v>
      </c>
      <c r="D258" s="1065">
        <v>0.15</v>
      </c>
      <c r="E258" s="1065">
        <v>0.15</v>
      </c>
      <c r="F258" s="1066">
        <v>0.13</v>
      </c>
    </row>
    <row r="259" spans="1:6" ht="14.25" thickBot="1">
      <c r="A259" s="839" t="s">
        <v>530</v>
      </c>
      <c r="B259" s="833" t="s">
        <v>972</v>
      </c>
      <c r="C259" s="1065">
        <v>0.14799999999999999</v>
      </c>
      <c r="D259" s="1065">
        <v>0.14899999999999999</v>
      </c>
      <c r="E259" s="1065">
        <v>0.15</v>
      </c>
      <c r="F259" s="1066">
        <v>0.13700000000000001</v>
      </c>
    </row>
    <row r="260" spans="1:6" ht="14.25" thickBot="1">
      <c r="A260" s="839" t="s">
        <v>530</v>
      </c>
      <c r="B260" s="833" t="s">
        <v>350</v>
      </c>
      <c r="C260" s="1065">
        <v>0.15</v>
      </c>
      <c r="D260" s="1065">
        <v>0.15</v>
      </c>
      <c r="E260" s="1065">
        <v>0.15</v>
      </c>
      <c r="F260" s="1066">
        <v>0.14199999999999999</v>
      </c>
    </row>
    <row r="261" spans="1:6" ht="14.25" thickBot="1">
      <c r="A261" s="839" t="s">
        <v>530</v>
      </c>
      <c r="B261" s="833" t="s">
        <v>360</v>
      </c>
      <c r="C261" s="1065">
        <v>0.15</v>
      </c>
      <c r="D261" s="1065">
        <v>0.15</v>
      </c>
      <c r="E261" s="1065">
        <v>0.14899999999999999</v>
      </c>
      <c r="F261" s="1066">
        <v>0.14799999999999999</v>
      </c>
    </row>
    <row r="262" spans="1:6" ht="14.25" thickBot="1">
      <c r="A262" s="839" t="s">
        <v>530</v>
      </c>
      <c r="B262" s="833" t="s">
        <v>370</v>
      </c>
      <c r="C262" s="1065">
        <v>0.15</v>
      </c>
      <c r="D262" s="1065">
        <v>0.15</v>
      </c>
      <c r="E262" s="1065">
        <v>0.15</v>
      </c>
      <c r="F262" s="1077"/>
    </row>
    <row r="263" spans="1:6" ht="14.25" thickBot="1">
      <c r="A263" s="839" t="s">
        <v>530</v>
      </c>
      <c r="B263" s="833" t="s">
        <v>973</v>
      </c>
      <c r="C263" s="1065">
        <v>0.14899999999999999</v>
      </c>
      <c r="D263" s="1065">
        <v>0.14899999999999999</v>
      </c>
      <c r="E263" s="1065">
        <v>0.15</v>
      </c>
      <c r="F263" s="1066">
        <v>0.13</v>
      </c>
    </row>
    <row r="264" spans="1:6" ht="14.25" thickBot="1">
      <c r="A264" s="839" t="s">
        <v>530</v>
      </c>
      <c r="B264" s="833" t="s">
        <v>389</v>
      </c>
      <c r="C264" s="1065">
        <v>0.14799999999999999</v>
      </c>
      <c r="D264" s="1065">
        <v>0.14699999999999999</v>
      </c>
      <c r="E264" s="1065">
        <v>0.15</v>
      </c>
      <c r="F264" s="1066">
        <v>7.8E-2</v>
      </c>
    </row>
    <row r="265" spans="1:6" ht="14.25" thickBot="1">
      <c r="A265" s="839" t="s">
        <v>530</v>
      </c>
      <c r="B265" s="833" t="s">
        <v>398</v>
      </c>
      <c r="C265" s="1065">
        <v>0.15</v>
      </c>
      <c r="D265" s="1065">
        <v>0.15</v>
      </c>
      <c r="E265" s="1065">
        <v>0.15</v>
      </c>
      <c r="F265" s="1066">
        <v>7.3999999999999996E-2</v>
      </c>
    </row>
    <row r="266" spans="1:6" ht="14.25" thickBot="1">
      <c r="A266" s="839" t="s">
        <v>530</v>
      </c>
      <c r="B266" s="833" t="s">
        <v>406</v>
      </c>
      <c r="C266" s="1065">
        <v>0.14699999999999999</v>
      </c>
      <c r="D266" s="1065">
        <v>0.14699999999999999</v>
      </c>
      <c r="E266" s="1065">
        <v>0.15</v>
      </c>
      <c r="F266" s="1066">
        <v>0.14299999999999999</v>
      </c>
    </row>
    <row r="267" spans="1:6" ht="14.25" thickBot="1">
      <c r="A267" s="839" t="s">
        <v>530</v>
      </c>
      <c r="B267" s="833" t="s">
        <v>413</v>
      </c>
      <c r="C267" s="1065">
        <v>0.14199999999999999</v>
      </c>
      <c r="D267" s="1065">
        <v>0.14299999999999999</v>
      </c>
      <c r="E267" s="1065">
        <v>0.15</v>
      </c>
      <c r="F267" s="1077"/>
    </row>
    <row r="268" spans="1:6" ht="14.25" thickBot="1">
      <c r="A268" s="839" t="s">
        <v>530</v>
      </c>
      <c r="B268" s="833" t="s">
        <v>974</v>
      </c>
      <c r="C268" s="1065">
        <v>0.15</v>
      </c>
      <c r="D268" s="1065">
        <v>0.15</v>
      </c>
      <c r="E268" s="1065">
        <v>0.15</v>
      </c>
      <c r="F268" s="1066">
        <v>0.13</v>
      </c>
    </row>
    <row r="269" spans="1:6" ht="14.25" thickBot="1">
      <c r="A269" s="839" t="s">
        <v>530</v>
      </c>
      <c r="B269" s="833" t="s">
        <v>427</v>
      </c>
      <c r="C269" s="1065">
        <v>0.15</v>
      </c>
      <c r="D269" s="1065">
        <v>0.15</v>
      </c>
      <c r="E269" s="1065">
        <v>0.15</v>
      </c>
      <c r="F269" s="1066">
        <v>0.14299999999999999</v>
      </c>
    </row>
    <row r="270" spans="1:6" ht="14.25" thickBot="1">
      <c r="A270" s="839" t="s">
        <v>530</v>
      </c>
      <c r="B270" s="833" t="s">
        <v>434</v>
      </c>
      <c r="C270" s="1065">
        <v>0.14499999999999999</v>
      </c>
      <c r="D270" s="1065">
        <v>0.14499999999999999</v>
      </c>
      <c r="E270" s="1065">
        <v>0.15</v>
      </c>
      <c r="F270" s="1066">
        <v>0.14699999999999999</v>
      </c>
    </row>
    <row r="271" spans="1:6" ht="14.25" thickBot="1">
      <c r="A271" s="839" t="s">
        <v>530</v>
      </c>
      <c r="B271" s="833" t="s">
        <v>441</v>
      </c>
      <c r="C271" s="1065">
        <v>0.15</v>
      </c>
      <c r="D271" s="1065">
        <v>0.15</v>
      </c>
      <c r="E271" s="1065">
        <v>0.15</v>
      </c>
      <c r="F271" s="1066">
        <v>0.13800000000000001</v>
      </c>
    </row>
    <row r="272" spans="1:6" ht="14.25" thickBot="1">
      <c r="A272" s="839" t="s">
        <v>530</v>
      </c>
      <c r="B272" s="833" t="s">
        <v>448</v>
      </c>
      <c r="C272" s="1078"/>
      <c r="D272" s="1078"/>
      <c r="E272" s="1078"/>
      <c r="F272" s="1066">
        <v>0.14000000000000001</v>
      </c>
    </row>
    <row r="273" spans="1:6" ht="14.25" thickBot="1">
      <c r="A273" s="839" t="s">
        <v>530</v>
      </c>
      <c r="B273" s="833" t="s">
        <v>975</v>
      </c>
      <c r="C273" s="1065">
        <v>0.14199999999999999</v>
      </c>
      <c r="D273" s="1065">
        <v>0.14299999999999999</v>
      </c>
      <c r="E273" s="1065">
        <v>0.15</v>
      </c>
      <c r="F273" s="1066">
        <v>0.1</v>
      </c>
    </row>
    <row r="274" spans="1:6" ht="14.25" thickBot="1">
      <c r="A274" s="839" t="s">
        <v>530</v>
      </c>
      <c r="B274" s="833" t="s">
        <v>976</v>
      </c>
      <c r="C274" s="1065">
        <v>0.14799999999999999</v>
      </c>
      <c r="D274" s="1065">
        <v>0.14799999999999999</v>
      </c>
      <c r="E274" s="1065">
        <v>0.15</v>
      </c>
      <c r="F274" s="1066">
        <v>6.7000000000000004E-2</v>
      </c>
    </row>
    <row r="275" spans="1:6" ht="14.25" thickBot="1">
      <c r="A275" s="839" t="s">
        <v>530</v>
      </c>
      <c r="B275" s="833" t="s">
        <v>977</v>
      </c>
      <c r="C275" s="1065">
        <v>0.15</v>
      </c>
      <c r="D275" s="1065">
        <v>0.15</v>
      </c>
      <c r="E275" s="1065">
        <v>0.15</v>
      </c>
      <c r="F275" s="1066">
        <v>0.15</v>
      </c>
    </row>
    <row r="276" spans="1:6" ht="14.25" thickBot="1">
      <c r="A276" s="839" t="s">
        <v>530</v>
      </c>
      <c r="B276" s="833" t="s">
        <v>978</v>
      </c>
      <c r="C276" s="1065">
        <v>0.14499999999999999</v>
      </c>
      <c r="D276" s="1065">
        <v>0.14299999999999999</v>
      </c>
      <c r="E276" s="1065">
        <v>0.15</v>
      </c>
      <c r="F276" s="1066">
        <v>5.8999999999999997E-2</v>
      </c>
    </row>
    <row r="277" spans="1:6" ht="14.25" thickBot="1">
      <c r="A277" s="839" t="s">
        <v>530</v>
      </c>
      <c r="B277" s="833" t="s">
        <v>979</v>
      </c>
      <c r="C277" s="1065">
        <v>0.15</v>
      </c>
      <c r="D277" s="1065">
        <v>0.15</v>
      </c>
      <c r="E277" s="1065">
        <v>0.15</v>
      </c>
      <c r="F277" s="1066">
        <v>0.121</v>
      </c>
    </row>
    <row r="278" spans="1:6" ht="14.25" thickBot="1">
      <c r="A278" s="839" t="s">
        <v>530</v>
      </c>
      <c r="B278" s="833" t="s">
        <v>980</v>
      </c>
      <c r="C278" s="1065">
        <v>0.15</v>
      </c>
      <c r="D278" s="1065">
        <v>0.15</v>
      </c>
      <c r="E278" s="1065">
        <v>0.15</v>
      </c>
      <c r="F278" s="1066">
        <v>0.13800000000000001</v>
      </c>
    </row>
    <row r="279" spans="1:6" ht="24.75" thickBot="1">
      <c r="A279" s="839" t="s">
        <v>530</v>
      </c>
      <c r="B279" s="833" t="s">
        <v>981</v>
      </c>
      <c r="C279" s="1078"/>
      <c r="D279" s="1078"/>
      <c r="E279" s="1078"/>
      <c r="F279" s="1066">
        <v>0.05</v>
      </c>
    </row>
    <row r="280" spans="1:6" ht="24.75" thickBot="1">
      <c r="A280" s="839" t="s">
        <v>530</v>
      </c>
      <c r="B280" s="833" t="s">
        <v>982</v>
      </c>
      <c r="C280" s="1078"/>
      <c r="D280" s="1078"/>
      <c r="E280" s="1078"/>
      <c r="F280" s="1066">
        <v>0.05</v>
      </c>
    </row>
    <row r="281" spans="1:6" ht="24.75" thickBot="1">
      <c r="A281" s="839" t="s">
        <v>530</v>
      </c>
      <c r="B281" s="833" t="s">
        <v>983</v>
      </c>
      <c r="C281" s="1078"/>
      <c r="D281" s="1078"/>
      <c r="E281" s="1078"/>
      <c r="F281" s="1066">
        <v>0.05</v>
      </c>
    </row>
    <row r="282" spans="1:6" ht="24.75" thickBot="1">
      <c r="A282" s="839" t="s">
        <v>530</v>
      </c>
      <c r="B282" s="833" t="s">
        <v>984</v>
      </c>
      <c r="C282" s="1078"/>
      <c r="D282" s="1078"/>
      <c r="E282" s="1078"/>
      <c r="F282" s="1066">
        <v>0.05</v>
      </c>
    </row>
    <row r="283" spans="1:6" ht="24.75" thickBot="1">
      <c r="A283" s="839" t="s">
        <v>530</v>
      </c>
      <c r="B283" s="833" t="s">
        <v>985</v>
      </c>
      <c r="C283" s="1078"/>
      <c r="D283" s="1078"/>
      <c r="E283" s="1078"/>
      <c r="F283" s="1066">
        <v>0.05</v>
      </c>
    </row>
    <row r="284" spans="1:6" ht="24.75" thickBot="1">
      <c r="A284" s="839" t="s">
        <v>530</v>
      </c>
      <c r="B284" s="833" t="s">
        <v>986</v>
      </c>
      <c r="C284" s="1078"/>
      <c r="D284" s="1078"/>
      <c r="E284" s="1078"/>
      <c r="F284" s="1066">
        <v>0.05</v>
      </c>
    </row>
    <row r="285" spans="1:6" ht="24.75" thickBot="1">
      <c r="A285" s="839" t="s">
        <v>530</v>
      </c>
      <c r="B285" s="833" t="s">
        <v>987</v>
      </c>
      <c r="C285" s="1078"/>
      <c r="D285" s="1078"/>
      <c r="E285" s="1078"/>
      <c r="F285" s="1066">
        <v>0.05</v>
      </c>
    </row>
    <row r="286" spans="1:6" ht="24.75" thickBot="1">
      <c r="A286" s="839" t="s">
        <v>530</v>
      </c>
      <c r="B286" s="833" t="s">
        <v>988</v>
      </c>
      <c r="C286" s="1078"/>
      <c r="D286" s="1078"/>
      <c r="E286" s="1078"/>
      <c r="F286" s="1066">
        <v>0.05</v>
      </c>
    </row>
    <row r="287" spans="1:6" ht="24.75" thickBot="1">
      <c r="A287" s="839" t="s">
        <v>530</v>
      </c>
      <c r="B287" s="833" t="s">
        <v>989</v>
      </c>
      <c r="C287" s="1078"/>
      <c r="D287" s="1078"/>
      <c r="E287" s="1078"/>
      <c r="F287" s="1066">
        <v>0.05</v>
      </c>
    </row>
    <row r="288" spans="1:6" ht="24.75" thickBot="1">
      <c r="A288" s="839" t="s">
        <v>530</v>
      </c>
      <c r="B288" s="833" t="s">
        <v>990</v>
      </c>
      <c r="C288" s="1078"/>
      <c r="D288" s="1078"/>
      <c r="E288" s="1078"/>
      <c r="F288" s="1066">
        <v>0.05</v>
      </c>
    </row>
    <row r="289" spans="1:6" ht="24.75" thickBot="1">
      <c r="A289" s="849" t="s">
        <v>530</v>
      </c>
      <c r="B289" s="845" t="s">
        <v>991</v>
      </c>
      <c r="C289" s="1075"/>
      <c r="D289" s="1075"/>
      <c r="E289" s="1075"/>
      <c r="F289" s="1068">
        <v>0.05</v>
      </c>
    </row>
    <row r="290" spans="1:6" ht="14.25" thickBot="1">
      <c r="A290" s="839" t="s">
        <v>534</v>
      </c>
      <c r="B290" s="840" t="s">
        <v>992</v>
      </c>
      <c r="C290" s="1063">
        <v>0.15</v>
      </c>
      <c r="D290" s="1063">
        <v>0.15</v>
      </c>
      <c r="E290" s="1063">
        <v>0.15</v>
      </c>
      <c r="F290" s="1080"/>
    </row>
    <row r="291" spans="1:6" ht="14.25" thickBot="1">
      <c r="A291" s="839" t="s">
        <v>534</v>
      </c>
      <c r="B291" s="833" t="s">
        <v>196</v>
      </c>
      <c r="C291" s="1065">
        <v>0.15</v>
      </c>
      <c r="D291" s="1065">
        <v>0.15</v>
      </c>
      <c r="E291" s="1065">
        <v>0.15</v>
      </c>
      <c r="F291" s="1077"/>
    </row>
    <row r="292" spans="1:6" ht="14.25" thickBot="1">
      <c r="A292" s="839" t="s">
        <v>534</v>
      </c>
      <c r="B292" s="833" t="s">
        <v>993</v>
      </c>
      <c r="C292" s="1065">
        <v>0.15</v>
      </c>
      <c r="D292" s="1065">
        <v>0.15</v>
      </c>
      <c r="E292" s="1065">
        <v>0.15</v>
      </c>
      <c r="F292" s="1066">
        <v>0.14699999999999999</v>
      </c>
    </row>
    <row r="293" spans="1:6" ht="14.25" thickBot="1">
      <c r="A293" s="839" t="s">
        <v>534</v>
      </c>
      <c r="B293" s="833" t="s">
        <v>994</v>
      </c>
      <c r="C293" s="1078"/>
      <c r="D293" s="1078"/>
      <c r="E293" s="1078"/>
      <c r="F293" s="1066">
        <v>0.1</v>
      </c>
    </row>
    <row r="294" spans="1:6" ht="14.25" thickBot="1">
      <c r="A294" s="839" t="s">
        <v>534</v>
      </c>
      <c r="B294" s="833" t="s">
        <v>995</v>
      </c>
      <c r="C294" s="1065">
        <v>0.15</v>
      </c>
      <c r="D294" s="1065">
        <v>0.15</v>
      </c>
      <c r="E294" s="1065">
        <v>0.15</v>
      </c>
      <c r="F294" s="1066">
        <v>0.15</v>
      </c>
    </row>
    <row r="295" spans="1:6" ht="14.25" thickBot="1">
      <c r="A295" s="839" t="s">
        <v>534</v>
      </c>
      <c r="B295" s="833" t="s">
        <v>234</v>
      </c>
      <c r="C295" s="1065">
        <v>0.15</v>
      </c>
      <c r="D295" s="1065">
        <v>0.15</v>
      </c>
      <c r="E295" s="1065">
        <v>0.15</v>
      </c>
      <c r="F295" s="1066">
        <v>0.15</v>
      </c>
    </row>
    <row r="296" spans="1:6" ht="14.25" thickBot="1">
      <c r="A296" s="839" t="s">
        <v>534</v>
      </c>
      <c r="B296" s="833" t="s">
        <v>996</v>
      </c>
      <c r="C296" s="1065">
        <v>0.15</v>
      </c>
      <c r="D296" s="1065">
        <v>0.15</v>
      </c>
      <c r="E296" s="1065">
        <v>0.15</v>
      </c>
      <c r="F296" s="1066">
        <v>0.15</v>
      </c>
    </row>
    <row r="297" spans="1:6" ht="14.25" thickBot="1">
      <c r="A297" s="839" t="s">
        <v>534</v>
      </c>
      <c r="B297" s="833" t="s">
        <v>997</v>
      </c>
      <c r="C297" s="1065">
        <v>0.14799999999999999</v>
      </c>
      <c r="D297" s="1065">
        <v>0.14899999999999999</v>
      </c>
      <c r="E297" s="1065">
        <v>0.15</v>
      </c>
      <c r="F297" s="1066">
        <v>0.13700000000000001</v>
      </c>
    </row>
    <row r="298" spans="1:6" ht="14.25" thickBot="1">
      <c r="A298" s="839" t="s">
        <v>534</v>
      </c>
      <c r="B298" s="833" t="s">
        <v>267</v>
      </c>
      <c r="C298" s="1065">
        <v>0.13400000000000001</v>
      </c>
      <c r="D298" s="1065">
        <v>0.13400000000000001</v>
      </c>
      <c r="E298" s="1065">
        <v>0.14499999999999999</v>
      </c>
      <c r="F298" s="1066">
        <v>0.14799999999999999</v>
      </c>
    </row>
    <row r="299" spans="1:6" ht="14.25" thickBot="1">
      <c r="A299" s="839" t="s">
        <v>534</v>
      </c>
      <c r="B299" s="833" t="s">
        <v>279</v>
      </c>
      <c r="C299" s="1065">
        <v>0.15</v>
      </c>
      <c r="D299" s="1065">
        <v>0.15</v>
      </c>
      <c r="E299" s="1065">
        <v>0.15</v>
      </c>
      <c r="F299" s="1077"/>
    </row>
    <row r="300" spans="1:6" ht="14.25" thickBot="1">
      <c r="A300" s="839" t="s">
        <v>534</v>
      </c>
      <c r="B300" s="833" t="s">
        <v>998</v>
      </c>
      <c r="C300" s="1065">
        <v>0.15</v>
      </c>
      <c r="D300" s="1065">
        <v>0.15</v>
      </c>
      <c r="E300" s="1065">
        <v>0.15</v>
      </c>
      <c r="F300" s="1066">
        <v>0.15</v>
      </c>
    </row>
    <row r="301" spans="1:6" ht="14.25" thickBot="1">
      <c r="A301" s="839" t="s">
        <v>534</v>
      </c>
      <c r="B301" s="833" t="s">
        <v>299</v>
      </c>
      <c r="C301" s="1065">
        <v>0.15</v>
      </c>
      <c r="D301" s="1065">
        <v>0.15</v>
      </c>
      <c r="E301" s="1065">
        <v>0.15</v>
      </c>
      <c r="F301" s="1077"/>
    </row>
    <row r="302" spans="1:6" ht="14.25" thickBot="1">
      <c r="A302" s="839" t="s">
        <v>534</v>
      </c>
      <c r="B302" s="833" t="s">
        <v>999</v>
      </c>
      <c r="C302" s="1065">
        <v>0.15</v>
      </c>
      <c r="D302" s="1065">
        <v>0.15</v>
      </c>
      <c r="E302" s="1065">
        <v>0.15</v>
      </c>
      <c r="F302" s="1066">
        <v>0.15</v>
      </c>
    </row>
    <row r="303" spans="1:6" ht="14.25" thickBot="1">
      <c r="A303" s="839" t="s">
        <v>534</v>
      </c>
      <c r="B303" s="833" t="s">
        <v>319</v>
      </c>
      <c r="C303" s="1065">
        <v>0.15</v>
      </c>
      <c r="D303" s="1065">
        <v>0.15</v>
      </c>
      <c r="E303" s="1065">
        <v>0.15</v>
      </c>
      <c r="F303" s="1066">
        <v>0.15</v>
      </c>
    </row>
    <row r="304" spans="1:6" ht="14.25" thickBot="1">
      <c r="A304" s="839" t="s">
        <v>534</v>
      </c>
      <c r="B304" s="833" t="s">
        <v>330</v>
      </c>
      <c r="C304" s="1065">
        <v>0.15</v>
      </c>
      <c r="D304" s="1065">
        <v>0.15</v>
      </c>
      <c r="E304" s="1065">
        <v>0.15</v>
      </c>
      <c r="F304" s="1077"/>
    </row>
    <row r="305" spans="1:6" ht="14.25" thickBot="1">
      <c r="A305" s="839" t="s">
        <v>534</v>
      </c>
      <c r="B305" s="833" t="s">
        <v>1000</v>
      </c>
      <c r="C305" s="1065">
        <v>0.15</v>
      </c>
      <c r="D305" s="1065">
        <v>0.15</v>
      </c>
      <c r="E305" s="1065">
        <v>0.15</v>
      </c>
      <c r="F305" s="1066">
        <v>0.14000000000000001</v>
      </c>
    </row>
    <row r="306" spans="1:6" ht="14.25" thickBot="1">
      <c r="A306" s="839" t="s">
        <v>534</v>
      </c>
      <c r="B306" s="833" t="s">
        <v>351</v>
      </c>
      <c r="C306" s="1065">
        <v>0.15</v>
      </c>
      <c r="D306" s="1065">
        <v>0.15</v>
      </c>
      <c r="E306" s="1065">
        <v>0.15</v>
      </c>
      <c r="F306" s="1077"/>
    </row>
    <row r="307" spans="1:6" ht="14.25" thickBot="1">
      <c r="A307" s="839" t="s">
        <v>534</v>
      </c>
      <c r="B307" s="833" t="s">
        <v>1001</v>
      </c>
      <c r="C307" s="1065">
        <v>0.15</v>
      </c>
      <c r="D307" s="1065">
        <v>0.15</v>
      </c>
      <c r="E307" s="1065">
        <v>0.15</v>
      </c>
      <c r="F307" s="1066">
        <v>0.14299999999999999</v>
      </c>
    </row>
    <row r="308" spans="1:6" ht="14.25" thickBot="1">
      <c r="A308" s="839" t="s">
        <v>534</v>
      </c>
      <c r="B308" s="833" t="s">
        <v>371</v>
      </c>
      <c r="C308" s="1065">
        <v>0.15</v>
      </c>
      <c r="D308" s="1065">
        <v>0.15</v>
      </c>
      <c r="E308" s="1065">
        <v>0.15</v>
      </c>
      <c r="F308" s="1066">
        <v>0.15</v>
      </c>
    </row>
    <row r="309" spans="1:6" ht="14.25" thickBot="1">
      <c r="A309" s="839" t="s">
        <v>534</v>
      </c>
      <c r="B309" s="833" t="s">
        <v>381</v>
      </c>
      <c r="C309" s="1065">
        <v>0.15</v>
      </c>
      <c r="D309" s="1065">
        <v>0.15</v>
      </c>
      <c r="E309" s="1065">
        <v>0.15</v>
      </c>
      <c r="F309" s="1077"/>
    </row>
    <row r="310" spans="1:6" ht="14.25" thickBot="1">
      <c r="A310" s="839" t="s">
        <v>534</v>
      </c>
      <c r="B310" s="833" t="s">
        <v>1002</v>
      </c>
      <c r="C310" s="1065">
        <v>0.15</v>
      </c>
      <c r="D310" s="1065">
        <v>0.15</v>
      </c>
      <c r="E310" s="1065">
        <v>0.15</v>
      </c>
      <c r="F310" s="1066">
        <v>0.13700000000000001</v>
      </c>
    </row>
    <row r="311" spans="1:6" ht="14.25" thickBot="1">
      <c r="A311" s="839" t="s">
        <v>534</v>
      </c>
      <c r="B311" s="833" t="s">
        <v>1003</v>
      </c>
      <c r="C311" s="1065">
        <v>0.15</v>
      </c>
      <c r="D311" s="1065">
        <v>0.15</v>
      </c>
      <c r="E311" s="1065">
        <v>0.15</v>
      </c>
      <c r="F311" s="1066">
        <v>0.15</v>
      </c>
    </row>
    <row r="312" spans="1:6" ht="14.25" thickBot="1">
      <c r="A312" s="839" t="s">
        <v>534</v>
      </c>
      <c r="B312" s="833" t="s">
        <v>407</v>
      </c>
      <c r="C312" s="1065">
        <v>0.15</v>
      </c>
      <c r="D312" s="1065">
        <v>0.15</v>
      </c>
      <c r="E312" s="1065">
        <v>0.15</v>
      </c>
      <c r="F312" s="1066">
        <v>0.1</v>
      </c>
    </row>
    <row r="313" spans="1:6" ht="14.25" thickBot="1">
      <c r="A313" s="839" t="s">
        <v>534</v>
      </c>
      <c r="B313" s="833" t="s">
        <v>1004</v>
      </c>
      <c r="C313" s="1065">
        <v>0.15</v>
      </c>
      <c r="D313" s="1065">
        <v>0.15</v>
      </c>
      <c r="E313" s="1065">
        <v>0.15</v>
      </c>
      <c r="F313" s="1066">
        <v>0.15</v>
      </c>
    </row>
    <row r="314" spans="1:6" ht="24.75" thickBot="1">
      <c r="A314" s="839" t="s">
        <v>534</v>
      </c>
      <c r="B314" s="833" t="s">
        <v>1005</v>
      </c>
      <c r="C314" s="1078"/>
      <c r="D314" s="1078"/>
      <c r="E314" s="1078"/>
      <c r="F314" s="1066">
        <v>0.05</v>
      </c>
    </row>
    <row r="315" spans="1:6" ht="24.75" thickBot="1">
      <c r="A315" s="839" t="s">
        <v>534</v>
      </c>
      <c r="B315" s="833" t="s">
        <v>1006</v>
      </c>
      <c r="C315" s="1078"/>
      <c r="D315" s="1078"/>
      <c r="E315" s="1078"/>
      <c r="F315" s="1066">
        <v>0.05</v>
      </c>
    </row>
    <row r="316" spans="1:6" ht="24.75" thickBot="1">
      <c r="A316" s="849" t="s">
        <v>534</v>
      </c>
      <c r="B316" s="845" t="s">
        <v>1007</v>
      </c>
      <c r="C316" s="1075"/>
      <c r="D316" s="1075"/>
      <c r="E316" s="1075"/>
      <c r="F316" s="1068">
        <v>0.05</v>
      </c>
    </row>
    <row r="317" spans="1:6" ht="14.25" thickBot="1">
      <c r="A317" s="839" t="s">
        <v>1008</v>
      </c>
      <c r="B317" s="840" t="s">
        <v>1009</v>
      </c>
      <c r="C317" s="1063">
        <v>0.15</v>
      </c>
      <c r="D317" s="1063">
        <v>0.15</v>
      </c>
      <c r="E317" s="1063">
        <v>0.15</v>
      </c>
      <c r="F317" s="1064">
        <v>0.15</v>
      </c>
    </row>
    <row r="318" spans="1:6" ht="14.25" thickBot="1">
      <c r="A318" s="839" t="s">
        <v>1008</v>
      </c>
      <c r="B318" s="833" t="s">
        <v>1010</v>
      </c>
      <c r="C318" s="1065">
        <v>0.107</v>
      </c>
      <c r="D318" s="1065">
        <v>0.11</v>
      </c>
      <c r="E318" s="1065">
        <v>0.112</v>
      </c>
      <c r="F318" s="1077"/>
    </row>
    <row r="319" spans="1:6" ht="14.25" thickBot="1">
      <c r="A319" s="839" t="s">
        <v>1008</v>
      </c>
      <c r="B319" s="833" t="s">
        <v>1011</v>
      </c>
      <c r="C319" s="1065">
        <v>0.15</v>
      </c>
      <c r="D319" s="1065">
        <v>0.15</v>
      </c>
      <c r="E319" s="1065">
        <v>0.15</v>
      </c>
      <c r="F319" s="1066">
        <v>0.15</v>
      </c>
    </row>
    <row r="320" spans="1:6" ht="14.25" thickBot="1">
      <c r="A320" s="839" t="s">
        <v>1008</v>
      </c>
      <c r="B320" s="833" t="s">
        <v>223</v>
      </c>
      <c r="C320" s="1065">
        <v>0.15</v>
      </c>
      <c r="D320" s="1065">
        <v>0.15</v>
      </c>
      <c r="E320" s="1065">
        <v>0.15</v>
      </c>
      <c r="F320" s="1077"/>
    </row>
    <row r="321" spans="1:6" ht="14.25" thickBot="1">
      <c r="A321" s="839" t="s">
        <v>1008</v>
      </c>
      <c r="B321" s="833" t="s">
        <v>1012</v>
      </c>
      <c r="C321" s="1065">
        <v>0.15</v>
      </c>
      <c r="D321" s="1065">
        <v>0.15</v>
      </c>
      <c r="E321" s="1065">
        <v>0.15</v>
      </c>
      <c r="F321" s="1077"/>
    </row>
    <row r="322" spans="1:6" ht="14.25" thickBot="1">
      <c r="A322" s="839" t="s">
        <v>1008</v>
      </c>
      <c r="B322" s="833" t="s">
        <v>1013</v>
      </c>
      <c r="C322" s="1065">
        <v>0.15</v>
      </c>
      <c r="D322" s="1065">
        <v>0.15</v>
      </c>
      <c r="E322" s="1065">
        <v>0.15</v>
      </c>
      <c r="F322" s="1066">
        <v>0.15</v>
      </c>
    </row>
    <row r="323" spans="1:6" ht="14.25" thickBot="1">
      <c r="A323" s="839" t="s">
        <v>1008</v>
      </c>
      <c r="B323" s="833" t="s">
        <v>1014</v>
      </c>
      <c r="C323" s="1065">
        <v>0.15</v>
      </c>
      <c r="D323" s="1065">
        <v>0.15</v>
      </c>
      <c r="E323" s="1065">
        <v>0.15</v>
      </c>
      <c r="F323" s="1077"/>
    </row>
    <row r="324" spans="1:6" ht="14.25" thickBot="1">
      <c r="A324" s="839" t="s">
        <v>1008</v>
      </c>
      <c r="B324" s="833" t="s">
        <v>1015</v>
      </c>
      <c r="C324" s="1065">
        <v>0.15</v>
      </c>
      <c r="D324" s="1065">
        <v>0.15</v>
      </c>
      <c r="E324" s="1065">
        <v>0.15</v>
      </c>
      <c r="F324" s="1077"/>
    </row>
    <row r="325" spans="1:6" ht="14.25" thickBot="1">
      <c r="A325" s="839" t="s">
        <v>1008</v>
      </c>
      <c r="B325" s="833" t="s">
        <v>1016</v>
      </c>
      <c r="C325" s="1065">
        <v>0.15</v>
      </c>
      <c r="D325" s="1065">
        <v>0.15</v>
      </c>
      <c r="E325" s="1065">
        <v>0.15</v>
      </c>
      <c r="F325" s="1066">
        <v>0.14699999999999999</v>
      </c>
    </row>
    <row r="326" spans="1:6" ht="14.25" thickBot="1">
      <c r="A326" s="839" t="s">
        <v>1008</v>
      </c>
      <c r="B326" s="833" t="s">
        <v>290</v>
      </c>
      <c r="C326" s="1065">
        <v>0.15</v>
      </c>
      <c r="D326" s="1065">
        <v>0.15</v>
      </c>
      <c r="E326" s="1065">
        <v>0.15</v>
      </c>
      <c r="F326" s="1077"/>
    </row>
    <row r="327" spans="1:6" ht="14.25" thickBot="1">
      <c r="A327" s="839" t="s">
        <v>1008</v>
      </c>
      <c r="B327" s="833" t="s">
        <v>1017</v>
      </c>
      <c r="C327" s="1065">
        <v>0.15</v>
      </c>
      <c r="D327" s="1065">
        <v>0.15</v>
      </c>
      <c r="E327" s="1065">
        <v>0.15</v>
      </c>
      <c r="F327" s="1066">
        <v>0.15</v>
      </c>
    </row>
    <row r="328" spans="1:6" ht="14.25" thickBot="1">
      <c r="A328" s="839" t="s">
        <v>1008</v>
      </c>
      <c r="B328" s="833" t="s">
        <v>310</v>
      </c>
      <c r="C328" s="1065">
        <v>0.15</v>
      </c>
      <c r="D328" s="1065">
        <v>0.15</v>
      </c>
      <c r="E328" s="1065">
        <v>0.15</v>
      </c>
      <c r="F328" s="1066">
        <v>0.14099999999999999</v>
      </c>
    </row>
    <row r="329" spans="1:6" ht="14.25" thickBot="1">
      <c r="A329" s="839" t="s">
        <v>1008</v>
      </c>
      <c r="B329" s="833" t="s">
        <v>320</v>
      </c>
      <c r="C329" s="1065">
        <v>0.15</v>
      </c>
      <c r="D329" s="1065">
        <v>0.15</v>
      </c>
      <c r="E329" s="1065">
        <v>0.15</v>
      </c>
      <c r="F329" s="1066">
        <v>0.15</v>
      </c>
    </row>
    <row r="330" spans="1:6" ht="14.25" thickBot="1">
      <c r="A330" s="839" t="s">
        <v>1008</v>
      </c>
      <c r="B330" s="833" t="s">
        <v>331</v>
      </c>
      <c r="C330" s="1065">
        <v>0.15</v>
      </c>
      <c r="D330" s="1065">
        <v>0.15</v>
      </c>
      <c r="E330" s="1065">
        <v>0.15</v>
      </c>
      <c r="F330" s="1077"/>
    </row>
    <row r="331" spans="1:6" ht="14.25" thickBot="1">
      <c r="A331" s="839" t="s">
        <v>1008</v>
      </c>
      <c r="B331" s="833" t="s">
        <v>1018</v>
      </c>
      <c r="C331" s="1065">
        <v>0.15</v>
      </c>
      <c r="D331" s="1065">
        <v>0.15</v>
      </c>
      <c r="E331" s="1065">
        <v>0.15</v>
      </c>
      <c r="F331" s="1066">
        <v>0.15</v>
      </c>
    </row>
    <row r="332" spans="1:6" ht="14.25" thickBot="1">
      <c r="A332" s="839" t="s">
        <v>1008</v>
      </c>
      <c r="B332" s="833" t="s">
        <v>352</v>
      </c>
      <c r="C332" s="1065">
        <v>0.15</v>
      </c>
      <c r="D332" s="1065">
        <v>0.15</v>
      </c>
      <c r="E332" s="1065">
        <v>0.15</v>
      </c>
      <c r="F332" s="1066">
        <v>0.15</v>
      </c>
    </row>
    <row r="333" spans="1:6" ht="14.25" thickBot="1">
      <c r="A333" s="839" t="s">
        <v>1008</v>
      </c>
      <c r="B333" s="833" t="s">
        <v>1019</v>
      </c>
      <c r="C333" s="1065">
        <v>0.15</v>
      </c>
      <c r="D333" s="1065">
        <v>0.15</v>
      </c>
      <c r="E333" s="1065">
        <v>0.15</v>
      </c>
      <c r="F333" s="1066">
        <v>0.14099999999999999</v>
      </c>
    </row>
    <row r="334" spans="1:6" ht="14.25" thickBot="1">
      <c r="A334" s="839" t="s">
        <v>1008</v>
      </c>
      <c r="B334" s="833" t="s">
        <v>372</v>
      </c>
      <c r="C334" s="1065">
        <v>0.15</v>
      </c>
      <c r="D334" s="1065">
        <v>0.15</v>
      </c>
      <c r="E334" s="1065">
        <v>0.15</v>
      </c>
      <c r="F334" s="1066">
        <v>0.15</v>
      </c>
    </row>
    <row r="335" spans="1:6" ht="14.25" thickBot="1">
      <c r="A335" s="839" t="s">
        <v>1008</v>
      </c>
      <c r="B335" s="833" t="s">
        <v>382</v>
      </c>
      <c r="C335" s="1065">
        <v>0.15</v>
      </c>
      <c r="D335" s="1065">
        <v>0.15</v>
      </c>
      <c r="E335" s="1065">
        <v>0.15</v>
      </c>
      <c r="F335" s="1077"/>
    </row>
    <row r="336" spans="1:6" ht="14.25" thickBot="1">
      <c r="A336" s="839" t="s">
        <v>1008</v>
      </c>
      <c r="B336" s="833" t="s">
        <v>1020</v>
      </c>
      <c r="C336" s="1065">
        <v>0.15</v>
      </c>
      <c r="D336" s="1065">
        <v>0.15</v>
      </c>
      <c r="E336" s="1065">
        <v>0.15</v>
      </c>
      <c r="F336" s="1066">
        <v>0.11799999999999999</v>
      </c>
    </row>
    <row r="337" spans="1:6" ht="14.25" thickBot="1">
      <c r="A337" s="849" t="s">
        <v>1008</v>
      </c>
      <c r="B337" s="845" t="s">
        <v>400</v>
      </c>
      <c r="C337" s="1075"/>
      <c r="D337" s="1075"/>
      <c r="E337" s="1075"/>
      <c r="F337" s="1068">
        <v>0.14299999999999999</v>
      </c>
    </row>
    <row r="338" spans="1:6" ht="14.25" thickBot="1">
      <c r="A338" s="839" t="s">
        <v>1021</v>
      </c>
      <c r="B338" s="840" t="s">
        <v>1022</v>
      </c>
      <c r="C338" s="1063">
        <v>0.15</v>
      </c>
      <c r="D338" s="1063">
        <v>0.15</v>
      </c>
      <c r="E338" s="1063">
        <v>0.15</v>
      </c>
      <c r="F338" s="1080"/>
    </row>
    <row r="339" spans="1:6" ht="14.25" thickBot="1">
      <c r="A339" s="839" t="s">
        <v>1021</v>
      </c>
      <c r="B339" s="833" t="s">
        <v>1023</v>
      </c>
      <c r="C339" s="1065">
        <v>0.15</v>
      </c>
      <c r="D339" s="1065">
        <v>0.15</v>
      </c>
      <c r="E339" s="1065">
        <v>0.15</v>
      </c>
      <c r="F339" s="1077"/>
    </row>
    <row r="340" spans="1:6" ht="14.25" thickBot="1">
      <c r="A340" s="839" t="s">
        <v>1021</v>
      </c>
      <c r="B340" s="833" t="s">
        <v>1024</v>
      </c>
      <c r="C340" s="1065">
        <v>0.15</v>
      </c>
      <c r="D340" s="1065">
        <v>0.15</v>
      </c>
      <c r="E340" s="1065">
        <v>0.15</v>
      </c>
      <c r="F340" s="1077"/>
    </row>
    <row r="341" spans="1:6" ht="14.25" thickBot="1">
      <c r="A341" s="839" t="s">
        <v>1021</v>
      </c>
      <c r="B341" s="833" t="s">
        <v>1025</v>
      </c>
      <c r="C341" s="1065">
        <v>0.15</v>
      </c>
      <c r="D341" s="1065">
        <v>0.15</v>
      </c>
      <c r="E341" s="1065">
        <v>0.15</v>
      </c>
      <c r="F341" s="1066">
        <v>0.15</v>
      </c>
    </row>
    <row r="342" spans="1:6" ht="14.25" thickBot="1">
      <c r="A342" s="839" t="s">
        <v>1021</v>
      </c>
      <c r="B342" s="833" t="s">
        <v>1026</v>
      </c>
      <c r="C342" s="1065">
        <v>0.15</v>
      </c>
      <c r="D342" s="1065">
        <v>0.15</v>
      </c>
      <c r="E342" s="1065">
        <v>0.15</v>
      </c>
      <c r="F342" s="1066">
        <v>0.15</v>
      </c>
    </row>
    <row r="343" spans="1:6" ht="14.25" thickBot="1">
      <c r="A343" s="839" t="s">
        <v>1021</v>
      </c>
      <c r="B343" s="833" t="s">
        <v>1027</v>
      </c>
      <c r="C343" s="1065">
        <v>0.15</v>
      </c>
      <c r="D343" s="1065">
        <v>0.15</v>
      </c>
      <c r="E343" s="1065">
        <v>0.15</v>
      </c>
      <c r="F343" s="1066">
        <v>0.15</v>
      </c>
    </row>
    <row r="344" spans="1:6" ht="14.25" thickBot="1">
      <c r="A344" s="849" t="s">
        <v>1021</v>
      </c>
      <c r="B344" s="845"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1301</v>
      </c>
      <c r="C1" s="1695">
        <f>项目基本情况!D3</f>
        <v>43025</v>
      </c>
      <c r="D1" s="1701" t="s">
        <v>1302</v>
      </c>
      <c r="E1" s="1696">
        <f>'数据-取费表'!B22</f>
        <v>2</v>
      </c>
      <c r="F1" s="1701" t="s">
        <v>1303</v>
      </c>
      <c r="G1" s="1697">
        <f ca="1">INDIRECT("d"&amp;$K$1)/100</f>
        <v>4.7500000000000001E-2</v>
      </c>
      <c r="H1" s="1701" t="s">
        <v>1333</v>
      </c>
      <c r="I1" s="1697">
        <f ca="1">F4/100</f>
        <v>1.4999999999999999E-2</v>
      </c>
      <c r="J1" s="1702">
        <f>IF(C1&gt;C13,0,MATCH(C1,C$13:C$100,-1))+IF(SUMIF(C13:C100,C1,D13:D100)=0,13,12)</f>
        <v>13</v>
      </c>
      <c r="K1" s="1702">
        <f>MATCH(E1,C3:C7,1)+IF(SUMIF(C3:C7,E1,D3:D7)=0,2,1)</f>
        <v>5</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1304</v>
      </c>
      <c r="E2" s="1637"/>
      <c r="F2" s="1637" t="s">
        <v>1305</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1306</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1307</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1308</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1309</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1310</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1311</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1312</v>
      </c>
      <c r="C10" s="1665"/>
      <c r="D10" s="1665"/>
      <c r="E10" s="1665"/>
      <c r="F10" s="1665"/>
      <c r="G10" s="1665"/>
      <c r="H10" s="1665"/>
      <c r="I10" s="1639"/>
      <c r="J10" s="1639"/>
      <c r="K10" s="1665"/>
      <c r="L10" s="1666" t="s">
        <v>1313</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1314</v>
      </c>
      <c r="C11" s="1670" t="s">
        <v>1315</v>
      </c>
      <c r="D11" s="1671" t="s">
        <v>1316</v>
      </c>
      <c r="E11" s="1672"/>
      <c r="F11" s="1671" t="s">
        <v>1317</v>
      </c>
      <c r="G11" s="1673"/>
      <c r="H11" s="1672"/>
      <c r="I11" s="1671" t="s">
        <v>1318</v>
      </c>
      <c r="J11" s="1672"/>
      <c r="K11" s="1668"/>
      <c r="L11" s="1669" t="s">
        <v>1314</v>
      </c>
      <c r="M11" s="1670" t="s">
        <v>1315</v>
      </c>
      <c r="N11" s="1669" t="s">
        <v>1319</v>
      </c>
      <c r="O11" s="1671" t="s">
        <v>1320</v>
      </c>
      <c r="P11" s="1673"/>
      <c r="Q11" s="1673"/>
      <c r="R11" s="1673"/>
      <c r="S11" s="1673"/>
      <c r="T11" s="1672"/>
      <c r="U11" s="1671" t="s">
        <v>1321</v>
      </c>
      <c r="V11" s="1673"/>
      <c r="W11" s="1672"/>
      <c r="X11" s="1669" t="s">
        <v>1322</v>
      </c>
      <c r="Y11" s="1669" t="s">
        <v>1323</v>
      </c>
      <c r="Z11" s="1669" t="s">
        <v>1324</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1325</v>
      </c>
      <c r="E12" s="1678" t="s">
        <v>1326</v>
      </c>
      <c r="F12" s="1678" t="s">
        <v>1327</v>
      </c>
      <c r="G12" s="1678" t="s">
        <v>1328</v>
      </c>
      <c r="H12" s="1678" t="s">
        <v>1310</v>
      </c>
      <c r="I12" s="1679" t="s">
        <v>1329</v>
      </c>
      <c r="J12" s="1679" t="s">
        <v>1329</v>
      </c>
      <c r="K12" s="1675"/>
      <c r="L12" s="1676"/>
      <c r="M12" s="1677"/>
      <c r="N12" s="1676"/>
      <c r="O12" s="1679" t="s">
        <v>1330</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1331</v>
      </c>
      <c r="C13" s="1683">
        <v>42301</v>
      </c>
      <c r="D13" s="1684">
        <v>4.3499999999999996</v>
      </c>
      <c r="E13" s="1684">
        <v>4.3499999999999996</v>
      </c>
      <c r="F13" s="1684">
        <v>4.75</v>
      </c>
      <c r="G13" s="1684">
        <v>4.75</v>
      </c>
      <c r="H13" s="1684">
        <v>4.9000000000000004</v>
      </c>
      <c r="I13" s="1684">
        <v>2.75</v>
      </c>
      <c r="J13" s="1684">
        <v>3.25</v>
      </c>
      <c r="K13" s="1681"/>
      <c r="L13" s="1682" t="s">
        <v>1331</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1332</v>
      </c>
      <c r="Y42" s="1688" t="s">
        <v>1332</v>
      </c>
      <c r="Z42" s="1688" t="s">
        <v>1332</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1332</v>
      </c>
      <c r="Y43" s="1688" t="s">
        <v>1332</v>
      </c>
      <c r="Z43" s="1688" t="s">
        <v>1332</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1332</v>
      </c>
      <c r="Y44" s="1688" t="s">
        <v>1332</v>
      </c>
      <c r="Z44" s="1688" t="s">
        <v>1332</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1332</v>
      </c>
      <c r="Y45" s="1688" t="s">
        <v>1332</v>
      </c>
      <c r="Z45" s="1688" t="s">
        <v>1332</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1332</v>
      </c>
      <c r="Y46" s="1688" t="s">
        <v>1332</v>
      </c>
      <c r="Z46" s="1688" t="s">
        <v>1332</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1332</v>
      </c>
      <c r="Y47" s="1688" t="s">
        <v>1332</v>
      </c>
      <c r="Z47" s="1688" t="s">
        <v>1332</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1332</v>
      </c>
      <c r="Y48" s="1688" t="s">
        <v>1332</v>
      </c>
      <c r="Z48" s="1688" t="s">
        <v>1332</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1332</v>
      </c>
      <c r="Y49" s="1688" t="s">
        <v>1332</v>
      </c>
      <c r="Z49" s="1688" t="s">
        <v>1332</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1332</v>
      </c>
      <c r="Y50" s="1688" t="s">
        <v>1332</v>
      </c>
      <c r="Z50" s="1688" t="s">
        <v>1332</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1332</v>
      </c>
      <c r="V51" s="1688" t="s">
        <v>1332</v>
      </c>
      <c r="W51" s="1688" t="s">
        <v>1332</v>
      </c>
      <c r="X51" s="1688" t="s">
        <v>1332</v>
      </c>
      <c r="Y51" s="1688" t="s">
        <v>1332</v>
      </c>
      <c r="Z51" s="1688" t="s">
        <v>1332</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1332</v>
      </c>
      <c r="J55" s="1688" t="s">
        <v>1332</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3" t="s">
        <v>1373</v>
      </c>
      <c r="E1" s="1777" t="s">
        <v>1377</v>
      </c>
      <c r="F1" s="1778" t="s">
        <v>1381</v>
      </c>
    </row>
    <row r="2" spans="1:13" ht="20.25">
      <c r="A2" s="1784" t="s">
        <v>1374</v>
      </c>
    </row>
    <row r="3" spans="1:13" ht="16.5">
      <c r="A3" s="1785" t="s">
        <v>1375</v>
      </c>
    </row>
    <row r="4" spans="1:13" ht="14.25">
      <c r="A4" s="1775" t="s">
        <v>1376</v>
      </c>
      <c r="B4" s="1780" t="s">
        <v>1378</v>
      </c>
      <c r="C4" s="1781"/>
      <c r="D4" s="1782"/>
      <c r="E4" s="1780" t="s">
        <v>27</v>
      </c>
      <c r="F4" s="1781"/>
      <c r="G4" s="1782"/>
      <c r="H4" s="1780" t="s">
        <v>1379</v>
      </c>
      <c r="I4" s="1781"/>
      <c r="J4" s="1782"/>
      <c r="K4" s="1780" t="s">
        <v>6</v>
      </c>
      <c r="L4" s="1781"/>
      <c r="M4" s="1782"/>
    </row>
    <row r="5" spans="1:13" ht="14.25">
      <c r="A5" s="1776" t="s">
        <v>1380</v>
      </c>
      <c r="B5" s="1775" t="s">
        <v>1382</v>
      </c>
      <c r="C5" s="1775" t="s">
        <v>1383</v>
      </c>
      <c r="D5" s="1775" t="s">
        <v>1384</v>
      </c>
      <c r="E5" s="1775" t="s">
        <v>1382</v>
      </c>
      <c r="F5" s="1775" t="s">
        <v>1383</v>
      </c>
      <c r="G5" s="1775" t="s">
        <v>1384</v>
      </c>
      <c r="H5" s="1775" t="s">
        <v>1382</v>
      </c>
      <c r="I5" s="1775" t="s">
        <v>1383</v>
      </c>
      <c r="J5" s="1775" t="s">
        <v>1384</v>
      </c>
      <c r="K5" s="1775" t="s">
        <v>1382</v>
      </c>
      <c r="L5" s="1775" t="s">
        <v>1383</v>
      </c>
      <c r="M5" s="1775" t="s">
        <v>1384</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B2:L14"/>
  <sheetViews>
    <sheetView workbookViewId="0">
      <selection activeCell="O15" sqref="O15"/>
    </sheetView>
  </sheetViews>
  <sheetFormatPr defaultRowHeight="13.5"/>
  <sheetData>
    <row r="2" spans="2:12">
      <c r="B2" s="3276" t="s">
        <v>3220</v>
      </c>
      <c r="C2" s="3276" t="s">
        <v>3221</v>
      </c>
      <c r="D2" s="3276" t="s">
        <v>3222</v>
      </c>
      <c r="E2" s="3276" t="s">
        <v>3223</v>
      </c>
      <c r="F2" s="3276" t="s">
        <v>3224</v>
      </c>
      <c r="G2" s="3276" t="s">
        <v>3225</v>
      </c>
      <c r="H2" s="3276"/>
      <c r="I2" s="3276"/>
      <c r="J2" s="3276"/>
      <c r="K2" s="3276"/>
      <c r="L2" s="3276" t="s">
        <v>3226</v>
      </c>
    </row>
    <row r="3" spans="2:12" ht="22.5">
      <c r="B3" s="3276"/>
      <c r="C3" s="3276"/>
      <c r="D3" s="3276"/>
      <c r="E3" s="3276"/>
      <c r="F3" s="3276"/>
      <c r="G3" s="3276" t="s">
        <v>37</v>
      </c>
      <c r="H3" s="3276" t="s">
        <v>38</v>
      </c>
      <c r="I3" s="3276"/>
      <c r="J3" s="3276"/>
      <c r="K3" s="3277" t="s">
        <v>39</v>
      </c>
      <c r="L3" s="3276"/>
    </row>
    <row r="4" spans="2:12" ht="22.5">
      <c r="B4" s="3276"/>
      <c r="C4" s="3276"/>
      <c r="D4" s="3276"/>
      <c r="E4" s="3276"/>
      <c r="F4" s="3276"/>
      <c r="G4" s="3276"/>
      <c r="H4" s="3277" t="s">
        <v>40</v>
      </c>
      <c r="I4" s="3277" t="s">
        <v>3076</v>
      </c>
      <c r="J4" s="3277" t="s">
        <v>48</v>
      </c>
      <c r="K4" s="3277" t="s">
        <v>3227</v>
      </c>
      <c r="L4" s="3276"/>
    </row>
    <row r="5" spans="2:12" ht="44.25" customHeight="1">
      <c r="B5" s="3278">
        <v>1</v>
      </c>
      <c r="C5" s="3276" t="s">
        <v>3228</v>
      </c>
      <c r="D5" s="3279" t="s">
        <v>3229</v>
      </c>
      <c r="E5" s="3278" t="s">
        <v>3230</v>
      </c>
      <c r="F5" s="3278">
        <f>'数据-基础表'!E14</f>
        <v>7203.78</v>
      </c>
      <c r="G5" s="3278">
        <f>H5+K5</f>
        <v>24825.22</v>
      </c>
      <c r="H5" s="3278">
        <f>I5+J5</f>
        <v>24825.22</v>
      </c>
      <c r="I5" s="3278">
        <v>24825.22</v>
      </c>
      <c r="J5" s="3278">
        <v>0</v>
      </c>
      <c r="K5" s="3278">
        <v>0</v>
      </c>
      <c r="L5" s="3277" t="s">
        <v>3231</v>
      </c>
    </row>
    <row r="6" spans="2:12" ht="57.75">
      <c r="B6" s="3278">
        <v>2</v>
      </c>
      <c r="C6" s="3276"/>
      <c r="D6" s="3277" t="s">
        <v>3233</v>
      </c>
      <c r="E6" s="3278" t="s">
        <v>3232</v>
      </c>
      <c r="F6" s="3278">
        <f>'数据-基础表'!E15</f>
        <v>5919.24</v>
      </c>
      <c r="G6" s="3278">
        <f t="shared" ref="G6:G13" si="0">H6+K6</f>
        <v>20398.52</v>
      </c>
      <c r="H6" s="3278">
        <f t="shared" ref="H6:H13" si="1">I6+J6</f>
        <v>20392.240000000002</v>
      </c>
      <c r="I6" s="3278">
        <f>'数据-基础表'!I15</f>
        <v>20392.240000000002</v>
      </c>
      <c r="J6" s="3278">
        <v>0</v>
      </c>
      <c r="K6" s="3278">
        <v>6.28</v>
      </c>
      <c r="L6" s="3277" t="s">
        <v>3231</v>
      </c>
    </row>
    <row r="7" spans="2:12" ht="57.75">
      <c r="B7" s="3278">
        <v>3</v>
      </c>
      <c r="C7" s="3276"/>
      <c r="D7" s="3277" t="s">
        <v>3236</v>
      </c>
      <c r="E7" s="3278" t="s">
        <v>3234</v>
      </c>
      <c r="F7" s="3278">
        <f>'数据-基础表'!E16</f>
        <v>4173.95</v>
      </c>
      <c r="G7" s="3278">
        <f t="shared" si="0"/>
        <v>14384</v>
      </c>
      <c r="H7" s="3278">
        <f t="shared" si="1"/>
        <v>14384</v>
      </c>
      <c r="I7" s="3278">
        <f>'数据-基础表'!I16</f>
        <v>14384</v>
      </c>
      <c r="J7" s="3278">
        <v>0</v>
      </c>
      <c r="K7" s="3278">
        <v>0</v>
      </c>
      <c r="L7" s="3277" t="s">
        <v>3235</v>
      </c>
    </row>
    <row r="8" spans="2:12" ht="57.75">
      <c r="B8" s="3278">
        <v>4</v>
      </c>
      <c r="C8" s="3276"/>
      <c r="D8" s="3277" t="s">
        <v>3239</v>
      </c>
      <c r="E8" s="3278" t="s">
        <v>3237</v>
      </c>
      <c r="F8" s="3278">
        <f>'数据-基础表'!E17</f>
        <v>4173.95</v>
      </c>
      <c r="G8" s="3278">
        <f t="shared" si="0"/>
        <v>14384</v>
      </c>
      <c r="H8" s="3278">
        <f t="shared" si="1"/>
        <v>14384</v>
      </c>
      <c r="I8" s="3278">
        <f>'数据-基础表'!I17</f>
        <v>14384</v>
      </c>
      <c r="J8" s="3278">
        <v>0</v>
      </c>
      <c r="K8" s="3278">
        <v>0</v>
      </c>
      <c r="L8" s="3277" t="s">
        <v>3238</v>
      </c>
    </row>
    <row r="9" spans="2:12">
      <c r="B9" s="3278">
        <v>5</v>
      </c>
      <c r="C9" s="3276"/>
      <c r="D9" s="3276" t="s">
        <v>3229</v>
      </c>
      <c r="E9" s="3278" t="s">
        <v>3240</v>
      </c>
      <c r="F9" s="3278">
        <f>'数据-基础表'!E18</f>
        <v>4229.6000000000004</v>
      </c>
      <c r="G9" s="3278">
        <f t="shared" si="0"/>
        <v>14575.77</v>
      </c>
      <c r="H9" s="3278">
        <f t="shared" si="1"/>
        <v>14575.77</v>
      </c>
      <c r="I9" s="3278">
        <v>14575.77</v>
      </c>
      <c r="J9" s="3278">
        <v>0</v>
      </c>
      <c r="K9" s="3278">
        <v>0</v>
      </c>
      <c r="L9" s="3277" t="s">
        <v>3231</v>
      </c>
    </row>
    <row r="10" spans="2:12" ht="15.75" customHeight="1">
      <c r="B10" s="3278">
        <v>6</v>
      </c>
      <c r="C10" s="3276"/>
      <c r="D10" s="3276"/>
      <c r="E10" s="3278" t="s">
        <v>3241</v>
      </c>
      <c r="F10" s="3278">
        <f>'数据-基础表'!E19</f>
        <v>6842.84</v>
      </c>
      <c r="G10" s="3278">
        <f t="shared" si="0"/>
        <v>23581.37</v>
      </c>
      <c r="H10" s="3278">
        <f t="shared" si="1"/>
        <v>23581.37</v>
      </c>
      <c r="I10" s="3278">
        <v>23581.37</v>
      </c>
      <c r="J10" s="3278">
        <v>0</v>
      </c>
      <c r="K10" s="3278">
        <v>0</v>
      </c>
      <c r="L10" s="3277" t="s">
        <v>3231</v>
      </c>
    </row>
    <row r="11" spans="2:12">
      <c r="B11" s="3278">
        <v>7</v>
      </c>
      <c r="C11" s="3276"/>
      <c r="D11" s="3276"/>
      <c r="E11" s="3278" t="s">
        <v>3242</v>
      </c>
      <c r="F11" s="3278">
        <f>'数据-基础表'!E20</f>
        <v>6842.84</v>
      </c>
      <c r="G11" s="3278">
        <f t="shared" si="0"/>
        <v>23581.37</v>
      </c>
      <c r="H11" s="3278">
        <f t="shared" si="1"/>
        <v>23581.37</v>
      </c>
      <c r="I11" s="3278">
        <v>23581.37</v>
      </c>
      <c r="J11" s="3278">
        <v>0</v>
      </c>
      <c r="K11" s="3278">
        <v>0</v>
      </c>
      <c r="L11" s="3277" t="s">
        <v>3231</v>
      </c>
    </row>
    <row r="12" spans="2:12">
      <c r="B12" s="3278">
        <v>8</v>
      </c>
      <c r="C12" s="3276"/>
      <c r="D12" s="3276"/>
      <c r="E12" s="3278" t="s">
        <v>3243</v>
      </c>
      <c r="F12" s="3278">
        <f>'数据-基础表'!E21</f>
        <v>63.18</v>
      </c>
      <c r="G12" s="3278">
        <f t="shared" si="0"/>
        <v>217.71</v>
      </c>
      <c r="H12" s="3278">
        <f t="shared" si="1"/>
        <v>0</v>
      </c>
      <c r="I12" s="3278">
        <v>0</v>
      </c>
      <c r="J12" s="3278">
        <v>0</v>
      </c>
      <c r="K12" s="3278">
        <f>'数据-基础表'!AD21</f>
        <v>217.71</v>
      </c>
      <c r="L12" s="3277" t="s">
        <v>3231</v>
      </c>
    </row>
    <row r="13" spans="2:12">
      <c r="B13" s="3278">
        <v>9</v>
      </c>
      <c r="C13" s="3276"/>
      <c r="D13" s="3276"/>
      <c r="E13" s="3277" t="s">
        <v>48</v>
      </c>
      <c r="F13" s="3278">
        <f>'数据-汇总表'!D26</f>
        <v>21493.919999999998</v>
      </c>
      <c r="G13" s="3278">
        <f t="shared" si="0"/>
        <v>74071</v>
      </c>
      <c r="H13" s="3278">
        <f t="shared" si="1"/>
        <v>74071</v>
      </c>
      <c r="I13" s="3278">
        <v>74071</v>
      </c>
      <c r="J13" s="3278">
        <v>0</v>
      </c>
      <c r="K13" s="3278">
        <v>0</v>
      </c>
      <c r="L13" s="3277" t="s">
        <v>3231</v>
      </c>
    </row>
    <row r="14" spans="2:12">
      <c r="B14" s="3276" t="s">
        <v>37</v>
      </c>
      <c r="C14" s="3276"/>
      <c r="D14" s="3276"/>
      <c r="E14" s="3276"/>
      <c r="F14" s="3278">
        <f>SUM(F5:F13)</f>
        <v>60943.3</v>
      </c>
      <c r="G14" s="3278">
        <f t="shared" ref="G14:K14" si="2">SUM(G5:G13)</f>
        <v>210018.96</v>
      </c>
      <c r="H14" s="3278">
        <f t="shared" si="2"/>
        <v>209794.97</v>
      </c>
      <c r="I14" s="3278">
        <f t="shared" si="2"/>
        <v>209794.97</v>
      </c>
      <c r="J14" s="3278">
        <f t="shared" si="2"/>
        <v>0</v>
      </c>
      <c r="K14" s="3278">
        <f t="shared" si="2"/>
        <v>223.99</v>
      </c>
      <c r="L14" s="3278" t="s">
        <v>3244</v>
      </c>
    </row>
  </sheetData>
  <mergeCells count="12">
    <mergeCell ref="B14:E14"/>
    <mergeCell ref="D9:D13"/>
    <mergeCell ref="L2:L4"/>
    <mergeCell ref="G3:G4"/>
    <mergeCell ref="H3:J3"/>
    <mergeCell ref="C5:C13"/>
    <mergeCell ref="B2:B4"/>
    <mergeCell ref="C2:C4"/>
    <mergeCell ref="D2:D4"/>
    <mergeCell ref="E2:E4"/>
    <mergeCell ref="F2:F4"/>
    <mergeCell ref="G2:K2"/>
  </mergeCells>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PageLayoutView="90" workbookViewId="0">
      <selection sqref="A1:XFD1048576"/>
    </sheetView>
  </sheetViews>
  <sheetFormatPr defaultRowHeight="14.25"/>
  <cols>
    <col min="1" max="1" width="27.625" style="1946" customWidth="1"/>
    <col min="2" max="9" width="12.125" style="1946" customWidth="1"/>
    <col min="10" max="16384" width="9" style="1946"/>
  </cols>
  <sheetData>
    <row r="1" spans="1:9" ht="18.75" thickBot="1">
      <c r="A1" s="2966" t="str">
        <f>IF(项目基本情况!B9="房地产市场价值","估价结果一览表","结果表-2")</f>
        <v>结果表-2</v>
      </c>
      <c r="B1" s="2966"/>
      <c r="C1" s="2966"/>
      <c r="D1" s="2966"/>
      <c r="E1" s="2966"/>
      <c r="F1" s="2966"/>
      <c r="G1" s="2966"/>
      <c r="H1" s="2966"/>
      <c r="I1" s="2966"/>
    </row>
    <row r="2" spans="1:9" ht="30" customHeight="1" thickTop="1">
      <c r="A2" s="2967" t="s">
        <v>1643</v>
      </c>
      <c r="B2" s="2967" t="s">
        <v>1644</v>
      </c>
      <c r="C2" s="2967" t="s">
        <v>1645</v>
      </c>
      <c r="D2" s="2967" t="str">
        <f>结果表!D116</f>
        <v>出让国有建设用地使用权价值</v>
      </c>
      <c r="E2" s="2967"/>
      <c r="F2" s="2967" t="str">
        <f>结果表!F116</f>
        <v>在建建筑物价值</v>
      </c>
      <c r="G2" s="2967"/>
      <c r="H2" s="2967" t="str">
        <f>IF(项目基本情况!B9="房地产市场价值","房地产市场价值","房地产价值")</f>
        <v>房地产价值</v>
      </c>
      <c r="I2" s="2967"/>
    </row>
    <row r="3" spans="1:9" ht="15">
      <c r="A3" s="2961"/>
      <c r="B3" s="2961"/>
      <c r="C3" s="2961"/>
      <c r="D3" s="1045" t="s">
        <v>1640</v>
      </c>
      <c r="E3" s="1045" t="s">
        <v>1646</v>
      </c>
      <c r="F3" s="1045" t="s">
        <v>1640</v>
      </c>
      <c r="G3" s="1045" t="s">
        <v>1641</v>
      </c>
      <c r="H3" s="1045" t="s">
        <v>1640</v>
      </c>
      <c r="I3" s="1045" t="s">
        <v>1641</v>
      </c>
    </row>
    <row r="4" spans="1:9" ht="60">
      <c r="A4" s="1974" t="str">
        <f>项目基本情况!S2</f>
        <v>陕西省西安市新城区华清西路以南、金花北路以西出让国有建设用地使用权及在建建筑物房地产</v>
      </c>
      <c r="B4" s="1045">
        <f>项目基本情况!C17</f>
        <v>210018.96</v>
      </c>
      <c r="C4" s="1045">
        <f>项目基本情况!C18</f>
        <v>60943.28</v>
      </c>
      <c r="D4" s="1045">
        <f ca="1">结果表!D118</f>
        <v>168863</v>
      </c>
      <c r="E4" s="1045">
        <f ca="1">结果表!E118</f>
        <v>8040</v>
      </c>
      <c r="F4" s="1045">
        <f ca="1">结果表!F118</f>
        <v>10017</v>
      </c>
      <c r="G4" s="1045">
        <f ca="1">结果表!G118</f>
        <v>477</v>
      </c>
      <c r="H4" s="1045">
        <f ca="1">结果表!H118</f>
        <v>178880</v>
      </c>
      <c r="I4" s="1045">
        <f ca="1">结果表!I118</f>
        <v>8517</v>
      </c>
    </row>
    <row r="5" spans="1:9" ht="30" customHeight="1">
      <c r="A5" s="2961" t="s">
        <v>1642</v>
      </c>
      <c r="B5" s="2961"/>
      <c r="C5" s="2961"/>
      <c r="D5" s="2962" t="str">
        <f ca="1">结果表!D119</f>
        <v>壹拾陆亿捌仟捌佰陆拾叁万元整</v>
      </c>
      <c r="E5" s="2962"/>
      <c r="F5" s="2962" t="str">
        <f ca="1">结果表!F119</f>
        <v>壹亿零壹拾柒万元整</v>
      </c>
      <c r="G5" s="2962"/>
      <c r="H5" s="2962" t="str">
        <f ca="1">结果表!H119</f>
        <v>壹拾柒亿捌仟捌佰捌拾万元整</v>
      </c>
      <c r="I5" s="2962"/>
    </row>
    <row r="6" spans="1:9" ht="15.75">
      <c r="A6" s="2960" t="str">
        <f>结果表!A120</f>
        <v>估价师知悉的法定优先受偿款</v>
      </c>
      <c r="B6" s="2960"/>
      <c r="C6" s="2960"/>
      <c r="D6" s="2960">
        <f>结果表!D120</f>
        <v>0</v>
      </c>
      <c r="E6" s="2960"/>
      <c r="F6" s="2960"/>
      <c r="G6" s="2960"/>
      <c r="H6" s="2960"/>
      <c r="I6" s="2960"/>
    </row>
    <row r="7" spans="1:9" ht="15">
      <c r="A7" s="2961" t="s">
        <v>1642</v>
      </c>
      <c r="B7" s="2961"/>
      <c r="C7" s="2961"/>
      <c r="D7" s="2963" t="str">
        <f>结果表!D121</f>
        <v>零元整</v>
      </c>
      <c r="E7" s="2964"/>
      <c r="F7" s="2964"/>
      <c r="G7" s="2964"/>
      <c r="H7" s="2964"/>
      <c r="I7" s="2965"/>
    </row>
    <row r="8" spans="1:9" ht="15.75">
      <c r="A8" s="2960" t="str">
        <f>结果表!A122</f>
        <v>房地产抵押价值</v>
      </c>
      <c r="B8" s="2960"/>
      <c r="C8" s="2960"/>
      <c r="D8" s="2960">
        <f ca="1">结果表!D122</f>
        <v>178880</v>
      </c>
      <c r="E8" s="2960"/>
      <c r="F8" s="2960"/>
      <c r="G8" s="2960"/>
      <c r="H8" s="2960"/>
      <c r="I8" s="2960"/>
    </row>
    <row r="9" spans="1:9" ht="15">
      <c r="A9" s="2961" t="s">
        <v>1642</v>
      </c>
      <c r="B9" s="2961"/>
      <c r="C9" s="2961"/>
      <c r="D9" s="2962" t="str">
        <f ca="1">结果表!D123</f>
        <v>壹拾柒亿捌仟捌佰捌拾万元整</v>
      </c>
      <c r="E9" s="2962"/>
      <c r="F9" s="2962"/>
      <c r="G9" s="2962"/>
      <c r="H9" s="2962"/>
      <c r="I9" s="2962"/>
    </row>
    <row r="10" spans="1:9" ht="15.75">
      <c r="A10" s="2960" t="str">
        <f>结果表!A124</f>
        <v>抵押担保权已注销时的房地产抵押价值</v>
      </c>
      <c r="B10" s="2960"/>
      <c r="C10" s="2960"/>
      <c r="D10" s="2960">
        <f ca="1">结果表!D124</f>
        <v>178880</v>
      </c>
      <c r="E10" s="2960"/>
      <c r="F10" s="2960"/>
      <c r="G10" s="2960"/>
      <c r="H10" s="2960"/>
      <c r="I10" s="2960"/>
    </row>
    <row r="11" spans="1:9" ht="15">
      <c r="A11" s="2961" t="s">
        <v>1642</v>
      </c>
      <c r="B11" s="2961"/>
      <c r="C11" s="2961"/>
      <c r="D11" s="2962" t="str">
        <f ca="1">结果表!D125</f>
        <v>壹拾柒亿捌仟捌佰捌拾万元整</v>
      </c>
      <c r="E11" s="2962"/>
      <c r="F11" s="2962"/>
      <c r="G11" s="2962"/>
      <c r="H11" s="2962"/>
      <c r="I11" s="2962"/>
    </row>
    <row r="12" spans="1:9" ht="15.75">
      <c r="A12" s="2960" t="str">
        <f>结果表!A126</f>
        <v/>
      </c>
      <c r="B12" s="2960"/>
      <c r="C12" s="2960"/>
      <c r="D12" s="2960" t="str">
        <f>结果表!D126</f>
        <v>——</v>
      </c>
      <c r="E12" s="2960"/>
      <c r="F12" s="2960"/>
      <c r="G12" s="2960"/>
      <c r="H12" s="2960"/>
      <c r="I12" s="2960"/>
    </row>
    <row r="13" spans="1:9" ht="15.75" thickBot="1">
      <c r="A13" s="2957" t="s">
        <v>1642</v>
      </c>
      <c r="B13" s="2957"/>
      <c r="C13" s="2957"/>
      <c r="D13" s="2958" t="e">
        <f>结果表!D127</f>
        <v>#VALUE!</v>
      </c>
      <c r="E13" s="2958"/>
      <c r="F13" s="2958"/>
      <c r="G13" s="2958"/>
      <c r="H13" s="2958"/>
      <c r="I13" s="2958"/>
    </row>
    <row r="14" spans="1:9" ht="15" thickTop="1">
      <c r="A14" s="2959" t="s">
        <v>1647</v>
      </c>
      <c r="B14" s="2959"/>
      <c r="C14" s="2959"/>
      <c r="D14" s="2959"/>
      <c r="E14" s="2959"/>
      <c r="F14" s="2959"/>
      <c r="G14" s="2959"/>
      <c r="H14" s="2959"/>
      <c r="I14" s="2959"/>
    </row>
    <row r="16" spans="1:9" ht="18.75">
      <c r="A16" s="1975" t="s">
        <v>1630</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6" customWidth="1"/>
    <col min="2" max="3" width="22.375" style="1946" customWidth="1"/>
    <col min="4" max="4" width="23" style="1946" customWidth="1"/>
    <col min="5" max="16384" width="9" style="1946"/>
  </cols>
  <sheetData>
    <row r="1" spans="1:4" ht="18.75">
      <c r="A1" s="2974" t="s">
        <v>1664</v>
      </c>
      <c r="B1" s="2974"/>
      <c r="C1" s="2974"/>
      <c r="D1" s="2974"/>
    </row>
    <row r="2" spans="1:4" ht="18">
      <c r="A2" s="2975" t="s">
        <v>1648</v>
      </c>
      <c r="B2" s="2975"/>
      <c r="C2" s="2975"/>
      <c r="D2" s="2975"/>
    </row>
    <row r="3" spans="1:4" ht="18.75">
      <c r="A3" s="1978" t="s">
        <v>1649</v>
      </c>
      <c r="B3" s="1978" t="s">
        <v>1650</v>
      </c>
      <c r="C3" s="1978" t="s">
        <v>1651</v>
      </c>
      <c r="D3" s="1978" t="s">
        <v>1652</v>
      </c>
    </row>
    <row r="4" spans="1:4" ht="56.25" customHeight="1">
      <c r="A4" s="1979" t="str">
        <f>项目基本情况!B4</f>
        <v>郑燚</v>
      </c>
      <c r="B4" s="1980">
        <f ca="1">项目基本情况!C4</f>
        <v>1120070131</v>
      </c>
      <c r="C4" s="1981"/>
      <c r="D4" s="1982" t="s">
        <v>1653</v>
      </c>
    </row>
    <row r="5" spans="1:4" ht="56.25" customHeight="1">
      <c r="A5" s="1979" t="str">
        <f>项目基本情况!D4</f>
        <v>王萌</v>
      </c>
      <c r="B5" s="1980">
        <f ca="1">项目基本情况!E4</f>
        <v>1120130048</v>
      </c>
      <c r="C5" s="1983"/>
      <c r="D5" s="1982" t="s">
        <v>1653</v>
      </c>
    </row>
    <row r="6" spans="1:4" ht="18">
      <c r="A6" s="2975" t="s">
        <v>1654</v>
      </c>
      <c r="B6" s="2975"/>
      <c r="C6" s="2975"/>
      <c r="D6" s="2975"/>
    </row>
    <row r="7" spans="1:4" ht="18.75">
      <c r="A7" s="1978" t="s">
        <v>1649</v>
      </c>
      <c r="B7" s="1980" t="s">
        <v>1655</v>
      </c>
      <c r="C7" s="1978" t="s">
        <v>1651</v>
      </c>
      <c r="D7" s="1978" t="s">
        <v>1652</v>
      </c>
    </row>
    <row r="8" spans="1:4" ht="56.25" customHeight="1">
      <c r="A8" s="1984" t="s">
        <v>869</v>
      </c>
      <c r="B8" s="1984" t="s">
        <v>1</v>
      </c>
      <c r="C8" s="1981"/>
      <c r="D8" s="1982" t="s">
        <v>1653</v>
      </c>
    </row>
    <row r="9" spans="1:4">
      <c r="A9" s="727"/>
      <c r="B9" s="727"/>
      <c r="C9" s="727"/>
      <c r="D9" s="727"/>
    </row>
    <row r="10" spans="1:4" ht="18.75">
      <c r="A10" s="1985" t="s">
        <v>1656</v>
      </c>
      <c r="B10" s="727"/>
      <c r="C10" s="727"/>
      <c r="D10" s="727"/>
    </row>
    <row r="11" spans="1:4" ht="30" customHeight="1">
      <c r="A11" s="2976" t="s">
        <v>1657</v>
      </c>
      <c r="B11" s="2968"/>
      <c r="C11" s="2968"/>
      <c r="D11" s="2968"/>
    </row>
    <row r="12" spans="1:4" ht="15.75">
      <c r="A12" s="296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3"/>
      <c r="C12" s="2973"/>
      <c r="D12" s="2973"/>
    </row>
    <row r="13" spans="1:4" ht="30" customHeight="1">
      <c r="A13" s="296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3"/>
      <c r="C13" s="2973"/>
      <c r="D13" s="2973"/>
    </row>
    <row r="14" spans="1:4" ht="15.75" customHeight="1">
      <c r="A14" s="2968" t="str">
        <f>IF(项目基本情况!B8="抵押","4.本次评估估价师所知悉的法定优先受偿款情况说明如下：","——")</f>
        <v>4.本次评估估价师所知悉的法定优先受偿款情况说明如下：</v>
      </c>
      <c r="B14" s="2973"/>
      <c r="C14" s="2973"/>
      <c r="D14" s="2973"/>
    </row>
    <row r="15" spans="1:4" ht="42" customHeight="1">
      <c r="A15" s="2968" t="str">
        <f>IF(项目基本情况!B8="抵押","（1）"&amp;CONCATENATE(项目基本情况!L20,项目基本情况!L21,项目基本情况!L22),"——")</f>
        <v>（1）根据估价对象《不动产权证书》原件、《不动产权证书》复印件，截至价值时点，估价对象已设定抵押。上述权属证件中未登记该抵押权的具体情况（债权数额、期限等）。根据《房屋他项权利证书》复印件，估价对象已抵押给，权利范围为，权利价值为。</v>
      </c>
      <c r="B15" s="2968"/>
      <c r="C15" s="2968"/>
      <c r="D15" s="2968"/>
    </row>
    <row r="16" spans="1:4" ht="30" customHeight="1">
      <c r="A16" s="2970" t="s">
        <v>1658</v>
      </c>
      <c r="B16" s="2970"/>
      <c r="C16" s="2970"/>
      <c r="D16" s="2970"/>
    </row>
    <row r="17" spans="1:4" ht="144" customHeight="1">
      <c r="A17" s="2970" t="s">
        <v>1659</v>
      </c>
      <c r="B17" s="2970"/>
      <c r="C17" s="2970"/>
      <c r="D17" s="2970"/>
    </row>
    <row r="18" spans="1:4" ht="15.75" customHeight="1">
      <c r="A18" s="2968" t="str">
        <f>IF(项目基本情况!B8="抵押",结果表!K120,"——")</f>
        <v>故，本次评估不存在估价师知悉的法定优先受偿款</v>
      </c>
      <c r="B18" s="2968"/>
      <c r="C18" s="2968"/>
      <c r="D18" s="2968"/>
    </row>
    <row r="19" spans="1:4" ht="46.5" customHeight="1">
      <c r="A19" s="296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68"/>
      <c r="C19" s="2968"/>
      <c r="D19" s="2968"/>
    </row>
    <row r="20" spans="1:4" ht="57.75" customHeight="1">
      <c r="A20" s="296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68"/>
      <c r="C20" s="2968"/>
      <c r="D20" s="2968"/>
    </row>
    <row r="21" spans="1:4" ht="57.75" customHeight="1">
      <c r="A21" s="297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71"/>
      <c r="C21" s="2971"/>
      <c r="D21" s="2971"/>
    </row>
    <row r="22" spans="1:4" ht="18.75" customHeight="1">
      <c r="A22" s="2972" t="s">
        <v>1660</v>
      </c>
      <c r="B22" s="2972"/>
      <c r="C22" s="2972"/>
      <c r="D22" s="2972"/>
    </row>
    <row r="23" spans="1:4">
      <c r="A23" s="1986"/>
      <c r="B23" s="1958"/>
      <c r="C23" s="1958"/>
      <c r="D23" s="1958"/>
    </row>
    <row r="24" spans="1:4">
      <c r="A24" s="1986"/>
      <c r="B24" s="1958"/>
      <c r="C24" s="1958"/>
      <c r="D24" s="1958"/>
    </row>
    <row r="25" spans="1:4" ht="18.75">
      <c r="A25" s="1987" t="s">
        <v>1661</v>
      </c>
    </row>
    <row r="26" spans="1:4" ht="18">
      <c r="A26" s="1956"/>
    </row>
    <row r="27" spans="1:4" ht="18.75">
      <c r="A27" s="1956" t="s">
        <v>1662</v>
      </c>
    </row>
    <row r="30" spans="1:4" ht="18.75">
      <c r="D30" s="1987" t="s">
        <v>1663</v>
      </c>
    </row>
    <row r="31" spans="1:4" ht="13.5" customHeight="1">
      <c r="C31" s="2969">
        <v>42551</v>
      </c>
      <c r="D31" s="296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workbookViewId="0">
      <selection activeCell="C5" sqref="C5"/>
    </sheetView>
  </sheetViews>
  <sheetFormatPr defaultRowHeight="13.5"/>
  <cols>
    <col min="1" max="2" width="13.125" style="1944" customWidth="1"/>
    <col min="3" max="10" width="12.5" style="1944" customWidth="1"/>
    <col min="11" max="16384" width="9" style="1944"/>
  </cols>
  <sheetData>
    <row r="1" spans="1:10" ht="18.75">
      <c r="A1" s="1977" t="s">
        <v>870</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4" customWidth="1"/>
    <col min="2" max="16384" width="14.5" style="1976"/>
  </cols>
  <sheetData>
    <row r="1" spans="1:7" s="1991" customFormat="1" ht="18.75">
      <c r="A1" s="1990" t="s">
        <v>1665</v>
      </c>
    </row>
    <row r="3" spans="1:7">
      <c r="A3" s="1992" t="s">
        <v>82</v>
      </c>
      <c r="B3" s="1976" t="s">
        <v>1666</v>
      </c>
      <c r="G3" s="1993"/>
    </row>
    <row r="4" spans="1:7">
      <c r="G4" s="1993"/>
    </row>
    <row r="5" spans="1:7">
      <c r="A5" s="1995" t="s">
        <v>73</v>
      </c>
      <c r="B5" s="1976" t="s">
        <v>1667</v>
      </c>
      <c r="G5" s="1993"/>
    </row>
    <row r="6" spans="1:7">
      <c r="G6" s="1993"/>
    </row>
    <row r="7" spans="1:7">
      <c r="A7" s="1996" t="s">
        <v>135</v>
      </c>
      <c r="B7" s="1976" t="s">
        <v>1668</v>
      </c>
      <c r="G7" s="1993"/>
    </row>
    <row r="8" spans="1:7">
      <c r="G8" s="1993"/>
    </row>
    <row r="9" spans="1:7">
      <c r="A9" s="1997" t="s">
        <v>74</v>
      </c>
      <c r="B9" s="1976" t="s">
        <v>1669</v>
      </c>
    </row>
    <row r="11" spans="1:7">
      <c r="A11" s="1998" t="s">
        <v>75</v>
      </c>
      <c r="B11" s="1999" t="s">
        <v>72</v>
      </c>
    </row>
    <row r="13" spans="1:7">
      <c r="A13" s="2000" t="s">
        <v>1670</v>
      </c>
    </row>
    <row r="15" spans="1:7" ht="13.5">
      <c r="A15" s="2982" t="s">
        <v>1671</v>
      </c>
      <c r="B15" s="2977" t="s">
        <v>136</v>
      </c>
      <c r="C15" s="2978"/>
    </row>
    <row r="16" spans="1:7" ht="13.5">
      <c r="A16" s="2983"/>
      <c r="B16" s="2977" t="s">
        <v>69</v>
      </c>
      <c r="C16" s="2978"/>
    </row>
    <row r="17" spans="1:3" ht="13.5">
      <c r="A17" s="2983"/>
      <c r="B17" s="2980" t="s">
        <v>1672</v>
      </c>
      <c r="C17" s="2001" t="s">
        <v>1671</v>
      </c>
    </row>
    <row r="18" spans="1:3" ht="13.5">
      <c r="A18" s="2983"/>
      <c r="B18" s="2980"/>
      <c r="C18" s="2001" t="s">
        <v>1673</v>
      </c>
    </row>
    <row r="19" spans="1:3" ht="13.5">
      <c r="A19" s="2983"/>
      <c r="B19" s="2980"/>
      <c r="C19" s="2001" t="s">
        <v>1674</v>
      </c>
    </row>
    <row r="20" spans="1:3" ht="13.5">
      <c r="A20" s="2984"/>
      <c r="B20" s="2979" t="s">
        <v>1675</v>
      </c>
      <c r="C20" s="2978"/>
    </row>
    <row r="21" spans="1:3" ht="13.5">
      <c r="A21" s="2002" t="s">
        <v>1676</v>
      </c>
      <c r="B21" s="2003"/>
      <c r="C21" s="2004"/>
    </row>
    <row r="22" spans="1:3" ht="13.5">
      <c r="A22" s="2981" t="s">
        <v>1677</v>
      </c>
      <c r="B22" s="2979" t="s">
        <v>1678</v>
      </c>
      <c r="C22" s="2978"/>
    </row>
    <row r="23" spans="1:3" ht="13.5">
      <c r="A23" s="2981"/>
      <c r="B23" s="2979" t="s">
        <v>1679</v>
      </c>
      <c r="C23" s="2978"/>
    </row>
    <row r="24" spans="1:3" ht="13.5">
      <c r="A24" s="2981"/>
      <c r="B24" s="2979" t="s">
        <v>1680</v>
      </c>
      <c r="C24" s="2978"/>
    </row>
    <row r="25" spans="1:3" ht="13.5">
      <c r="A25" s="2981"/>
      <c r="B25" s="2980" t="s">
        <v>1681</v>
      </c>
      <c r="C25" s="2001" t="s">
        <v>1682</v>
      </c>
    </row>
    <row r="26" spans="1:3" ht="13.5">
      <c r="A26" s="2981"/>
      <c r="B26" s="2980"/>
      <c r="C26" s="2001" t="s">
        <v>1683</v>
      </c>
    </row>
    <row r="27" spans="1:3" ht="13.5">
      <c r="A27" s="2981"/>
      <c r="B27" s="2980"/>
      <c r="C27" s="2001" t="s">
        <v>1684</v>
      </c>
    </row>
    <row r="28" spans="1:3" ht="13.5">
      <c r="A28" s="2981"/>
      <c r="B28" s="2980"/>
      <c r="C28" s="2001" t="s">
        <v>1685</v>
      </c>
    </row>
    <row r="29" spans="1:3" ht="13.5">
      <c r="A29" s="2981"/>
      <c r="B29" s="2980"/>
      <c r="C29" s="2001" t="s">
        <v>1686</v>
      </c>
    </row>
    <row r="30" spans="1:3" ht="13.5">
      <c r="A30" s="2981"/>
      <c r="B30" s="2980"/>
      <c r="C30" s="2001" t="s">
        <v>1687</v>
      </c>
    </row>
    <row r="31" spans="1:3" ht="13.5">
      <c r="A31" s="2981"/>
      <c r="B31" s="2980"/>
      <c r="C31" s="2001" t="s">
        <v>1688</v>
      </c>
    </row>
    <row r="32" spans="1:3" ht="13.5">
      <c r="A32" s="2981"/>
      <c r="B32" s="2980"/>
      <c r="C32" s="2001" t="s">
        <v>1689</v>
      </c>
    </row>
    <row r="33" spans="1:3" ht="13.5">
      <c r="A33" s="2981"/>
      <c r="B33" s="2980"/>
      <c r="C33" s="2001" t="s">
        <v>1690</v>
      </c>
    </row>
    <row r="34" spans="1:3">
      <c r="A34" s="2005" t="s">
        <v>76</v>
      </c>
    </row>
    <row r="37" spans="1:3">
      <c r="A37" s="2005" t="s">
        <v>1691</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80" zoomScaleSheetLayoutView="80" workbookViewId="0">
      <selection activeCell="A25" sqref="A25:G25"/>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43031</v>
      </c>
      <c r="C2" s="1020" t="s">
        <v>826</v>
      </c>
      <c r="D2" s="1020"/>
    </row>
    <row r="3" spans="1:6" ht="24" customHeight="1">
      <c r="A3" s="1021" t="s">
        <v>827</v>
      </c>
      <c r="B3" s="1022" t="s">
        <v>828</v>
      </c>
      <c r="C3" s="2343" t="s">
        <v>829</v>
      </c>
      <c r="D3" s="2346" t="s">
        <v>830</v>
      </c>
      <c r="E3" s="1023" t="s">
        <v>831</v>
      </c>
      <c r="F3" s="1022" t="s">
        <v>829</v>
      </c>
    </row>
    <row r="4" spans="1:6" ht="24" customHeight="1">
      <c r="A4" s="1703" t="s">
        <v>832</v>
      </c>
      <c r="B4" s="1023">
        <f ca="1">IF(C4&lt;B2,"已过期",1119970066)</f>
        <v>1119970066</v>
      </c>
      <c r="C4" s="2344">
        <v>43849</v>
      </c>
      <c r="D4" s="2347" t="s">
        <v>832</v>
      </c>
      <c r="E4" s="1023">
        <f ca="1">IF(F4&lt;B2,"已过期",96010014)</f>
        <v>96010014</v>
      </c>
      <c r="F4" s="1031">
        <v>47118</v>
      </c>
    </row>
    <row r="5" spans="1:6" ht="24" customHeight="1">
      <c r="A5" s="1703" t="s">
        <v>833</v>
      </c>
      <c r="B5" s="1023">
        <f ca="1">IF(C5&lt;B2,"已过期",1119970074)</f>
        <v>1119970074</v>
      </c>
      <c r="C5" s="2344">
        <v>43849</v>
      </c>
      <c r="D5" s="2347" t="s">
        <v>833</v>
      </c>
      <c r="E5" s="1023">
        <f ca="1">IF(F5&lt;B2,"已过期",2002110027)</f>
        <v>2002110027</v>
      </c>
      <c r="F5" s="1031">
        <v>46752</v>
      </c>
    </row>
    <row r="6" spans="1:6" ht="24" customHeight="1">
      <c r="A6" s="1703" t="s">
        <v>834</v>
      </c>
      <c r="B6" s="1023">
        <f ca="1">IF(C6&lt;B2,"已过期",1119970111)</f>
        <v>1119970111</v>
      </c>
      <c r="C6" s="2344">
        <v>43849</v>
      </c>
      <c r="D6" s="2347" t="s">
        <v>834</v>
      </c>
      <c r="E6" s="1023">
        <f ca="1">IF(F6&lt;B2,"已过期",94010078)</f>
        <v>94010078</v>
      </c>
      <c r="F6" s="1031">
        <v>46387</v>
      </c>
    </row>
    <row r="7" spans="1:6" ht="24" customHeight="1">
      <c r="A7" s="1703" t="s">
        <v>835</v>
      </c>
      <c r="B7" s="1023">
        <f ca="1">IF(C7&lt;B2,"已过期",1120050019)</f>
        <v>1120050019</v>
      </c>
      <c r="C7" s="2344">
        <v>43359</v>
      </c>
      <c r="D7" s="2347" t="s">
        <v>835</v>
      </c>
      <c r="E7" s="1023">
        <f ca="1">IF(F7&lt;B2,"已过期",2002110030)</f>
        <v>2002110030</v>
      </c>
      <c r="F7" s="1031">
        <v>46387</v>
      </c>
    </row>
    <row r="8" spans="1:6" ht="24" customHeight="1">
      <c r="A8" s="1703" t="s">
        <v>836</v>
      </c>
      <c r="B8" s="1023">
        <f ca="1">IF(C8&lt;B2,"已过期",1120000080)</f>
        <v>1120000080</v>
      </c>
      <c r="C8" s="2344">
        <v>43849</v>
      </c>
      <c r="D8" s="2347" t="s">
        <v>836</v>
      </c>
      <c r="E8" s="1023">
        <f ca="1">IF(F8&lt;B2,"已过期",2000110082)</f>
        <v>2000110082</v>
      </c>
      <c r="F8" s="1031">
        <v>46387</v>
      </c>
    </row>
    <row r="9" spans="1:6" ht="24" customHeight="1">
      <c r="A9" s="1703" t="s">
        <v>837</v>
      </c>
      <c r="B9" s="1023">
        <f ca="1">IF(C9&lt;B2,"已过期",1419970001)</f>
        <v>1419970001</v>
      </c>
      <c r="C9" s="2344">
        <v>43867</v>
      </c>
      <c r="D9" s="2347" t="s">
        <v>837</v>
      </c>
      <c r="E9" s="1023">
        <f ca="1">IF(F9&lt;B2,"已过期",2002110125)</f>
        <v>2002110125</v>
      </c>
      <c r="F9" s="1031">
        <v>47118</v>
      </c>
    </row>
    <row r="10" spans="1:6" ht="24" customHeight="1">
      <c r="A10" s="1703" t="s">
        <v>838</v>
      </c>
      <c r="B10" s="1023">
        <f ca="1">IF(C10&lt;B2,"已过期",1120060040)</f>
        <v>1120060040</v>
      </c>
      <c r="C10" s="2344">
        <v>43483</v>
      </c>
      <c r="D10" s="2347" t="s">
        <v>838</v>
      </c>
      <c r="E10" s="1023">
        <f ca="1">IF(F10&lt;B2,"已过期",2004110096)</f>
        <v>2004110096</v>
      </c>
      <c r="F10" s="1031">
        <v>47118</v>
      </c>
    </row>
    <row r="11" spans="1:6" ht="24" customHeight="1">
      <c r="A11" s="1703" t="s">
        <v>839</v>
      </c>
      <c r="B11" s="1023">
        <f ca="1">IF(C11&lt;B2,"已过期",1120100036)</f>
        <v>1120100036</v>
      </c>
      <c r="C11" s="2344">
        <v>43622</v>
      </c>
      <c r="D11" s="2347" t="s">
        <v>839</v>
      </c>
      <c r="E11" s="1023">
        <f ca="1">IF(F11&lt;B2,"已过期",2010110070)</f>
        <v>2010110070</v>
      </c>
      <c r="F11" s="1031">
        <v>47907</v>
      </c>
    </row>
    <row r="12" spans="1:6" ht="24" customHeight="1">
      <c r="A12" s="1703"/>
      <c r="B12" s="1023"/>
      <c r="C12" s="2344"/>
      <c r="D12" s="2347"/>
      <c r="E12" s="1023"/>
      <c r="F12" s="1023"/>
    </row>
    <row r="13" spans="1:6" ht="24" customHeight="1">
      <c r="A13" s="1703" t="s">
        <v>840</v>
      </c>
      <c r="B13" s="1023">
        <f ca="1">IF(C13&lt;B2,"已过期",1120070131)</f>
        <v>1120070131</v>
      </c>
      <c r="C13" s="2344">
        <v>43814</v>
      </c>
      <c r="D13" s="2347" t="s">
        <v>840</v>
      </c>
      <c r="E13" s="1023">
        <v>2014110011</v>
      </c>
      <c r="F13" s="1031">
        <v>49302</v>
      </c>
    </row>
    <row r="14" spans="1:6" ht="24" customHeight="1">
      <c r="A14" s="1703" t="s">
        <v>841</v>
      </c>
      <c r="B14" s="1023">
        <f ca="1">IF(C14&lt;B2,"已过期",1120130020)</f>
        <v>1120130020</v>
      </c>
      <c r="C14" s="2344">
        <v>43622</v>
      </c>
      <c r="D14" s="2347"/>
      <c r="E14" s="1023"/>
      <c r="F14" s="1023"/>
    </row>
    <row r="15" spans="1:6" ht="24" customHeight="1">
      <c r="A15" s="1704" t="s">
        <v>1149</v>
      </c>
      <c r="B15" s="1023">
        <v>1120070085</v>
      </c>
      <c r="C15" s="2344">
        <v>43814</v>
      </c>
      <c r="D15" s="2348" t="s">
        <v>1149</v>
      </c>
      <c r="E15" s="1023">
        <v>2004110128</v>
      </c>
      <c r="F15" s="1024">
        <v>47118</v>
      </c>
    </row>
    <row r="16" spans="1:6" ht="24" customHeight="1">
      <c r="A16" s="1703" t="s">
        <v>842</v>
      </c>
      <c r="B16" s="1023">
        <f ca="1">IF(C16&lt;B2,"已过期",1120140022)</f>
        <v>1120140022</v>
      </c>
      <c r="C16" s="2344">
        <v>44029</v>
      </c>
      <c r="D16" s="2347" t="s">
        <v>842</v>
      </c>
      <c r="E16" s="1023">
        <f ca="1">IF(F16&lt;B2,"已过期",2008110059)</f>
        <v>2008110059</v>
      </c>
      <c r="F16" s="1031">
        <v>47177</v>
      </c>
    </row>
    <row r="17" spans="1:7" ht="24" customHeight="1">
      <c r="A17" s="1703"/>
      <c r="B17" s="1023"/>
      <c r="C17" s="2344"/>
      <c r="D17" s="2347"/>
      <c r="E17" s="1023"/>
      <c r="F17" s="1031"/>
    </row>
    <row r="18" spans="1:7" ht="24" customHeight="1">
      <c r="A18" s="1703"/>
      <c r="B18" s="1023"/>
      <c r="C18" s="2344"/>
      <c r="D18" s="2347"/>
      <c r="E18" s="1023"/>
      <c r="F18" s="1031"/>
    </row>
    <row r="19" spans="1:7" ht="24" customHeight="1">
      <c r="A19" s="1703"/>
      <c r="B19" s="1023"/>
      <c r="C19" s="2344"/>
      <c r="D19" s="2347"/>
      <c r="E19" s="1023"/>
      <c r="F19" s="1023"/>
    </row>
    <row r="20" spans="1:7" ht="24" customHeight="1">
      <c r="A20" s="1703"/>
      <c r="B20" s="1023"/>
      <c r="C20" s="2344"/>
      <c r="D20" s="2347"/>
      <c r="E20" s="1023"/>
      <c r="F20" s="1023"/>
    </row>
    <row r="21" spans="1:7" ht="24" customHeight="1">
      <c r="A21" s="1703"/>
      <c r="B21" s="1023"/>
      <c r="C21" s="2344"/>
      <c r="D21" s="2347" t="s">
        <v>843</v>
      </c>
      <c r="E21" s="1023">
        <f ca="1">IF(F21&lt;B2,"已过期",2011110090)</f>
        <v>2011110090</v>
      </c>
      <c r="F21" s="1031">
        <v>48302</v>
      </c>
    </row>
    <row r="22" spans="1:7" ht="24" customHeight="1">
      <c r="A22" s="1703" t="s">
        <v>844</v>
      </c>
      <c r="B22" s="1023">
        <f ca="1">IF(C22&lt;B2,"已过期",1120020033)</f>
        <v>1120020033</v>
      </c>
      <c r="C22" s="2344">
        <v>43304</v>
      </c>
      <c r="D22" s="2347" t="s">
        <v>844</v>
      </c>
      <c r="E22" s="1023">
        <f ca="1">IF(F22&lt;B2,"已过期",2000110137)</f>
        <v>2000110137</v>
      </c>
      <c r="F22" s="1031">
        <v>46387</v>
      </c>
    </row>
    <row r="23" spans="1:7" ht="24" customHeight="1">
      <c r="A23" s="1703" t="s">
        <v>845</v>
      </c>
      <c r="B23" s="1023">
        <f ca="1">IF(C23&lt;B2,"已过期",1120130048)</f>
        <v>1120130048</v>
      </c>
      <c r="C23" s="2344">
        <v>43686</v>
      </c>
      <c r="D23" s="2347"/>
      <c r="E23" s="1023"/>
      <c r="F23" s="1023"/>
    </row>
    <row r="24" spans="1:7" s="1025" customFormat="1" ht="24" customHeight="1">
      <c r="A24" s="1704" t="s">
        <v>1334</v>
      </c>
      <c r="B24" s="1704" t="s">
        <v>1334</v>
      </c>
      <c r="C24" s="2345" t="s">
        <v>1334</v>
      </c>
      <c r="D24" s="2348" t="s">
        <v>1334</v>
      </c>
      <c r="E24" s="1704" t="s">
        <v>1334</v>
      </c>
      <c r="F24" s="1704" t="s">
        <v>1334</v>
      </c>
    </row>
    <row r="25" spans="1:7" ht="24" customHeight="1">
      <c r="A25" s="2985" t="s">
        <v>846</v>
      </c>
      <c r="B25" s="2985"/>
      <c r="C25" s="2985"/>
      <c r="D25" s="2985"/>
      <c r="E25" s="2985"/>
      <c r="F25" s="2985"/>
      <c r="G25" s="2985"/>
    </row>
    <row r="26" spans="1:7" s="1026" customFormat="1" ht="24" customHeight="1">
      <c r="A26" s="2986" t="s">
        <v>847</v>
      </c>
      <c r="B26" s="2986"/>
      <c r="C26" s="2987"/>
      <c r="D26" s="2988" t="s">
        <v>848</v>
      </c>
      <c r="E26" s="2986"/>
      <c r="F26" s="2986"/>
    </row>
    <row r="27" spans="1:7" s="1028" customFormat="1" ht="24" customHeight="1">
      <c r="A27" s="1027" t="s">
        <v>849</v>
      </c>
      <c r="B27" s="1022" t="s">
        <v>850</v>
      </c>
      <c r="C27" s="2343" t="s">
        <v>851</v>
      </c>
      <c r="D27" s="2351" t="s">
        <v>849</v>
      </c>
      <c r="E27" s="1022" t="s">
        <v>850</v>
      </c>
      <c r="F27" s="1022" t="s">
        <v>851</v>
      </c>
    </row>
    <row r="28" spans="1:7" s="1028" customFormat="1" ht="24" customHeight="1">
      <c r="A28" s="1029" t="s">
        <v>852</v>
      </c>
      <c r="B28" s="1030" t="s">
        <v>853</v>
      </c>
      <c r="C28" s="2349">
        <v>43725</v>
      </c>
      <c r="D28" s="2352" t="s">
        <v>854</v>
      </c>
      <c r="E28" s="1029" t="s">
        <v>855</v>
      </c>
      <c r="F28" s="1059">
        <v>44377</v>
      </c>
    </row>
    <row r="29" spans="1:7" s="1028" customFormat="1" ht="24" customHeight="1">
      <c r="A29" s="1029"/>
      <c r="B29" s="1029"/>
      <c r="C29" s="2350"/>
      <c r="D29" s="2352" t="s">
        <v>856</v>
      </c>
      <c r="E29" s="1202" t="s">
        <v>1385</v>
      </c>
      <c r="F29" s="1203">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2017-10-23T07:27:46Z</dcterms:modified>
</cp:coreProperties>
</file>