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2"/>
  <workbookPr codeName="ThisWorkbook" defaultThemeVersion="124226"/>
  <mc:AlternateContent xmlns:mc="http://schemas.openxmlformats.org/markup-compatibility/2006">
    <mc:Choice Requires="x15">
      <x15ac:absPath xmlns:x15ac="http://schemas.microsoft.com/office/spreadsheetml/2010/11/ac" url="/Volumes/KINGSTON 1/cc 疫/亦庄共有产权/2019-1-0130北京经济技术开发区河西区X90R1、X90S1地块共有产权住房项目/F03专家意见/"/>
    </mc:Choice>
  </mc:AlternateContent>
  <xr:revisionPtr revIDLastSave="0" documentId="8_{4D938708-28B9-1149-8E18-4BDBCC9A26FA}" xr6:coauthVersionLast="45" xr6:coauthVersionMax="45" xr10:uidLastSave="{00000000-0000-0000-0000-000000000000}"/>
  <bookViews>
    <workbookView xWindow="10400" yWindow="460" windowWidth="17040" windowHeight="16440" tabRatio="899" firstSheet="5"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北京统计局2019年住宅销售价格环比指数" sheetId="83"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7" r:id="rId46"/>
    <sheet name="金麟府数据" sheetId="79" r:id="rId47"/>
    <sheet name="中国铁建国际公馆" sheetId="80" r:id="rId48"/>
    <sheet name="金麟府分户" sheetId="81" r:id="rId49"/>
    <sheet name="金麟府分户 (80-90)" sheetId="82" r:id="rId50"/>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8" hidden="1">金麟府分户!$A$1:$J$249</definedName>
    <definedName name="_xlnm._FilterDatabase" localSheetId="49" hidden="1">'金麟府分户 (80-90)'!$A$1:$J$147</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 i="83" l="1"/>
  <c r="G1" i="83" s="1"/>
  <c r="G3" i="83" s="1"/>
  <c r="F1" i="83" l="1"/>
  <c r="E127" i="21"/>
  <c r="D127" i="21"/>
  <c r="E44" i="21" l="1"/>
  <c r="H147" i="82" l="1"/>
  <c r="I147" i="82"/>
  <c r="I146" i="82"/>
  <c r="J146" i="82"/>
  <c r="H146" i="82"/>
  <c r="J147" i="82" l="1"/>
  <c r="E23" i="79"/>
  <c r="C23" i="79"/>
  <c r="B23" i="79"/>
  <c r="D23" i="79" l="1"/>
  <c r="P3" i="77"/>
  <c r="I13" i="3" l="1"/>
  <c r="F19" i="6" s="1"/>
  <c r="I27" i="21" l="1"/>
  <c r="I44" i="21"/>
  <c r="G44" i="21" s="1"/>
  <c r="G27" i="21"/>
  <c r="E27" i="21"/>
  <c r="C27" i="21"/>
  <c r="C45" i="21"/>
  <c r="E45" i="21" s="1"/>
  <c r="C41" i="21"/>
  <c r="I41" i="21" s="1"/>
  <c r="I45" i="21" l="1"/>
  <c r="G41" i="21"/>
  <c r="E41" i="21"/>
  <c r="C6" i="21"/>
  <c r="D3" i="4" l="1"/>
  <c r="AH5" i="71" l="1"/>
  <c r="AG5" i="71"/>
  <c r="AE5" i="71"/>
  <c r="AF5" i="71" s="1"/>
  <c r="AD5" i="71"/>
  <c r="Q5" i="71"/>
  <c r="Q6" i="71"/>
  <c r="P5" i="71"/>
  <c r="P6" i="71"/>
  <c r="O5" i="71"/>
  <c r="O6" i="71"/>
  <c r="N5" i="71"/>
  <c r="N6" i="71"/>
  <c r="AH6" i="71"/>
  <c r="AG6" i="71"/>
  <c r="AE6" i="71"/>
  <c r="AF6" i="71" s="1"/>
  <c r="AD6" i="71"/>
  <c r="Q7" i="71"/>
  <c r="Q8" i="71"/>
  <c r="P7" i="71"/>
  <c r="P8" i="71"/>
  <c r="O7" i="71"/>
  <c r="O8" i="71"/>
  <c r="N7" i="71"/>
  <c r="N8" i="71"/>
  <c r="AH7" i="71"/>
  <c r="AG7" i="71"/>
  <c r="AE7" i="71"/>
  <c r="AF7" i="71" s="1"/>
  <c r="AD7" i="71"/>
  <c r="F24" i="12"/>
  <c r="F7" i="69"/>
  <c r="F7" i="68"/>
  <c r="M15" i="45"/>
  <c r="L15" i="45"/>
  <c r="K15" i="45"/>
  <c r="J15" i="45"/>
  <c r="I15" i="45"/>
  <c r="H15" i="45"/>
  <c r="G15" i="45"/>
  <c r="F15" i="45"/>
  <c r="E15" i="45"/>
  <c r="D15" i="45"/>
  <c r="C15" i="45"/>
  <c r="B15" i="45"/>
  <c r="AH8" i="71"/>
  <c r="AG8" i="71"/>
  <c r="AE8" i="71"/>
  <c r="AF8" i="71" s="1"/>
  <c r="AD8" i="71"/>
  <c r="AD9" i="71"/>
  <c r="AH9" i="71"/>
  <c r="AG9" i="71"/>
  <c r="AE9" i="71"/>
  <c r="AF9" i="71" s="1"/>
  <c r="Q9" i="71"/>
  <c r="P9" i="71"/>
  <c r="O9" i="71"/>
  <c r="N9" i="71"/>
  <c r="L3" i="71"/>
  <c r="AH3" i="71" s="1"/>
  <c r="K3" i="71"/>
  <c r="AG3" i="71" s="1"/>
  <c r="J3" i="71"/>
  <c r="AE3" i="71" s="1"/>
  <c r="I3" i="71"/>
  <c r="AH10" i="71"/>
  <c r="AG10" i="71"/>
  <c r="AE10" i="71"/>
  <c r="AF10" i="71"/>
  <c r="AD10" i="71"/>
  <c r="Q10" i="71"/>
  <c r="Q11" i="71"/>
  <c r="P10" i="71"/>
  <c r="P11" i="71"/>
  <c r="O10" i="71"/>
  <c r="O11" i="71"/>
  <c r="N10" i="71"/>
  <c r="N11" i="71"/>
  <c r="N12" i="71"/>
  <c r="AH11" i="71"/>
  <c r="AG11" i="71"/>
  <c r="AE11" i="71"/>
  <c r="AF11" i="71"/>
  <c r="AD11" i="71"/>
  <c r="Q12" i="71"/>
  <c r="P12" i="71"/>
  <c r="O12" i="71"/>
  <c r="M19" i="43"/>
  <c r="D14" i="71"/>
  <c r="AH12" i="71"/>
  <c r="AG12" i="71"/>
  <c r="AE12" i="71"/>
  <c r="AF12" i="71" s="1"/>
  <c r="AD12" i="71"/>
  <c r="AD13" i="71"/>
  <c r="AG13" i="71"/>
  <c r="AH13" i="71"/>
  <c r="AE13" i="71"/>
  <c r="AF13" i="71" s="1"/>
  <c r="N13" i="71"/>
  <c r="Q13" i="71"/>
  <c r="F13" i="71" s="1"/>
  <c r="F12" i="71" s="1"/>
  <c r="F11" i="71" s="1"/>
  <c r="P13" i="71"/>
  <c r="E13" i="71" s="1"/>
  <c r="O13" i="71"/>
  <c r="Q14" i="71"/>
  <c r="P14" i="71"/>
  <c r="O14" i="71"/>
  <c r="N14" i="71"/>
  <c r="A2" i="53"/>
  <c r="K59" i="67"/>
  <c r="P74" i="67" s="1"/>
  <c r="K59" i="15"/>
  <c r="P61" i="15" s="1"/>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5" i="71"/>
  <c r="P15" i="71"/>
  <c r="O15" i="71"/>
  <c r="N15"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C1" i="73"/>
  <c r="L1" i="73" s="1"/>
  <c r="B74" i="72"/>
  <c r="Y12" i="43"/>
  <c r="Y10" i="43"/>
  <c r="AJ9" i="43"/>
  <c r="AJ12" i="43" s="1"/>
  <c r="AI9" i="43"/>
  <c r="AI12" i="43" s="1"/>
  <c r="AH9" i="43"/>
  <c r="AH10" i="43" s="1"/>
  <c r="AH12" i="43"/>
  <c r="AG9" i="43"/>
  <c r="AG10" i="43" s="1"/>
  <c r="AF9" i="43"/>
  <c r="AF10" i="43" s="1"/>
  <c r="AE9" i="43"/>
  <c r="AE12" i="43" s="1"/>
  <c r="AD9" i="43"/>
  <c r="AD12" i="43" s="1"/>
  <c r="AC9" i="43"/>
  <c r="AC10" i="43" s="1"/>
  <c r="AB9" i="43"/>
  <c r="AB10" i="43" s="1"/>
  <c r="AA9" i="43"/>
  <c r="AA10" i="43" s="1"/>
  <c r="Z9" i="43"/>
  <c r="Z10" i="43" s="1"/>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s="1"/>
  <c r="I19" i="43"/>
  <c r="D78" i="71"/>
  <c r="F77" i="71"/>
  <c r="F76" i="71" s="1"/>
  <c r="F75" i="71" s="1"/>
  <c r="E77" i="71"/>
  <c r="E76" i="71"/>
  <c r="E75" i="71" s="1"/>
  <c r="C77" i="71"/>
  <c r="D77" i="71" s="1"/>
  <c r="B77" i="71"/>
  <c r="B76" i="71" s="1"/>
  <c r="B75" i="71"/>
  <c r="D74" i="71"/>
  <c r="F73" i="71"/>
  <c r="F72" i="71" s="1"/>
  <c r="F71" i="71" s="1"/>
  <c r="E73" i="71"/>
  <c r="E72" i="71" s="1"/>
  <c r="E71" i="71" s="1"/>
  <c r="C73" i="71"/>
  <c r="D73" i="71" s="1"/>
  <c r="B73" i="71"/>
  <c r="B72" i="71" s="1"/>
  <c r="B71" i="71" s="1"/>
  <c r="D70" i="71"/>
  <c r="Q69" i="71"/>
  <c r="P69" i="71"/>
  <c r="O69" i="71"/>
  <c r="N69" i="71"/>
  <c r="F69" i="71"/>
  <c r="V69" i="71" s="1"/>
  <c r="E69" i="71"/>
  <c r="U69" i="71" s="1"/>
  <c r="C69" i="71"/>
  <c r="T69" i="71" s="1"/>
  <c r="B69" i="71"/>
  <c r="S69" i="71" s="1"/>
  <c r="Q68" i="71"/>
  <c r="P68" i="71"/>
  <c r="O68" i="71"/>
  <c r="N68" i="71"/>
  <c r="Q67" i="71"/>
  <c r="P67" i="71"/>
  <c r="O67" i="71"/>
  <c r="N67" i="71"/>
  <c r="Q66" i="71"/>
  <c r="P66" i="71"/>
  <c r="O66" i="71"/>
  <c r="N66" i="71"/>
  <c r="D66" i="71"/>
  <c r="Q65" i="71"/>
  <c r="P65" i="71"/>
  <c r="O65" i="71"/>
  <c r="N65" i="71"/>
  <c r="F65" i="71"/>
  <c r="V65" i="71" s="1"/>
  <c r="E65" i="71"/>
  <c r="E64" i="71" s="1"/>
  <c r="E63" i="71" s="1"/>
  <c r="U65" i="71"/>
  <c r="C65" i="71"/>
  <c r="T65" i="71" s="1"/>
  <c r="B65" i="71"/>
  <c r="S65" i="71"/>
  <c r="Q64" i="71"/>
  <c r="P64" i="71"/>
  <c r="O64" i="71"/>
  <c r="N64" i="71"/>
  <c r="F64" i="71"/>
  <c r="F63" i="71" s="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Q59" i="71"/>
  <c r="P59" i="71"/>
  <c r="O59" i="71"/>
  <c r="N59" i="71"/>
  <c r="Q58" i="71"/>
  <c r="P58" i="71"/>
  <c r="O58" i="71"/>
  <c r="N58" i="71"/>
  <c r="D58" i="71"/>
  <c r="F57" i="71"/>
  <c r="F56" i="71" s="1"/>
  <c r="E57" i="71"/>
  <c r="U57" i="71" s="1"/>
  <c r="C57" i="71"/>
  <c r="T57" i="71" s="1"/>
  <c r="B57" i="71"/>
  <c r="D54" i="71"/>
  <c r="Q53" i="71"/>
  <c r="P53" i="71"/>
  <c r="O53" i="71"/>
  <c r="N53" i="71"/>
  <c r="Q52" i="71"/>
  <c r="P52" i="71"/>
  <c r="O52" i="71"/>
  <c r="N52" i="71"/>
  <c r="Q51" i="71"/>
  <c r="P51" i="71"/>
  <c r="O51" i="71"/>
  <c r="N51" i="71"/>
  <c r="Q50" i="71"/>
  <c r="F51" i="71" s="1"/>
  <c r="F52" i="71" s="1"/>
  <c r="F53" i="71" s="1"/>
  <c r="V53" i="71" s="1"/>
  <c r="P50" i="71"/>
  <c r="E51" i="71" s="1"/>
  <c r="O50" i="71"/>
  <c r="C51" i="71" s="1"/>
  <c r="D51" i="71" s="1"/>
  <c r="N50" i="71"/>
  <c r="B51" i="71" s="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N46" i="71"/>
  <c r="B47" i="71" s="1"/>
  <c r="B48" i="71" s="1"/>
  <c r="B49" i="71" s="1"/>
  <c r="S49" i="71" s="1"/>
  <c r="D46" i="71"/>
  <c r="Q45" i="71"/>
  <c r="P45" i="71"/>
  <c r="O45" i="71"/>
  <c r="N45" i="71"/>
  <c r="Q44" i="71"/>
  <c r="P44" i="71"/>
  <c r="O44" i="71"/>
  <c r="N44" i="71"/>
  <c r="Q43" i="71"/>
  <c r="P43" i="71"/>
  <c r="O43" i="71"/>
  <c r="N43" i="71"/>
  <c r="Q42" i="71"/>
  <c r="F43" i="71" s="1"/>
  <c r="P42" i="71"/>
  <c r="E43" i="71" s="1"/>
  <c r="O42" i="71"/>
  <c r="C43" i="71" s="1"/>
  <c r="N42" i="71"/>
  <c r="B43" i="71" s="1"/>
  <c r="D42" i="71"/>
  <c r="Q41" i="71"/>
  <c r="P41" i="71"/>
  <c r="O41" i="71"/>
  <c r="N41" i="71"/>
  <c r="Q40" i="71"/>
  <c r="P40" i="71"/>
  <c r="O40" i="71"/>
  <c r="N40" i="71"/>
  <c r="Q39" i="71"/>
  <c r="P39" i="71"/>
  <c r="O39" i="71"/>
  <c r="N39" i="71"/>
  <c r="Q38" i="71"/>
  <c r="F39" i="71" s="1"/>
  <c r="P38" i="71"/>
  <c r="E39" i="71" s="1"/>
  <c r="E40" i="71" s="1"/>
  <c r="O38" i="71"/>
  <c r="C39" i="71" s="1"/>
  <c r="N38" i="71"/>
  <c r="B39" i="71" s="1"/>
  <c r="B40" i="71" s="1"/>
  <c r="B41" i="71" s="1"/>
  <c r="S41" i="71" s="1"/>
  <c r="D38" i="71"/>
  <c r="T37" i="71"/>
  <c r="Q37" i="71"/>
  <c r="P37" i="71"/>
  <c r="O37" i="71"/>
  <c r="N37" i="71"/>
  <c r="D37" i="71"/>
  <c r="Q36" i="71"/>
  <c r="P36" i="71"/>
  <c r="O36" i="71"/>
  <c r="N36" i="71"/>
  <c r="Q35" i="71"/>
  <c r="P35" i="71"/>
  <c r="O35" i="71"/>
  <c r="N35" i="71"/>
  <c r="Q34" i="71"/>
  <c r="F35" i="71" s="1"/>
  <c r="P34" i="71"/>
  <c r="E35" i="71"/>
  <c r="E36" i="71" s="1"/>
  <c r="O34" i="71"/>
  <c r="C35" i="71" s="1"/>
  <c r="N34" i="71"/>
  <c r="B35" i="71" s="1"/>
  <c r="B36"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D30" i="71"/>
  <c r="Q29" i="71"/>
  <c r="P29" i="71"/>
  <c r="O29" i="71"/>
  <c r="N29" i="71"/>
  <c r="Q28" i="71"/>
  <c r="AB26" i="71" s="1"/>
  <c r="P28" i="71"/>
  <c r="AA28" i="71" s="1"/>
  <c r="O28" i="71"/>
  <c r="Y28" i="71" s="1"/>
  <c r="Z28" i="71" s="1"/>
  <c r="N28" i="71"/>
  <c r="X28" i="71" s="1"/>
  <c r="Q27" i="71"/>
  <c r="P27" i="71"/>
  <c r="O27" i="71"/>
  <c r="N27" i="71"/>
  <c r="Q26" i="71"/>
  <c r="F27" i="71" s="1"/>
  <c r="F28" i="71" s="1"/>
  <c r="P26" i="71"/>
  <c r="E27" i="71" s="1"/>
  <c r="E28" i="71" s="1"/>
  <c r="E29" i="71" s="1"/>
  <c r="U29" i="71" s="1"/>
  <c r="O26" i="71"/>
  <c r="C27" i="71" s="1"/>
  <c r="N26" i="71"/>
  <c r="X26" i="71" s="1"/>
  <c r="D26" i="71"/>
  <c r="Q25" i="71"/>
  <c r="P25" i="71"/>
  <c r="O25" i="71"/>
  <c r="N25" i="71"/>
  <c r="Q24" i="71"/>
  <c r="P24" i="71"/>
  <c r="O24" i="71"/>
  <c r="N24" i="71"/>
  <c r="Q23" i="71"/>
  <c r="AB23" i="71" s="1"/>
  <c r="P23" i="71"/>
  <c r="O23" i="71"/>
  <c r="N23" i="71"/>
  <c r="Q22" i="71"/>
  <c r="F23" i="71" s="1"/>
  <c r="P22" i="71"/>
  <c r="O22" i="71"/>
  <c r="Y22" i="71" s="1"/>
  <c r="Z22" i="71" s="1"/>
  <c r="N22" i="71"/>
  <c r="D22" i="71"/>
  <c r="Q21" i="71"/>
  <c r="P21" i="71"/>
  <c r="O21" i="71"/>
  <c r="Y21" i="71" s="1"/>
  <c r="Z21" i="71" s="1"/>
  <c r="N21" i="71"/>
  <c r="Q20" i="71"/>
  <c r="P20" i="71"/>
  <c r="O20" i="71"/>
  <c r="N20" i="71"/>
  <c r="X19" i="71" s="1"/>
  <c r="Q19" i="71"/>
  <c r="P19" i="71"/>
  <c r="O19" i="71"/>
  <c r="N19" i="71"/>
  <c r="Q18" i="71"/>
  <c r="F19" i="71" s="1"/>
  <c r="F20" i="71" s="1"/>
  <c r="P18" i="71"/>
  <c r="O18" i="71"/>
  <c r="N18" i="71"/>
  <c r="D18" i="71"/>
  <c r="O17" i="71"/>
  <c r="N17" i="71"/>
  <c r="B17" i="71" s="1"/>
  <c r="B19" i="71"/>
  <c r="B20" i="71" s="1"/>
  <c r="B21" i="71" s="1"/>
  <c r="S21" i="71" s="1"/>
  <c r="E19" i="71"/>
  <c r="E20" i="71" s="1"/>
  <c r="E21" i="71" s="1"/>
  <c r="U21" i="71" s="1"/>
  <c r="B23" i="71"/>
  <c r="B24" i="71"/>
  <c r="B25" i="71" s="1"/>
  <c r="S25" i="71" s="1"/>
  <c r="N57" i="71"/>
  <c r="E23" i="71"/>
  <c r="C19" i="71"/>
  <c r="D19" i="71" s="1"/>
  <c r="X21" i="71"/>
  <c r="X27" i="71"/>
  <c r="C17" i="71"/>
  <c r="C16" i="71" s="1"/>
  <c r="X14" i="71"/>
  <c r="P17" i="71"/>
  <c r="Q17" i="71"/>
  <c r="C44" i="71"/>
  <c r="D44" i="71" s="1"/>
  <c r="D43" i="71"/>
  <c r="D47" i="71"/>
  <c r="C56" i="71"/>
  <c r="O56" i="71" s="1"/>
  <c r="Q57" i="71"/>
  <c r="C60" i="71"/>
  <c r="D60" i="71" s="1"/>
  <c r="E60" i="71"/>
  <c r="E59" i="71" s="1"/>
  <c r="D65" i="71"/>
  <c r="E68" i="71"/>
  <c r="E67" i="71" s="1"/>
  <c r="C72" i="71"/>
  <c r="D72" i="71" s="1"/>
  <c r="C76" i="71"/>
  <c r="D76" i="71" s="1"/>
  <c r="F17" i="71"/>
  <c r="F16" i="71" s="1"/>
  <c r="F15" i="71" s="1"/>
  <c r="E17" i="71"/>
  <c r="E16" i="71" s="1"/>
  <c r="E15" i="71" s="1"/>
  <c r="D17" i="71"/>
  <c r="D56" i="71"/>
  <c r="C59" i="71"/>
  <c r="D59"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c r="A11" i="70"/>
  <c r="E11" i="70"/>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G20" i="20"/>
  <c r="C25" i="40" s="1"/>
  <c r="C22" i="20"/>
  <c r="B66" i="43" s="1"/>
  <c r="B75" i="43"/>
  <c r="S18" i="36"/>
  <c r="H25" i="40"/>
  <c r="J25" i="40"/>
  <c r="AC25" i="40" s="1"/>
  <c r="H29" i="39"/>
  <c r="J29" i="39"/>
  <c r="W29" i="39" s="1"/>
  <c r="J18" i="36"/>
  <c r="W18" i="36" s="1"/>
  <c r="H18" i="35"/>
  <c r="U18" i="35" s="1"/>
  <c r="J18" i="35"/>
  <c r="AC18" i="35" s="1"/>
  <c r="H21" i="37"/>
  <c r="AB21" i="37" s="1"/>
  <c r="F21" i="37"/>
  <c r="S21" i="37" s="1"/>
  <c r="H21" i="34"/>
  <c r="U21" i="34" s="1"/>
  <c r="H21" i="33"/>
  <c r="U21" i="33" s="1"/>
  <c r="F21" i="33"/>
  <c r="AA21" i="33" s="1"/>
  <c r="H1" i="69"/>
  <c r="AB25" i="40"/>
  <c r="U25" i="40"/>
  <c r="AB29" i="39"/>
  <c r="U29" i="39"/>
  <c r="AC18" i="36"/>
  <c r="AA21" i="37"/>
  <c r="W18" i="35"/>
  <c r="J21" i="37"/>
  <c r="AC21" i="37" s="1"/>
  <c r="J21" i="34"/>
  <c r="AC21" i="34" s="1"/>
  <c r="J21" i="33"/>
  <c r="AC21" i="33" s="1"/>
  <c r="H21" i="21"/>
  <c r="F38" i="69"/>
  <c r="E37" i="69"/>
  <c r="F36" i="69"/>
  <c r="F35" i="69"/>
  <c r="F21" i="69"/>
  <c r="C40" i="69" s="1"/>
  <c r="F20" i="69"/>
  <c r="E10" i="69"/>
  <c r="E9" i="69"/>
  <c r="C7" i="69"/>
  <c r="J21" i="21"/>
  <c r="W21" i="21" s="1"/>
  <c r="F38" i="68"/>
  <c r="E37" i="68"/>
  <c r="F36" i="68"/>
  <c r="F35" i="68"/>
  <c r="F21" i="68"/>
  <c r="C40" i="68" s="1"/>
  <c r="F20" i="68"/>
  <c r="E10" i="68"/>
  <c r="E9" i="68"/>
  <c r="C7" i="68"/>
  <c r="C5" i="68" s="1"/>
  <c r="Q72" i="67"/>
  <c r="Q59" i="67"/>
  <c r="Q58" i="67"/>
  <c r="Q51" i="67"/>
  <c r="J50" i="67"/>
  <c r="M47" i="67"/>
  <c r="D46" i="67"/>
  <c r="F33" i="67"/>
  <c r="F61" i="67" s="1"/>
  <c r="F23" i="67"/>
  <c r="F21" i="67"/>
  <c r="F20" i="67"/>
  <c r="M19" i="67"/>
  <c r="F18" i="67"/>
  <c r="F17" i="67"/>
  <c r="F15" i="67"/>
  <c r="S2" i="4"/>
  <c r="C51" i="10" s="1"/>
  <c r="A13" i="51"/>
  <c r="B11" i="72" s="1"/>
  <c r="S1" i="4"/>
  <c r="B1" i="4"/>
  <c r="C31" i="66"/>
  <c r="C27" i="66"/>
  <c r="C32" i="66" s="1"/>
  <c r="I23" i="66"/>
  <c r="D20" i="66"/>
  <c r="I19" i="66"/>
  <c r="I18" i="66"/>
  <c r="I17" i="66"/>
  <c r="I20" i="66"/>
  <c r="E15" i="66"/>
  <c r="I14" i="66"/>
  <c r="I13" i="66"/>
  <c r="I12" i="66"/>
  <c r="I9" i="66"/>
  <c r="I8" i="66"/>
  <c r="I7" i="66"/>
  <c r="I6" i="66"/>
  <c r="I5" i="66"/>
  <c r="I4" i="66"/>
  <c r="I3" i="66"/>
  <c r="D1" i="43"/>
  <c r="F113" i="43"/>
  <c r="N99" i="43"/>
  <c r="N108" i="43" s="1"/>
  <c r="D99" i="43"/>
  <c r="D100" i="43" s="1"/>
  <c r="E99" i="43"/>
  <c r="E100" i="43" s="1"/>
  <c r="F99" i="43"/>
  <c r="F108" i="43" s="1"/>
  <c r="G99" i="43"/>
  <c r="G108" i="43" s="1"/>
  <c r="H99" i="43"/>
  <c r="H108" i="43" s="1"/>
  <c r="I99" i="43"/>
  <c r="I100" i="43" s="1"/>
  <c r="J99" i="43"/>
  <c r="J108" i="43" s="1"/>
  <c r="K99" i="43"/>
  <c r="K100" i="43" s="1"/>
  <c r="L99" i="43"/>
  <c r="L108" i="43" s="1"/>
  <c r="M99" i="43"/>
  <c r="M100" i="43" s="1"/>
  <c r="C99" i="43"/>
  <c r="C108" i="43" s="1"/>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c r="M86" i="43"/>
  <c r="N86" i="43" s="1"/>
  <c r="K86" i="43"/>
  <c r="J86" i="43" s="1"/>
  <c r="M85" i="43"/>
  <c r="N85" i="43" s="1"/>
  <c r="K85" i="43"/>
  <c r="J85" i="43" s="1"/>
  <c r="M84" i="43"/>
  <c r="N84" i="43" s="1"/>
  <c r="K84" i="43"/>
  <c r="J84" i="43" s="1"/>
  <c r="M83" i="43"/>
  <c r="N83" i="43" s="1"/>
  <c r="K83" i="43"/>
  <c r="J83" i="43"/>
  <c r="M82" i="43"/>
  <c r="N82" i="43" s="1"/>
  <c r="K82" i="43"/>
  <c r="J82" i="43" s="1"/>
  <c r="M81" i="43"/>
  <c r="N81" i="43" s="1"/>
  <c r="K81" i="43"/>
  <c r="J81" i="43"/>
  <c r="M78" i="43"/>
  <c r="N78" i="43" s="1"/>
  <c r="K78" i="43"/>
  <c r="J78" i="43" s="1"/>
  <c r="D78" i="43"/>
  <c r="M77" i="43"/>
  <c r="N77" i="43" s="1"/>
  <c r="K77" i="43"/>
  <c r="J77" i="43" s="1"/>
  <c r="D77" i="43"/>
  <c r="M76" i="43"/>
  <c r="N76" i="43" s="1"/>
  <c r="K76" i="43"/>
  <c r="J76" i="43"/>
  <c r="D76" i="43"/>
  <c r="M75" i="43"/>
  <c r="N75" i="43" s="1"/>
  <c r="K75" i="43"/>
  <c r="J75" i="43" s="1"/>
  <c r="D75" i="43"/>
  <c r="M74" i="43"/>
  <c r="N74" i="43" s="1"/>
  <c r="K74" i="43"/>
  <c r="J74" i="43"/>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B11" i="1" s="1"/>
  <c r="E11" i="1" s="1"/>
  <c r="A12" i="1"/>
  <c r="A13" i="1"/>
  <c r="B13" i="1" s="1"/>
  <c r="E13" i="1" s="1"/>
  <c r="A6" i="1"/>
  <c r="B7" i="1"/>
  <c r="E7"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A93" i="3" s="1"/>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A77" i="3" s="1"/>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A186" i="3" s="1"/>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L174" i="3" s="1"/>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A160" i="3" s="1"/>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A212" i="3" s="1"/>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A456" i="3" s="1"/>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L428" i="3" s="1"/>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A400" i="3" s="1"/>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A494" i="3" s="1"/>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AZ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BL508" i="3" s="1"/>
  <c r="AZ508" i="3" s="1"/>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A516" i="3" s="1"/>
  <c r="BK516" i="3"/>
  <c r="BM516" i="3"/>
  <c r="BN516" i="3"/>
  <c r="BO516" i="3"/>
  <c r="BP516" i="3"/>
  <c r="BQ516" i="3"/>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H518" i="3"/>
  <c r="AC518" i="3"/>
  <c r="BB518" i="3"/>
  <c r="BC518" i="3"/>
  <c r="BD518" i="3"/>
  <c r="BE518" i="3"/>
  <c r="BA518" i="3" s="1"/>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A523" i="3" s="1"/>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A539" i="3" s="1"/>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A549" i="3" s="1"/>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A552" i="3" s="1"/>
  <c r="BF552" i="3"/>
  <c r="BG552" i="3"/>
  <c r="BH552" i="3"/>
  <c r="BI552" i="3"/>
  <c r="BJ552" i="3"/>
  <c r="BK552" i="3"/>
  <c r="BM552" i="3"/>
  <c r="BN552" i="3"/>
  <c r="BO552" i="3"/>
  <c r="BP552" i="3"/>
  <c r="BQ552" i="3"/>
  <c r="BR552" i="3"/>
  <c r="BL552"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BL558" i="3" s="1"/>
  <c r="H559" i="3"/>
  <c r="AC559" i="3"/>
  <c r="BB559" i="3"/>
  <c r="BC559" i="3"/>
  <c r="BD559" i="3"/>
  <c r="BE559" i="3"/>
  <c r="BF559" i="3"/>
  <c r="BG559" i="3"/>
  <c r="BH559" i="3"/>
  <c r="BI559" i="3"/>
  <c r="BJ559" i="3"/>
  <c r="BK559" i="3"/>
  <c r="BA559" i="3" s="1"/>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L560" i="3" s="1"/>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A566" i="3" s="1"/>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A568" i="3" s="1"/>
  <c r="BE568" i="3"/>
  <c r="BF568" i="3"/>
  <c r="BG568" i="3"/>
  <c r="BH568" i="3"/>
  <c r="BI568" i="3"/>
  <c r="BJ568" i="3"/>
  <c r="BK568" i="3"/>
  <c r="BM568" i="3"/>
  <c r="BN568" i="3"/>
  <c r="BO568" i="3"/>
  <c r="BP568" i="3"/>
  <c r="BQ568" i="3"/>
  <c r="BL568" i="3" s="1"/>
  <c r="BR568" i="3"/>
  <c r="BS568" i="3"/>
  <c r="BS5" i="3" s="1"/>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L578" i="3" s="1"/>
  <c r="BN578" i="3"/>
  <c r="BO578" i="3"/>
  <c r="BP578" i="3"/>
  <c r="BQ578" i="3"/>
  <c r="BR578" i="3"/>
  <c r="BS578" i="3"/>
  <c r="BT578" i="3"/>
  <c r="H579" i="3"/>
  <c r="AC579" i="3"/>
  <c r="BB579" i="3"/>
  <c r="BC579" i="3"/>
  <c r="BD579" i="3"/>
  <c r="BE579" i="3"/>
  <c r="BF579" i="3"/>
  <c r="BA579" i="3" s="1"/>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A582" i="3" s="1"/>
  <c r="BI582" i="3"/>
  <c r="BJ582" i="3"/>
  <c r="BK582" i="3"/>
  <c r="BM582" i="3"/>
  <c r="BN582" i="3"/>
  <c r="BO582" i="3"/>
  <c r="BP582" i="3"/>
  <c r="BQ582" i="3"/>
  <c r="BR582" i="3"/>
  <c r="BS582" i="3"/>
  <c r="BL582" i="3" s="1"/>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A584" i="3" s="1"/>
  <c r="AZ584" i="3" s="1"/>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AC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S42" i="34" s="1"/>
  <c r="J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U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s="1"/>
  <c r="Q36" i="40"/>
  <c r="Z36" i="40" s="1"/>
  <c r="Q35" i="40"/>
  <c r="Z35" i="40" s="1"/>
  <c r="Q34" i="40"/>
  <c r="Z34" i="40" s="1"/>
  <c r="J34" i="40"/>
  <c r="AC34" i="40" s="1"/>
  <c r="H34" i="40"/>
  <c r="F34" i="40"/>
  <c r="AA34" i="40" s="1"/>
  <c r="Q33" i="40"/>
  <c r="Z33" i="40" s="1"/>
  <c r="Q32" i="40"/>
  <c r="Z32" i="40"/>
  <c r="Q31" i="40"/>
  <c r="Z31" i="40" s="1"/>
  <c r="Q30" i="40"/>
  <c r="Z30" i="40" s="1"/>
  <c r="Q28" i="40"/>
  <c r="Z28" i="40" s="1"/>
  <c r="Q27" i="40"/>
  <c r="Z27" i="40"/>
  <c r="Q23" i="40"/>
  <c r="Z23" i="40" s="1"/>
  <c r="Q21" i="40"/>
  <c r="Z21" i="40" s="1"/>
  <c r="Q19" i="40"/>
  <c r="Z19" i="40"/>
  <c r="Q17" i="40"/>
  <c r="Z17" i="40" s="1"/>
  <c r="Q15" i="40"/>
  <c r="Z15" i="40" s="1"/>
  <c r="Q14" i="40"/>
  <c r="Z14" i="40" s="1"/>
  <c r="Q13" i="40"/>
  <c r="Z13" i="40" s="1"/>
  <c r="Q12" i="40"/>
  <c r="Z12" i="40"/>
  <c r="Q11" i="40"/>
  <c r="Z11" i="40" s="1"/>
  <c r="Q10" i="40"/>
  <c r="Z10" i="40" s="1"/>
  <c r="Q9" i="40"/>
  <c r="Z9" i="40" s="1"/>
  <c r="J9" i="40"/>
  <c r="W9" i="40" s="1"/>
  <c r="H9" i="40"/>
  <c r="AB9" i="40" s="1"/>
  <c r="F9" i="40"/>
  <c r="S9" i="40"/>
  <c r="J8" i="40"/>
  <c r="W8" i="40" s="1"/>
  <c r="AC8" i="40"/>
  <c r="H8" i="40"/>
  <c r="AB8" i="40" s="1"/>
  <c r="F8" i="40"/>
  <c r="AA8" i="40" s="1"/>
  <c r="J38" i="39"/>
  <c r="W38" i="39"/>
  <c r="H38" i="39"/>
  <c r="AB38" i="39" s="1"/>
  <c r="F38" i="39"/>
  <c r="AA38" i="39" s="1"/>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F44" i="39" s="1"/>
  <c r="AA44" i="39" s="1"/>
  <c r="B127" i="39"/>
  <c r="J43" i="39" s="1"/>
  <c r="D126" i="39"/>
  <c r="E126" i="39" s="1"/>
  <c r="F126" i="39" s="1"/>
  <c r="G126" i="39"/>
  <c r="H126" i="39" s="1"/>
  <c r="I126" i="39" s="1"/>
  <c r="J126" i="39" s="1"/>
  <c r="K126" i="39" s="1"/>
  <c r="L126" i="39" s="1"/>
  <c r="M126" i="39" s="1"/>
  <c r="D122" i="39"/>
  <c r="E122" i="39" s="1"/>
  <c r="F122" i="39" s="1"/>
  <c r="G122" i="39" s="1"/>
  <c r="H122" i="39" s="1"/>
  <c r="I122" i="39" s="1"/>
  <c r="J122" i="39" s="1"/>
  <c r="K122" i="39" s="1"/>
  <c r="L122" i="39" s="1"/>
  <c r="M122" i="39" s="1"/>
  <c r="H35" i="39"/>
  <c r="AB35" i="39"/>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s="1"/>
  <c r="Q35" i="39"/>
  <c r="Z35" i="39" s="1"/>
  <c r="Q34" i="39"/>
  <c r="Z34" i="39"/>
  <c r="Q32" i="39"/>
  <c r="Z32" i="39"/>
  <c r="Q31" i="39"/>
  <c r="Z31" i="39" s="1"/>
  <c r="Q27" i="39"/>
  <c r="Z27" i="39"/>
  <c r="Q25" i="39"/>
  <c r="Z25" i="39" s="1"/>
  <c r="Q23" i="39"/>
  <c r="Z23" i="39" s="1"/>
  <c r="Q21" i="39"/>
  <c r="Z21" i="39" s="1"/>
  <c r="Q19" i="39"/>
  <c r="Z19" i="39"/>
  <c r="Q17" i="39"/>
  <c r="Z17" i="39"/>
  <c r="Q15" i="39"/>
  <c r="Z15" i="39" s="1"/>
  <c r="Q14" i="39"/>
  <c r="Z14" i="39" s="1"/>
  <c r="Q13" i="39"/>
  <c r="Z13" i="39" s="1"/>
  <c r="Q12" i="39"/>
  <c r="Z12" i="39"/>
  <c r="Q11" i="39"/>
  <c r="Z11" i="39" s="1"/>
  <c r="Q10" i="39"/>
  <c r="Z10" i="39"/>
  <c r="Q9" i="39"/>
  <c r="Z9" i="39"/>
  <c r="J9" i="39"/>
  <c r="AC9" i="39" s="1"/>
  <c r="H9" i="39"/>
  <c r="AB9" i="39" s="1"/>
  <c r="F9" i="39"/>
  <c r="AA9" i="39"/>
  <c r="J8" i="39"/>
  <c r="AC8" i="39"/>
  <c r="H8" i="39"/>
  <c r="U8" i="39" s="1"/>
  <c r="F8" i="39"/>
  <c r="AA8" i="39" s="1"/>
  <c r="C20" i="36"/>
  <c r="C20" i="35"/>
  <c r="C16" i="36"/>
  <c r="C16" i="35"/>
  <c r="C14" i="36"/>
  <c r="C14" i="35"/>
  <c r="B80" i="37"/>
  <c r="H25" i="37" s="1"/>
  <c r="U25" i="37" s="1"/>
  <c r="B110" i="37"/>
  <c r="B108" i="37"/>
  <c r="H38" i="37" s="1"/>
  <c r="AB38" i="37" s="1"/>
  <c r="C23" i="37"/>
  <c r="C19" i="37"/>
  <c r="C17" i="37"/>
  <c r="C15" i="37"/>
  <c r="B112" i="37"/>
  <c r="F40" i="37" s="1"/>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W31" i="37" s="1"/>
  <c r="Q30" i="37"/>
  <c r="Z30" i="37" s="1"/>
  <c r="J30" i="37"/>
  <c r="AC30" i="37" s="1"/>
  <c r="H30" i="37"/>
  <c r="AB30" i="37" s="1"/>
  <c r="F30" i="37"/>
  <c r="AA30" i="37" s="1"/>
  <c r="Q29" i="37"/>
  <c r="Z29" i="37" s="1"/>
  <c r="H29" i="37"/>
  <c r="AB29" i="37" s="1"/>
  <c r="Q28" i="37"/>
  <c r="Z28" i="37" s="1"/>
  <c r="Q27" i="37"/>
  <c r="Z27" i="37" s="1"/>
  <c r="Q26" i="37"/>
  <c r="Z26" i="37" s="1"/>
  <c r="J26" i="37"/>
  <c r="AC26" i="37" s="1"/>
  <c r="H26" i="37"/>
  <c r="U26" i="37" s="1"/>
  <c r="F26" i="37"/>
  <c r="AA26" i="37"/>
  <c r="Q25" i="37"/>
  <c r="Z25" i="37" s="1"/>
  <c r="F25" i="37"/>
  <c r="AA25" i="37" s="1"/>
  <c r="Q23" i="37"/>
  <c r="Z23" i="37" s="1"/>
  <c r="Q19" i="37"/>
  <c r="Z19" i="37" s="1"/>
  <c r="Q17" i="37"/>
  <c r="Z17" i="37" s="1"/>
  <c r="Q15" i="37"/>
  <c r="Z15" i="37" s="1"/>
  <c r="Q14" i="37"/>
  <c r="Z14" i="37" s="1"/>
  <c r="Q13" i="37"/>
  <c r="Z13" i="37" s="1"/>
  <c r="Q12" i="37"/>
  <c r="Z12" i="37" s="1"/>
  <c r="Q11" i="37"/>
  <c r="Z11" i="37" s="1"/>
  <c r="Q10" i="37"/>
  <c r="Z10" i="37"/>
  <c r="F10" i="37"/>
  <c r="AA10" i="37"/>
  <c r="Q9" i="37"/>
  <c r="Z9" i="37" s="1"/>
  <c r="J8" i="37"/>
  <c r="W8" i="37" s="1"/>
  <c r="H8" i="37"/>
  <c r="AB8" i="37" s="1"/>
  <c r="F8" i="37"/>
  <c r="S8" i="37"/>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B59" i="36"/>
  <c r="B57" i="36"/>
  <c r="F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c r="Q12" i="36"/>
  <c r="Z12" i="36" s="1"/>
  <c r="Q11" i="36"/>
  <c r="Z11" i="36" s="1"/>
  <c r="Q10" i="36"/>
  <c r="Z10" i="36" s="1"/>
  <c r="F10" i="36"/>
  <c r="AA10" i="36" s="1"/>
  <c r="Q9" i="36"/>
  <c r="Z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H36" i="35"/>
  <c r="AB36" i="35" s="1"/>
  <c r="B99" i="35"/>
  <c r="B97" i="35"/>
  <c r="F34" i="35" s="1"/>
  <c r="B77" i="35"/>
  <c r="B75" i="35"/>
  <c r="J24" i="35" s="1"/>
  <c r="AC24" i="35" s="1"/>
  <c r="B73" i="35"/>
  <c r="B57" i="35"/>
  <c r="F11" i="35" s="1"/>
  <c r="B61" i="35"/>
  <c r="B59" i="35"/>
  <c r="B131" i="34"/>
  <c r="B129" i="34"/>
  <c r="B127" i="34"/>
  <c r="H45" i="34" s="1"/>
  <c r="U45" i="34" s="1"/>
  <c r="B99" i="34"/>
  <c r="B97" i="34"/>
  <c r="B95" i="34"/>
  <c r="B93" i="34"/>
  <c r="J29" i="34" s="1"/>
  <c r="B75" i="34"/>
  <c r="F14" i="34" s="1"/>
  <c r="B73" i="34"/>
  <c r="B71" i="34"/>
  <c r="H12" i="34" s="1"/>
  <c r="B130" i="33"/>
  <c r="B128" i="33"/>
  <c r="F45" i="33" s="1"/>
  <c r="B126" i="33"/>
  <c r="H44" i="33" s="1"/>
  <c r="U44" i="33" s="1"/>
  <c r="B98" i="33"/>
  <c r="B96" i="33"/>
  <c r="J30" i="33" s="1"/>
  <c r="B94" i="33"/>
  <c r="J29" i="33" s="1"/>
  <c r="AC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Q33" i="35"/>
  <c r="Z33" i="35" s="1"/>
  <c r="Q32" i="35"/>
  <c r="Z32" i="35" s="1"/>
  <c r="H32" i="35"/>
  <c r="AB32" i="35" s="1"/>
  <c r="F32" i="35"/>
  <c r="AA32" i="35" s="1"/>
  <c r="Q31" i="35"/>
  <c r="Z31" i="35" s="1"/>
  <c r="AC31" i="35"/>
  <c r="AA31" i="35"/>
  <c r="Q30" i="35"/>
  <c r="Z30" i="35" s="1"/>
  <c r="Q29" i="35"/>
  <c r="Z29" i="35" s="1"/>
  <c r="Q28" i="35"/>
  <c r="Z28" i="35" s="1"/>
  <c r="J28" i="35"/>
  <c r="AC28" i="35"/>
  <c r="H28" i="35"/>
  <c r="AB28" i="35" s="1"/>
  <c r="F28" i="35"/>
  <c r="AA28" i="35"/>
  <c r="Q27" i="35"/>
  <c r="Z27" i="35"/>
  <c r="Q26" i="35"/>
  <c r="Z26" i="35" s="1"/>
  <c r="Q25" i="35"/>
  <c r="Z25" i="35" s="1"/>
  <c r="Q24" i="35"/>
  <c r="Z24" i="35"/>
  <c r="Q23" i="35"/>
  <c r="Z23" i="35"/>
  <c r="Q22" i="35"/>
  <c r="Z22" i="35" s="1"/>
  <c r="Q20" i="35"/>
  <c r="Z20" i="35"/>
  <c r="Q16" i="35"/>
  <c r="Z16" i="35" s="1"/>
  <c r="Q14" i="35"/>
  <c r="Z14" i="35" s="1"/>
  <c r="Q13" i="35"/>
  <c r="Z13" i="35" s="1"/>
  <c r="Q12" i="35"/>
  <c r="Z12" i="35"/>
  <c r="Q11" i="35"/>
  <c r="Z11" i="35" s="1"/>
  <c r="Q10" i="35"/>
  <c r="Z10" i="35" s="1"/>
  <c r="Q9" i="35"/>
  <c r="Z9" i="35"/>
  <c r="J8" i="35"/>
  <c r="W8" i="35" s="1"/>
  <c r="H8" i="35"/>
  <c r="AB8" i="35"/>
  <c r="F8" i="35"/>
  <c r="AA8" i="35" s="1"/>
  <c r="D120" i="34"/>
  <c r="E120" i="34" s="1"/>
  <c r="F120" i="34" s="1"/>
  <c r="G120" i="34" s="1"/>
  <c r="H120" i="34" s="1"/>
  <c r="I120" i="34" s="1"/>
  <c r="J120" i="34" s="1"/>
  <c r="K120" i="34" s="1"/>
  <c r="L120" i="34" s="1"/>
  <c r="M120" i="34" s="1"/>
  <c r="D90" i="34"/>
  <c r="E90" i="34" s="1"/>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Q11" i="34"/>
  <c r="Z11" i="34" s="1"/>
  <c r="Q10" i="34"/>
  <c r="Z10" i="34" s="1"/>
  <c r="F10" i="34"/>
  <c r="AA10" i="34" s="1"/>
  <c r="Q9" i="34"/>
  <c r="Z9" i="34" s="1"/>
  <c r="J9" i="34"/>
  <c r="AC9" i="34" s="1"/>
  <c r="J8" i="34"/>
  <c r="AC8" i="34" s="1"/>
  <c r="H8" i="34"/>
  <c r="U8" i="34"/>
  <c r="F8" i="34"/>
  <c r="D121" i="33"/>
  <c r="E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c r="D85" i="33"/>
  <c r="E85" i="33" s="1"/>
  <c r="F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P49" i="33"/>
  <c r="P48" i="33"/>
  <c r="V47" i="33"/>
  <c r="T47" i="33"/>
  <c r="R47" i="33"/>
  <c r="P47" i="33"/>
  <c r="Q46" i="33"/>
  <c r="Z46" i="33"/>
  <c r="Q45" i="33"/>
  <c r="Z45" i="33"/>
  <c r="Q44" i="33"/>
  <c r="Z44" i="33" s="1"/>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H9" i="33"/>
  <c r="AB9" i="33" s="1"/>
  <c r="J8" i="33"/>
  <c r="AC8" i="33" s="1"/>
  <c r="H8" i="33"/>
  <c r="F8" i="33"/>
  <c r="AA8" i="33" s="1"/>
  <c r="M102" i="21"/>
  <c r="D102" i="21"/>
  <c r="E102" i="21"/>
  <c r="F102" i="21"/>
  <c r="G102" i="21"/>
  <c r="H102" i="21"/>
  <c r="I102" i="21"/>
  <c r="J102" i="21"/>
  <c r="K102" i="21"/>
  <c r="L102" i="21"/>
  <c r="C102" i="21"/>
  <c r="C63" i="21"/>
  <c r="F9" i="21"/>
  <c r="G18" i="20"/>
  <c r="B88" i="43" s="1"/>
  <c r="G19" i="20"/>
  <c r="B85" i="43"/>
  <c r="G16" i="20"/>
  <c r="B82" i="43" s="1"/>
  <c r="G15" i="20"/>
  <c r="B81" i="43" s="1"/>
  <c r="C24" i="20"/>
  <c r="B73" i="43" s="1"/>
  <c r="C21" i="20"/>
  <c r="B74" i="43"/>
  <c r="C20" i="20"/>
  <c r="B67" i="43" s="1"/>
  <c r="B77" i="43"/>
  <c r="C18" i="20"/>
  <c r="B71" i="43" s="1"/>
  <c r="C17" i="20"/>
  <c r="B59" i="43" s="1"/>
  <c r="C16" i="20"/>
  <c r="C17" i="39" s="1"/>
  <c r="C15" i="20"/>
  <c r="B70" i="43" s="1"/>
  <c r="E54" i="21"/>
  <c r="F54" i="21" s="1"/>
  <c r="I54" i="21"/>
  <c r="J54" i="21" s="1"/>
  <c r="G54" i="21"/>
  <c r="H54" i="21" s="1"/>
  <c r="D125" i="21"/>
  <c r="E125" i="21" s="1"/>
  <c r="F125" i="21" s="1"/>
  <c r="G125" i="21" s="1"/>
  <c r="D123" i="2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1" i="21"/>
  <c r="J19" i="21" s="1"/>
  <c r="W19" i="21" s="1"/>
  <c r="D77" i="21"/>
  <c r="E77" i="21" s="1"/>
  <c r="B130" i="21"/>
  <c r="J46" i="21" s="1"/>
  <c r="W46" i="21" s="1"/>
  <c r="B128" i="21"/>
  <c r="J45" i="21"/>
  <c r="W45" i="21" s="1"/>
  <c r="B126" i="21"/>
  <c r="B98" i="21"/>
  <c r="B96" i="21"/>
  <c r="B94" i="21"/>
  <c r="J29" i="21" s="1"/>
  <c r="B92" i="21"/>
  <c r="F28" i="21" s="1"/>
  <c r="AA28" i="21" s="1"/>
  <c r="B90" i="21"/>
  <c r="J27" i="21"/>
  <c r="W27" i="21" s="1"/>
  <c r="B74" i="21"/>
  <c r="H14" i="21" s="1"/>
  <c r="B72" i="21"/>
  <c r="H13" i="21" s="1"/>
  <c r="B70" i="21"/>
  <c r="C19" i="21"/>
  <c r="C17" i="21"/>
  <c r="C23" i="21"/>
  <c r="Q9" i="21"/>
  <c r="Z9" i="21" s="1"/>
  <c r="Q10" i="21"/>
  <c r="Z10" i="21" s="1"/>
  <c r="Q11" i="21"/>
  <c r="Z11" i="2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H5" i="3" s="1"/>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O5" i="3" s="1"/>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J26" i="21"/>
  <c r="W26" i="21" s="1"/>
  <c r="F26" i="21"/>
  <c r="S26" i="21" s="1"/>
  <c r="S41" i="21"/>
  <c r="F45" i="39"/>
  <c r="S45" i="39" s="1"/>
  <c r="J45" i="39"/>
  <c r="H36" i="39"/>
  <c r="AB36" i="39" s="1"/>
  <c r="J35" i="39"/>
  <c r="AC35" i="39" s="1"/>
  <c r="F35" i="39"/>
  <c r="J36" i="39"/>
  <c r="W40" i="39"/>
  <c r="F103" i="37"/>
  <c r="G103" i="37" s="1"/>
  <c r="H103" i="37" s="1"/>
  <c r="I103" i="37" s="1"/>
  <c r="J103" i="37" s="1"/>
  <c r="K103" i="37" s="1"/>
  <c r="L103" i="37" s="1"/>
  <c r="M103" i="37" s="1"/>
  <c r="U14" i="37"/>
  <c r="F29" i="36"/>
  <c r="AA29" i="36" s="1"/>
  <c r="F16" i="36"/>
  <c r="AA16" i="36" s="1"/>
  <c r="AC31" i="36"/>
  <c r="W31" i="36"/>
  <c r="U31" i="36"/>
  <c r="J33" i="36"/>
  <c r="W33" i="36" s="1"/>
  <c r="H22" i="35"/>
  <c r="AB22" i="35" s="1"/>
  <c r="AC27" i="35"/>
  <c r="W28" i="35"/>
  <c r="U31" i="35"/>
  <c r="S31" i="35"/>
  <c r="F36" i="34"/>
  <c r="J35" i="34"/>
  <c r="H39" i="33"/>
  <c r="AB39" i="33" s="1"/>
  <c r="U33" i="33"/>
  <c r="W39" i="33"/>
  <c r="F11" i="40"/>
  <c r="AA11" i="40" s="1"/>
  <c r="H11" i="40"/>
  <c r="AB11" i="40" s="1"/>
  <c r="AA9" i="40"/>
  <c r="AC9" i="40"/>
  <c r="U9" i="40"/>
  <c r="F42" i="39"/>
  <c r="AA42" i="39" s="1"/>
  <c r="F41" i="39"/>
  <c r="S41" i="39" s="1"/>
  <c r="H40" i="39"/>
  <c r="AB40" i="39" s="1"/>
  <c r="H39" i="39"/>
  <c r="U39" i="39" s="1"/>
  <c r="S34" i="39"/>
  <c r="H34" i="39"/>
  <c r="U34" i="39"/>
  <c r="E109" i="39"/>
  <c r="F109" i="39" s="1"/>
  <c r="G109" i="39" s="1"/>
  <c r="H109" i="39" s="1"/>
  <c r="I109" i="39" s="1"/>
  <c r="J109" i="39" s="1"/>
  <c r="K109" i="39" s="1"/>
  <c r="L109" i="39" s="1"/>
  <c r="M109" i="39" s="1"/>
  <c r="H19" i="39"/>
  <c r="AB19" i="39" s="1"/>
  <c r="F19" i="39"/>
  <c r="AA19" i="39" s="1"/>
  <c r="H17" i="39"/>
  <c r="AB17" i="39" s="1"/>
  <c r="F17" i="39"/>
  <c r="AA17" i="39" s="1"/>
  <c r="J23" i="40"/>
  <c r="AC23" i="40" s="1"/>
  <c r="F21" i="40"/>
  <c r="AA21" i="40" s="1"/>
  <c r="J21" i="40"/>
  <c r="W21" i="40" s="1"/>
  <c r="H42" i="39"/>
  <c r="AB42" i="39" s="1"/>
  <c r="J34" i="39"/>
  <c r="AC34" i="39" s="1"/>
  <c r="F101" i="39"/>
  <c r="H27" i="39"/>
  <c r="U27" i="39" s="1"/>
  <c r="J19" i="39"/>
  <c r="AC19" i="39"/>
  <c r="J17" i="39"/>
  <c r="J27" i="39"/>
  <c r="AC27" i="39" s="1"/>
  <c r="F27" i="39"/>
  <c r="C27" i="39"/>
  <c r="H11" i="39"/>
  <c r="H32" i="33"/>
  <c r="AB32" i="33" s="1"/>
  <c r="H11" i="21"/>
  <c r="U11" i="21" s="1"/>
  <c r="J11" i="21"/>
  <c r="W11" i="21" s="1"/>
  <c r="H37" i="40"/>
  <c r="U37" i="40" s="1"/>
  <c r="H36" i="40"/>
  <c r="AB36" i="40" s="1"/>
  <c r="F35" i="40"/>
  <c r="AA35" i="40" s="1"/>
  <c r="H23" i="40"/>
  <c r="AB23" i="40" s="1"/>
  <c r="H17" i="40"/>
  <c r="U17" i="40" s="1"/>
  <c r="J15" i="40"/>
  <c r="W15" i="40" s="1"/>
  <c r="J11" i="40"/>
  <c r="J34" i="36"/>
  <c r="U30" i="36"/>
  <c r="J30" i="35"/>
  <c r="W30" i="35"/>
  <c r="H30" i="35"/>
  <c r="AB30" i="35" s="1"/>
  <c r="F22" i="35"/>
  <c r="AA22" i="35" s="1"/>
  <c r="H10" i="35"/>
  <c r="U10" i="35" s="1"/>
  <c r="AC16" i="36"/>
  <c r="F33" i="36"/>
  <c r="AA33" i="36" s="1"/>
  <c r="H16" i="36"/>
  <c r="AB16" i="36" s="1"/>
  <c r="E85" i="36"/>
  <c r="F85" i="36" s="1"/>
  <c r="G85" i="36" s="1"/>
  <c r="H85" i="36" s="1"/>
  <c r="I85" i="36" s="1"/>
  <c r="J85" i="36" s="1"/>
  <c r="K85" i="36" s="1"/>
  <c r="L85" i="36" s="1"/>
  <c r="M85" i="36" s="1"/>
  <c r="J29" i="36"/>
  <c r="AC29" i="36" s="1"/>
  <c r="F34" i="36"/>
  <c r="S34" i="36" s="1"/>
  <c r="S8" i="36"/>
  <c r="U8" i="35"/>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S10" i="37"/>
  <c r="AB34" i="37"/>
  <c r="J33" i="37"/>
  <c r="AC33" i="37" s="1"/>
  <c r="H40" i="34"/>
  <c r="U40" i="34" s="1"/>
  <c r="E114" i="34"/>
  <c r="F114" i="34" s="1"/>
  <c r="H36" i="34"/>
  <c r="U36" i="34"/>
  <c r="F37" i="34"/>
  <c r="AA37" i="34" s="1"/>
  <c r="S35" i="34"/>
  <c r="F28" i="34"/>
  <c r="F27" i="34"/>
  <c r="AA27" i="34" s="1"/>
  <c r="F25" i="34"/>
  <c r="S25" i="34" s="1"/>
  <c r="H23" i="34"/>
  <c r="J23" i="34"/>
  <c r="F19" i="34"/>
  <c r="H17" i="34"/>
  <c r="U17" i="34" s="1"/>
  <c r="F15" i="34"/>
  <c r="AA15" i="34" s="1"/>
  <c r="J15" i="34"/>
  <c r="W15" i="34" s="1"/>
  <c r="H15" i="34"/>
  <c r="AB15" i="34" s="1"/>
  <c r="J28" i="34"/>
  <c r="W28" i="34" s="1"/>
  <c r="F41" i="33"/>
  <c r="E113" i="33"/>
  <c r="F113" i="33" s="1"/>
  <c r="G113" i="33" s="1"/>
  <c r="H113" i="33" s="1"/>
  <c r="I113" i="33" s="1"/>
  <c r="J113" i="33" s="1"/>
  <c r="K113" i="33" s="1"/>
  <c r="L113" i="33" s="1"/>
  <c r="M113" i="33" s="1"/>
  <c r="F32" i="33"/>
  <c r="AA32" i="33" s="1"/>
  <c r="J19" i="33"/>
  <c r="AC19" i="33" s="1"/>
  <c r="J15" i="33"/>
  <c r="AC15" i="33" s="1"/>
  <c r="F11" i="33"/>
  <c r="AA11" i="33" s="1"/>
  <c r="U40" i="33"/>
  <c r="W40" i="33"/>
  <c r="S8" i="33"/>
  <c r="F37" i="40"/>
  <c r="AA37" i="40" s="1"/>
  <c r="F36" i="40"/>
  <c r="AA36" i="40" s="1"/>
  <c r="H28" i="40"/>
  <c r="U28" i="40" s="1"/>
  <c r="F23" i="40"/>
  <c r="AA23" i="40" s="1"/>
  <c r="F17" i="40"/>
  <c r="AA17" i="40"/>
  <c r="J17" i="40"/>
  <c r="W17" i="40" s="1"/>
  <c r="F15" i="40"/>
  <c r="S15" i="40"/>
  <c r="H15" i="40"/>
  <c r="AB15" i="40" s="1"/>
  <c r="AB30" i="36"/>
  <c r="U30" i="35"/>
  <c r="F29" i="35"/>
  <c r="S29" i="35" s="1"/>
  <c r="H29" i="35"/>
  <c r="AB29" i="35" s="1"/>
  <c r="H33" i="37"/>
  <c r="AB33" i="37" s="1"/>
  <c r="F33" i="37"/>
  <c r="AA33" i="37" s="1"/>
  <c r="U34" i="37"/>
  <c r="W33" i="37"/>
  <c r="S34" i="37"/>
  <c r="AA34" i="37"/>
  <c r="J43" i="34"/>
  <c r="AC43" i="34" s="1"/>
  <c r="J40" i="34"/>
  <c r="G114" i="34"/>
  <c r="H114" i="34" s="1"/>
  <c r="I114" i="34" s="1"/>
  <c r="J114" i="34" s="1"/>
  <c r="K114" i="34" s="1"/>
  <c r="L114" i="34" s="1"/>
  <c r="M114" i="34" s="1"/>
  <c r="H38" i="34"/>
  <c r="AB38" i="34" s="1"/>
  <c r="J36" i="34"/>
  <c r="W36" i="34" s="1"/>
  <c r="H37" i="34"/>
  <c r="U37" i="34"/>
  <c r="H25" i="34"/>
  <c r="AB25" i="34" s="1"/>
  <c r="J25" i="34"/>
  <c r="AC25" i="34" s="1"/>
  <c r="F23" i="34"/>
  <c r="AA23" i="34" s="1"/>
  <c r="J19" i="34"/>
  <c r="AC19" i="34" s="1"/>
  <c r="F17" i="34"/>
  <c r="AA17" i="34" s="1"/>
  <c r="J17" i="34"/>
  <c r="W17" i="34" s="1"/>
  <c r="H37" i="33"/>
  <c r="H15" i="33"/>
  <c r="AB15" i="33" s="1"/>
  <c r="H11" i="33"/>
  <c r="AB11" i="33" s="1"/>
  <c r="F28" i="40"/>
  <c r="AA28" i="40" s="1"/>
  <c r="AA42" i="34"/>
  <c r="AA38" i="34"/>
  <c r="J37" i="34"/>
  <c r="W37" i="34" s="1"/>
  <c r="J11" i="33"/>
  <c r="W11" i="33" s="1"/>
  <c r="U23" i="40"/>
  <c r="J44" i="34"/>
  <c r="F44" i="34"/>
  <c r="J10" i="35"/>
  <c r="W10" i="35" s="1"/>
  <c r="J14" i="21"/>
  <c r="F14" i="21"/>
  <c r="H30" i="21"/>
  <c r="F30" i="21"/>
  <c r="S30" i="21" s="1"/>
  <c r="J30" i="21"/>
  <c r="AC30" i="21" s="1"/>
  <c r="J44" i="21"/>
  <c r="AC44" i="21" s="1"/>
  <c r="H44" i="21"/>
  <c r="U44" i="21" s="1"/>
  <c r="F44" i="21"/>
  <c r="AA44" i="21" s="1"/>
  <c r="H46" i="21"/>
  <c r="U46" i="21" s="1"/>
  <c r="F119" i="21"/>
  <c r="G119" i="21" s="1"/>
  <c r="H119" i="21"/>
  <c r="I119" i="21" s="1"/>
  <c r="J119" i="21" s="1"/>
  <c r="K119" i="21" s="1"/>
  <c r="L119" i="21" s="1"/>
  <c r="M119" i="21" s="1"/>
  <c r="H26" i="33"/>
  <c r="U26" i="33" s="1"/>
  <c r="F28" i="33"/>
  <c r="AA28" i="33" s="1"/>
  <c r="J28" i="33"/>
  <c r="W28" i="33" s="1"/>
  <c r="F33" i="35"/>
  <c r="S33" i="35" s="1"/>
  <c r="J33" i="35"/>
  <c r="AC33" i="35" s="1"/>
  <c r="F30" i="35"/>
  <c r="S30" i="35" s="1"/>
  <c r="E89" i="35"/>
  <c r="F89" i="35" s="1"/>
  <c r="G89" i="35" s="1"/>
  <c r="H89" i="35" s="1"/>
  <c r="I89" i="35" s="1"/>
  <c r="J89" i="35" s="1"/>
  <c r="K89" i="35" s="1"/>
  <c r="L89" i="35" s="1"/>
  <c r="M89" i="35" s="1"/>
  <c r="H10" i="36"/>
  <c r="J14" i="36"/>
  <c r="AC14" i="36" s="1"/>
  <c r="H14" i="36"/>
  <c r="AB14" i="36" s="1"/>
  <c r="F28" i="36"/>
  <c r="AA28" i="36"/>
  <c r="J13" i="21"/>
  <c r="AC13" i="21"/>
  <c r="H27" i="21"/>
  <c r="AB27" i="21" s="1"/>
  <c r="F27" i="21"/>
  <c r="AA27" i="21" s="1"/>
  <c r="H29" i="21"/>
  <c r="U29" i="21" s="1"/>
  <c r="F45" i="21"/>
  <c r="AA45" i="21" s="1"/>
  <c r="F27" i="33"/>
  <c r="AA27" i="33" s="1"/>
  <c r="J13" i="33"/>
  <c r="H13" i="33"/>
  <c r="U13" i="33" s="1"/>
  <c r="F13" i="33"/>
  <c r="S13" i="33" s="1"/>
  <c r="F29" i="33"/>
  <c r="S29" i="33"/>
  <c r="J31" i="33"/>
  <c r="W31" i="33" s="1"/>
  <c r="H31" i="33"/>
  <c r="AB31" i="33" s="1"/>
  <c r="F31" i="33"/>
  <c r="H45" i="33"/>
  <c r="U45" i="33" s="1"/>
  <c r="J45" i="33"/>
  <c r="W45" i="33" s="1"/>
  <c r="AA45" i="33"/>
  <c r="J14" i="34"/>
  <c r="W14" i="34" s="1"/>
  <c r="H14" i="34"/>
  <c r="H30" i="34"/>
  <c r="F30" i="34"/>
  <c r="S30" i="34"/>
  <c r="J30" i="34"/>
  <c r="W30" i="34" s="1"/>
  <c r="H32" i="34"/>
  <c r="F32" i="34"/>
  <c r="J32" i="34"/>
  <c r="W32" i="34" s="1"/>
  <c r="H46" i="34"/>
  <c r="AB46" i="34" s="1"/>
  <c r="F46" i="34"/>
  <c r="J46" i="34"/>
  <c r="H11" i="35"/>
  <c r="U11" i="35"/>
  <c r="J11" i="35"/>
  <c r="W11" i="35" s="1"/>
  <c r="AC11" i="35"/>
  <c r="S11" i="35"/>
  <c r="J26" i="36"/>
  <c r="W26" i="36" s="1"/>
  <c r="H28" i="36"/>
  <c r="U28" i="36"/>
  <c r="H32" i="36"/>
  <c r="AB32" i="36"/>
  <c r="J32" i="36"/>
  <c r="W32" i="36" s="1"/>
  <c r="J11" i="36"/>
  <c r="AC11" i="36" s="1"/>
  <c r="H11" i="36"/>
  <c r="U11" i="36"/>
  <c r="F11" i="36"/>
  <c r="AA11" i="36" s="1"/>
  <c r="H13" i="36"/>
  <c r="AB13" i="36" s="1"/>
  <c r="J13" i="36"/>
  <c r="W13" i="36" s="1"/>
  <c r="F13" i="36"/>
  <c r="S13" i="36" s="1"/>
  <c r="E89" i="37"/>
  <c r="F89" i="37" s="1"/>
  <c r="G89" i="37" s="1"/>
  <c r="H89" i="37" s="1"/>
  <c r="I89" i="37" s="1"/>
  <c r="J89" i="37" s="1"/>
  <c r="K89" i="37" s="1"/>
  <c r="L89" i="37" s="1"/>
  <c r="M89" i="37" s="1"/>
  <c r="J29" i="37"/>
  <c r="W29" i="37"/>
  <c r="F29" i="37"/>
  <c r="S29" i="37" s="1"/>
  <c r="F105" i="37"/>
  <c r="G105" i="37" s="1"/>
  <c r="H36" i="37"/>
  <c r="AB36" i="37" s="1"/>
  <c r="F107" i="37"/>
  <c r="J37" i="37"/>
  <c r="AC37" i="37" s="1"/>
  <c r="H37" i="37"/>
  <c r="U37" i="37" s="1"/>
  <c r="AA40" i="37"/>
  <c r="AC12" i="40"/>
  <c r="W12" i="40"/>
  <c r="H30" i="33"/>
  <c r="F29" i="34"/>
  <c r="S29" i="34" s="1"/>
  <c r="H29" i="34"/>
  <c r="AB29" i="34" s="1"/>
  <c r="J31" i="34"/>
  <c r="H31" i="34"/>
  <c r="AB31" i="34" s="1"/>
  <c r="F31" i="34"/>
  <c r="S31" i="34" s="1"/>
  <c r="F45" i="34"/>
  <c r="S45" i="34" s="1"/>
  <c r="H47" i="34"/>
  <c r="U47" i="34" s="1"/>
  <c r="F47" i="34"/>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J38" i="37"/>
  <c r="AC38" i="37" s="1"/>
  <c r="F38" i="37"/>
  <c r="S38" i="37" s="1"/>
  <c r="F43" i="39"/>
  <c r="H43" i="39"/>
  <c r="H14" i="39"/>
  <c r="AB14" i="39" s="1"/>
  <c r="F12" i="40"/>
  <c r="S12" i="40" s="1"/>
  <c r="H30" i="40"/>
  <c r="AB30" i="40" s="1"/>
  <c r="F33" i="40"/>
  <c r="AA33" i="40" s="1"/>
  <c r="H33" i="40"/>
  <c r="U33" i="40" s="1"/>
  <c r="J35" i="40"/>
  <c r="AC35" i="40" s="1"/>
  <c r="J37" i="40"/>
  <c r="AC37" i="40" s="1"/>
  <c r="H13" i="40"/>
  <c r="U13" i="40" s="1"/>
  <c r="J13" i="40"/>
  <c r="W13" i="40" s="1"/>
  <c r="F13" i="40"/>
  <c r="AA13" i="40" s="1"/>
  <c r="F14" i="37"/>
  <c r="S14" i="37" s="1"/>
  <c r="F27" i="37"/>
  <c r="F13" i="39"/>
  <c r="S13" i="39" s="1"/>
  <c r="J13" i="39"/>
  <c r="W13" i="39" s="1"/>
  <c r="H13" i="39"/>
  <c r="H14" i="40"/>
  <c r="AB14" i="40" s="1"/>
  <c r="J14" i="40"/>
  <c r="W14" i="40" s="1"/>
  <c r="F14" i="40"/>
  <c r="J14" i="37"/>
  <c r="AC14" i="37" s="1"/>
  <c r="J36" i="37"/>
  <c r="AC36" i="37"/>
  <c r="AB11" i="36"/>
  <c r="AB11" i="35"/>
  <c r="J10" i="36"/>
  <c r="AB26" i="33"/>
  <c r="AC30" i="34"/>
  <c r="S45" i="33"/>
  <c r="BA585" i="3"/>
  <c r="F17" i="21"/>
  <c r="AA17" i="21" s="1"/>
  <c r="H17" i="21"/>
  <c r="AB17" i="21" s="1"/>
  <c r="F15" i="21"/>
  <c r="S15" i="21" s="1"/>
  <c r="J41" i="39"/>
  <c r="W41" i="39" s="1"/>
  <c r="U36" i="39"/>
  <c r="G540" i="3"/>
  <c r="G535" i="3"/>
  <c r="G531" i="3"/>
  <c r="G527" i="3"/>
  <c r="G523" i="3"/>
  <c r="G518" i="3"/>
  <c r="G514" i="3"/>
  <c r="G510" i="3"/>
  <c r="G508" i="3"/>
  <c r="G500" i="3"/>
  <c r="G584" i="3"/>
  <c r="G580" i="3"/>
  <c r="G572" i="3"/>
  <c r="G568" i="3"/>
  <c r="G554" i="3"/>
  <c r="G550" i="3"/>
  <c r="BL584" i="3"/>
  <c r="BL580" i="3"/>
  <c r="BL576" i="3"/>
  <c r="BL546" i="3"/>
  <c r="BL538" i="3"/>
  <c r="BL530" i="3"/>
  <c r="BL522" i="3"/>
  <c r="BL516" i="3"/>
  <c r="BL512" i="3"/>
  <c r="BL506" i="3"/>
  <c r="BL502" i="3"/>
  <c r="AZ502" i="3" s="1"/>
  <c r="BL498" i="3"/>
  <c r="BL566" i="3"/>
  <c r="BL562" i="3"/>
  <c r="BL540" i="3"/>
  <c r="G533" i="3"/>
  <c r="G529" i="3"/>
  <c r="G525" i="3"/>
  <c r="BL524" i="3"/>
  <c r="BL514" i="3"/>
  <c r="BL500" i="3"/>
  <c r="BL496" i="3"/>
  <c r="G493" i="3"/>
  <c r="BA580" i="3"/>
  <c r="BA578" i="3"/>
  <c r="AZ578" i="3" s="1"/>
  <c r="BA576" i="3"/>
  <c r="BA572" i="3"/>
  <c r="BA570" i="3"/>
  <c r="BA564" i="3"/>
  <c r="BA562" i="3"/>
  <c r="BA560" i="3"/>
  <c r="AZ560" i="3" s="1"/>
  <c r="BA528" i="3"/>
  <c r="BA526" i="3"/>
  <c r="BA524" i="3"/>
  <c r="BA522" i="3"/>
  <c r="AZ522" i="3" s="1"/>
  <c r="BA520" i="3"/>
  <c r="BA514" i="3"/>
  <c r="BA512" i="3"/>
  <c r="BA510" i="3"/>
  <c r="AZ510" i="3" s="1"/>
  <c r="BA508" i="3"/>
  <c r="BA506" i="3"/>
  <c r="BA504" i="3"/>
  <c r="AZ504" i="3"/>
  <c r="BA502" i="3"/>
  <c r="BA500" i="3"/>
  <c r="AZ500" i="3" s="1"/>
  <c r="BA498" i="3"/>
  <c r="BA583" i="3"/>
  <c r="BA581" i="3"/>
  <c r="BA575" i="3"/>
  <c r="BA571" i="3"/>
  <c r="BA569" i="3"/>
  <c r="BA567" i="3"/>
  <c r="BA565" i="3"/>
  <c r="BA563" i="3"/>
  <c r="AZ563" i="3" s="1"/>
  <c r="BA547" i="3"/>
  <c r="BA543" i="3"/>
  <c r="BA535" i="3"/>
  <c r="BA533" i="3"/>
  <c r="BA531" i="3"/>
  <c r="BA529" i="3"/>
  <c r="BA527" i="3"/>
  <c r="BA525" i="3"/>
  <c r="BA513" i="3"/>
  <c r="BA511" i="3"/>
  <c r="BA507" i="3"/>
  <c r="BA505" i="3"/>
  <c r="BA503" i="3"/>
  <c r="BA501" i="3"/>
  <c r="BA499" i="3"/>
  <c r="BA497" i="3"/>
  <c r="BA495" i="3"/>
  <c r="G579" i="3"/>
  <c r="G577" i="3"/>
  <c r="G575" i="3"/>
  <c r="G573" i="3"/>
  <c r="G571" i="3"/>
  <c r="G569" i="3"/>
  <c r="G567" i="3"/>
  <c r="G565" i="3"/>
  <c r="G563" i="3"/>
  <c r="G561" i="3"/>
  <c r="AC557" i="3"/>
  <c r="G557" i="3"/>
  <c r="BQ557" i="3"/>
  <c r="BL557" i="3" s="1"/>
  <c r="AZ557" i="3" s="1"/>
  <c r="BQ583" i="3"/>
  <c r="BL583" i="3"/>
  <c r="BQ581" i="3"/>
  <c r="BL581" i="3" s="1"/>
  <c r="BQ579" i="3"/>
  <c r="BL579" i="3" s="1"/>
  <c r="BQ577" i="3"/>
  <c r="BQ575" i="3"/>
  <c r="BL575" i="3" s="1"/>
  <c r="BQ573" i="3"/>
  <c r="BQ571" i="3"/>
  <c r="BQ569" i="3"/>
  <c r="BL569" i="3" s="1"/>
  <c r="BQ567" i="3"/>
  <c r="BL567" i="3" s="1"/>
  <c r="BQ565" i="3"/>
  <c r="BL565" i="3" s="1"/>
  <c r="AZ565" i="3" s="1"/>
  <c r="BQ563" i="3"/>
  <c r="BL563" i="3" s="1"/>
  <c r="BQ561" i="3"/>
  <c r="BL561" i="3" s="1"/>
  <c r="BQ559" i="3"/>
  <c r="BL559" i="3" s="1"/>
  <c r="G559" i="3"/>
  <c r="G555" i="3"/>
  <c r="G553" i="3"/>
  <c r="G547" i="3"/>
  <c r="G545" i="3"/>
  <c r="G543" i="3"/>
  <c r="G541" i="3"/>
  <c r="G539" i="3"/>
  <c r="G537" i="3"/>
  <c r="BQ555" i="3"/>
  <c r="BQ553" i="3"/>
  <c r="BL553" i="3"/>
  <c r="BQ551" i="3"/>
  <c r="BL551" i="3" s="1"/>
  <c r="BQ549" i="3"/>
  <c r="BQ547" i="3"/>
  <c r="BQ545" i="3"/>
  <c r="BL545" i="3" s="1"/>
  <c r="BQ543" i="3"/>
  <c r="BL543" i="3"/>
  <c r="AZ543" i="3" s="1"/>
  <c r="BQ541" i="3"/>
  <c r="BQ539" i="3"/>
  <c r="BQ537" i="3"/>
  <c r="BL537" i="3" s="1"/>
  <c r="BQ535" i="3"/>
  <c r="BL535" i="3" s="1"/>
  <c r="AZ535" i="3" s="1"/>
  <c r="BQ533" i="3"/>
  <c r="BL533" i="3" s="1"/>
  <c r="BQ531" i="3"/>
  <c r="BQ529" i="3"/>
  <c r="BL529" i="3" s="1"/>
  <c r="BQ527" i="3"/>
  <c r="BQ525" i="3"/>
  <c r="BL525" i="3" s="1"/>
  <c r="BQ523" i="3"/>
  <c r="BA521" i="3"/>
  <c r="AC521" i="3"/>
  <c r="G521" i="3" s="1"/>
  <c r="BQ521" i="3"/>
  <c r="BL521" i="3" s="1"/>
  <c r="BL520" i="3"/>
  <c r="G519" i="3"/>
  <c r="G517" i="3"/>
  <c r="G515" i="3"/>
  <c r="G513" i="3"/>
  <c r="G511" i="3"/>
  <c r="BQ519" i="3"/>
  <c r="BL519" i="3"/>
  <c r="BQ517" i="3"/>
  <c r="BQ515" i="3"/>
  <c r="BL515" i="3"/>
  <c r="BQ513" i="3"/>
  <c r="BL513" i="3" s="1"/>
  <c r="BQ511" i="3"/>
  <c r="BL511" i="3" s="1"/>
  <c r="BA509" i="3"/>
  <c r="AC509" i="3"/>
  <c r="G509" i="3" s="1"/>
  <c r="BQ509" i="3"/>
  <c r="BL509" i="3" s="1"/>
  <c r="G507" i="3"/>
  <c r="G505" i="3"/>
  <c r="G503" i="3"/>
  <c r="G501" i="3"/>
  <c r="G499" i="3"/>
  <c r="G497" i="3"/>
  <c r="G495" i="3"/>
  <c r="BQ507" i="3"/>
  <c r="BL507" i="3" s="1"/>
  <c r="AZ507" i="3" s="1"/>
  <c r="BQ505" i="3"/>
  <c r="BL505" i="3" s="1"/>
  <c r="AZ505" i="3" s="1"/>
  <c r="BQ503" i="3"/>
  <c r="BL503" i="3" s="1"/>
  <c r="BQ501" i="3"/>
  <c r="BQ499" i="3"/>
  <c r="BQ497" i="3"/>
  <c r="BL497" i="3" s="1"/>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AB27" i="37"/>
  <c r="U32" i="33"/>
  <c r="AA36" i="39"/>
  <c r="F39" i="33"/>
  <c r="AA39" i="33" s="1"/>
  <c r="F42" i="33"/>
  <c r="AA42" i="33" s="1"/>
  <c r="H28" i="34"/>
  <c r="AB28" i="34" s="1"/>
  <c r="F14" i="36"/>
  <c r="AA14" i="36" s="1"/>
  <c r="F22" i="36"/>
  <c r="S22" i="36" s="1"/>
  <c r="F26" i="36"/>
  <c r="S26" i="36" s="1"/>
  <c r="H27" i="34"/>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H32" i="40"/>
  <c r="AB32" i="40" s="1"/>
  <c r="J36" i="40"/>
  <c r="W36" i="40" s="1"/>
  <c r="H19" i="37"/>
  <c r="AB19" i="37" s="1"/>
  <c r="H42" i="33"/>
  <c r="AB42" i="33" s="1"/>
  <c r="J43" i="33"/>
  <c r="AC43" i="33" s="1"/>
  <c r="S28" i="31"/>
  <c r="S27" i="31"/>
  <c r="S26" i="31"/>
  <c r="U14" i="40"/>
  <c r="AC32" i="36"/>
  <c r="AC33" i="36"/>
  <c r="U33" i="37"/>
  <c r="W26" i="37"/>
  <c r="AB37" i="34"/>
  <c r="AC36" i="34"/>
  <c r="AC31" i="33"/>
  <c r="AC45" i="33"/>
  <c r="U11" i="33"/>
  <c r="AC46" i="21"/>
  <c r="F43" i="33"/>
  <c r="AA43" i="33" s="1"/>
  <c r="W16" i="35"/>
  <c r="G107" i="37"/>
  <c r="H107" i="37" s="1"/>
  <c r="I107" i="37" s="1"/>
  <c r="J107" i="37" s="1"/>
  <c r="K107" i="37" s="1"/>
  <c r="L107" i="37" s="1"/>
  <c r="M107" i="37" s="1"/>
  <c r="H19" i="34"/>
  <c r="AB19" i="34"/>
  <c r="F36" i="35"/>
  <c r="S36" i="35" s="1"/>
  <c r="J9" i="37"/>
  <c r="W9" i="37" s="1"/>
  <c r="H9" i="37"/>
  <c r="J12" i="37"/>
  <c r="W12" i="37"/>
  <c r="H12" i="37"/>
  <c r="U12" i="37" s="1"/>
  <c r="AB12" i="37"/>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s="1"/>
  <c r="AC12" i="37"/>
  <c r="H31" i="37"/>
  <c r="U31" i="37" s="1"/>
  <c r="J15" i="37"/>
  <c r="W15" i="37" s="1"/>
  <c r="AT6" i="3"/>
  <c r="H5" i="3"/>
  <c r="C12" i="43"/>
  <c r="H19" i="40"/>
  <c r="U19" i="40" s="1"/>
  <c r="F88" i="40"/>
  <c r="G88" i="40" s="1"/>
  <c r="F19" i="40"/>
  <c r="S19" i="40" s="1"/>
  <c r="AB33" i="40"/>
  <c r="W23" i="39"/>
  <c r="AC43" i="39"/>
  <c r="W43" i="39"/>
  <c r="U45" i="39"/>
  <c r="AB45" i="39"/>
  <c r="G101" i="39"/>
  <c r="H37" i="39"/>
  <c r="AB37" i="39" s="1"/>
  <c r="AC37" i="39"/>
  <c r="H25" i="39"/>
  <c r="AB25" i="39" s="1"/>
  <c r="J25" i="39"/>
  <c r="F25" i="39"/>
  <c r="AA25" i="39" s="1"/>
  <c r="F15" i="39"/>
  <c r="AA15" i="39" s="1"/>
  <c r="H15" i="39"/>
  <c r="U15" i="39" s="1"/>
  <c r="J15" i="39"/>
  <c r="W15" i="39" s="1"/>
  <c r="H41" i="39"/>
  <c r="U41" i="39" s="1"/>
  <c r="W27" i="39"/>
  <c r="AB34" i="39"/>
  <c r="U40" i="39"/>
  <c r="S42" i="39"/>
  <c r="W8" i="39"/>
  <c r="J19" i="40"/>
  <c r="AC19" i="40" s="1"/>
  <c r="J50" i="40"/>
  <c r="H103" i="9"/>
  <c r="D8" i="53" s="1"/>
  <c r="B16" i="53"/>
  <c r="B33" i="72" s="1"/>
  <c r="C7" i="37"/>
  <c r="C52" i="37" s="1"/>
  <c r="C7" i="34"/>
  <c r="C59" i="34" s="1"/>
  <c r="D59" i="34" s="1"/>
  <c r="E59" i="34" s="1"/>
  <c r="C7" i="36"/>
  <c r="A118" i="9"/>
  <c r="A4" i="52"/>
  <c r="B41" i="72" s="1"/>
  <c r="J11" i="39"/>
  <c r="W11" i="39" s="1"/>
  <c r="F11" i="39"/>
  <c r="AA11" i="39" s="1"/>
  <c r="A12" i="52"/>
  <c r="B56" i="72" s="1"/>
  <c r="G4" i="4"/>
  <c r="I4" i="4"/>
  <c r="K5" i="4"/>
  <c r="B47" i="48" s="1"/>
  <c r="A2" i="9"/>
  <c r="F59" i="43"/>
  <c r="AZ514"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AZ338" i="3" s="1"/>
  <c r="BA340" i="3"/>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AZ136" i="3" s="1"/>
  <c r="G137" i="3"/>
  <c r="BA139" i="3"/>
  <c r="BL140" i="3"/>
  <c r="G141" i="3"/>
  <c r="BA143" i="3"/>
  <c r="BL144" i="3"/>
  <c r="G145" i="3"/>
  <c r="BA147" i="3"/>
  <c r="BL148" i="3"/>
  <c r="G149" i="3"/>
  <c r="BA151" i="3"/>
  <c r="AZ151" i="3" s="1"/>
  <c r="BL152" i="3"/>
  <c r="AZ152" i="3" s="1"/>
  <c r="G153" i="3"/>
  <c r="BA155" i="3"/>
  <c r="AZ155" i="3" s="1"/>
  <c r="BL156" i="3"/>
  <c r="G157" i="3"/>
  <c r="BA159" i="3"/>
  <c r="BL160" i="3"/>
  <c r="AZ160" i="3" s="1"/>
  <c r="G161" i="3"/>
  <c r="BA163" i="3"/>
  <c r="BL164" i="3"/>
  <c r="G165" i="3"/>
  <c r="BA167" i="3"/>
  <c r="BL168" i="3"/>
  <c r="G169" i="3"/>
  <c r="BA171" i="3"/>
  <c r="BL172" i="3"/>
  <c r="G173" i="3"/>
  <c r="BA175" i="3"/>
  <c r="BL176" i="3"/>
  <c r="G177" i="3"/>
  <c r="BA179" i="3"/>
  <c r="BL180" i="3"/>
  <c r="AZ180" i="3" s="1"/>
  <c r="G181" i="3"/>
  <c r="BA183" i="3"/>
  <c r="BL184" i="3"/>
  <c r="G185" i="3"/>
  <c r="BA187" i="3"/>
  <c r="BL188" i="3"/>
  <c r="G189" i="3"/>
  <c r="BA191" i="3"/>
  <c r="BL192" i="3"/>
  <c r="G193" i="3"/>
  <c r="BA195" i="3"/>
  <c r="BL196" i="3"/>
  <c r="AZ196" i="3" s="1"/>
  <c r="G197" i="3"/>
  <c r="BA199" i="3"/>
  <c r="AZ199" i="3" s="1"/>
  <c r="BL200" i="3"/>
  <c r="G201" i="3"/>
  <c r="BA203" i="3"/>
  <c r="BL204" i="3"/>
  <c r="G534" i="3"/>
  <c r="G530" i="3"/>
  <c r="G522" i="3"/>
  <c r="G516" i="3"/>
  <c r="G512" i="3"/>
  <c r="G498" i="3"/>
  <c r="G494" i="3"/>
  <c r="G16" i="3"/>
  <c r="G15" i="3"/>
  <c r="BA304" i="3"/>
  <c r="AZ304" i="3" s="1"/>
  <c r="BA305" i="3"/>
  <c r="BL305" i="3"/>
  <c r="G306" i="3"/>
  <c r="G309" i="3"/>
  <c r="BL310" i="3"/>
  <c r="BA312" i="3"/>
  <c r="BA313" i="3"/>
  <c r="BL313" i="3"/>
  <c r="AZ313" i="3"/>
  <c r="G314" i="3"/>
  <c r="G317" i="3"/>
  <c r="BL318" i="3"/>
  <c r="BA320" i="3"/>
  <c r="BA321" i="3"/>
  <c r="AZ321" i="3" s="1"/>
  <c r="BL321" i="3"/>
  <c r="G322" i="3"/>
  <c r="G325" i="3"/>
  <c r="BL326" i="3"/>
  <c r="AZ326" i="3" s="1"/>
  <c r="BA328" i="3"/>
  <c r="BA329" i="3"/>
  <c r="BL329" i="3"/>
  <c r="AZ329" i="3" s="1"/>
  <c r="G330" i="3"/>
  <c r="G333" i="3"/>
  <c r="BL334" i="3"/>
  <c r="BA336" i="3"/>
  <c r="BA337" i="3"/>
  <c r="BL337" i="3"/>
  <c r="G338" i="3"/>
  <c r="G341" i="3"/>
  <c r="BA342" i="3"/>
  <c r="BL342" i="3"/>
  <c r="BA344" i="3"/>
  <c r="BL344" i="3"/>
  <c r="AZ344" i="3"/>
  <c r="BA346" i="3"/>
  <c r="BA347" i="3"/>
  <c r="AZ347" i="3" s="1"/>
  <c r="BL347" i="3"/>
  <c r="G350" i="3"/>
  <c r="BA351" i="3"/>
  <c r="AZ351" i="3" s="1"/>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AZ390" i="3" s="1"/>
  <c r="G391" i="3"/>
  <c r="G394" i="3"/>
  <c r="BA16" i="3"/>
  <c r="BL303" i="3"/>
  <c r="G304" i="3"/>
  <c r="BA306" i="3"/>
  <c r="BL307" i="3"/>
  <c r="AZ307" i="3"/>
  <c r="G308" i="3"/>
  <c r="BA310" i="3"/>
  <c r="BL311" i="3"/>
  <c r="G312" i="3"/>
  <c r="BA314" i="3"/>
  <c r="BL315" i="3"/>
  <c r="G316" i="3"/>
  <c r="BA318" i="3"/>
  <c r="BL319" i="3"/>
  <c r="G320" i="3"/>
  <c r="BA322" i="3"/>
  <c r="AZ322" i="3" s="1"/>
  <c r="BL323" i="3"/>
  <c r="G324" i="3"/>
  <c r="BA326" i="3"/>
  <c r="BL327" i="3"/>
  <c r="AZ327" i="3"/>
  <c r="G328" i="3"/>
  <c r="BA330" i="3"/>
  <c r="BL331" i="3"/>
  <c r="G332" i="3"/>
  <c r="BA334" i="3"/>
  <c r="BL335" i="3"/>
  <c r="AZ335" i="3" s="1"/>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BA379" i="3"/>
  <c r="BL380" i="3"/>
  <c r="G381" i="3"/>
  <c r="BA383" i="3"/>
  <c r="BL384" i="3"/>
  <c r="G385" i="3"/>
  <c r="BA387" i="3"/>
  <c r="AZ387" i="3" s="1"/>
  <c r="BL388" i="3"/>
  <c r="G389" i="3"/>
  <c r="BA391" i="3"/>
  <c r="AZ391" i="3" s="1"/>
  <c r="BL392" i="3"/>
  <c r="G393" i="3"/>
  <c r="BM5" i="3"/>
  <c r="BJ5" i="3"/>
  <c r="BF5" i="3"/>
  <c r="BD5" i="3"/>
  <c r="G548" i="3"/>
  <c r="G538" i="3"/>
  <c r="G520" i="3"/>
  <c r="G502" i="3"/>
  <c r="BP5" i="3"/>
  <c r="BN5" i="3"/>
  <c r="G29" i="6" s="1"/>
  <c r="BK5" i="3"/>
  <c r="BI5" i="3"/>
  <c r="BG5" i="3"/>
  <c r="BE5" i="3"/>
  <c r="BC5" i="3"/>
  <c r="G17" i="3"/>
  <c r="BA17" i="3"/>
  <c r="BT5" i="3"/>
  <c r="BA15" i="3"/>
  <c r="BR5" i="3"/>
  <c r="AZ380" i="3"/>
  <c r="U36" i="40"/>
  <c r="F36" i="43"/>
  <c r="F81" i="43"/>
  <c r="H82" i="43" s="1"/>
  <c r="H113" i="43"/>
  <c r="F48" i="43"/>
  <c r="H50" i="43" s="1"/>
  <c r="F70" i="43"/>
  <c r="M11" i="43"/>
  <c r="D17" i="43"/>
  <c r="F39" i="43"/>
  <c r="I17" i="43"/>
  <c r="F35" i="43"/>
  <c r="J17" i="43"/>
  <c r="F6" i="1"/>
  <c r="G6" i="1" s="1"/>
  <c r="U17" i="39"/>
  <c r="S14" i="35"/>
  <c r="AC35" i="21"/>
  <c r="G8" i="1"/>
  <c r="G9" i="1"/>
  <c r="G10" i="1"/>
  <c r="F48" i="9"/>
  <c r="O52" i="9" s="1"/>
  <c r="W37" i="37"/>
  <c r="W44" i="34"/>
  <c r="AC44" i="34"/>
  <c r="U13" i="37"/>
  <c r="AA12" i="40"/>
  <c r="J37" i="33"/>
  <c r="W37" i="33" s="1"/>
  <c r="F106" i="33"/>
  <c r="G106" i="33" s="1"/>
  <c r="H106" i="33" s="1"/>
  <c r="I106" i="33" s="1"/>
  <c r="J106" i="33" s="1"/>
  <c r="K106" i="33" s="1"/>
  <c r="L106" i="33" s="1"/>
  <c r="M106" i="33" s="1"/>
  <c r="J34" i="33"/>
  <c r="F33" i="34"/>
  <c r="H20" i="36"/>
  <c r="U20" i="36" s="1"/>
  <c r="J20" i="36"/>
  <c r="W20" i="36" s="1"/>
  <c r="J27" i="36"/>
  <c r="W27" i="36" s="1"/>
  <c r="AB25" i="37"/>
  <c r="AC33" i="40"/>
  <c r="F111" i="40"/>
  <c r="G111" i="40" s="1"/>
  <c r="H111" i="40" s="1"/>
  <c r="I111" i="40" s="1"/>
  <c r="J111" i="40" s="1"/>
  <c r="K111" i="40" s="1"/>
  <c r="L111" i="40" s="1"/>
  <c r="M111" i="40" s="1"/>
  <c r="H35" i="40"/>
  <c r="AC29" i="35"/>
  <c r="W29" i="35"/>
  <c r="H35" i="37"/>
  <c r="U35" i="37" s="1"/>
  <c r="AC14" i="35"/>
  <c r="H20" i="35"/>
  <c r="F20" i="35"/>
  <c r="AA20" i="35" s="1"/>
  <c r="AB29" i="36"/>
  <c r="U29" i="36"/>
  <c r="H32" i="37"/>
  <c r="U32" i="37" s="1"/>
  <c r="F96" i="37"/>
  <c r="G96" i="37" s="1"/>
  <c r="H96" i="37" s="1"/>
  <c r="I96" i="37" s="1"/>
  <c r="J96" i="37" s="1"/>
  <c r="K96" i="37" s="1"/>
  <c r="L96" i="37" s="1"/>
  <c r="M96" i="37" s="1"/>
  <c r="H27" i="40"/>
  <c r="J27" i="40"/>
  <c r="F27" i="40"/>
  <c r="J30" i="40"/>
  <c r="AC30" i="40" s="1"/>
  <c r="F30" i="40"/>
  <c r="AA30" i="40" s="1"/>
  <c r="AC21" i="40"/>
  <c r="S11" i="40"/>
  <c r="E98" i="40"/>
  <c r="F98" i="40" s="1"/>
  <c r="G98" i="40" s="1"/>
  <c r="H98" i="40" s="1"/>
  <c r="I98" i="40" s="1"/>
  <c r="J98" i="40" s="1"/>
  <c r="K98" i="40" s="1"/>
  <c r="L98" i="40" s="1"/>
  <c r="M98" i="40" s="1"/>
  <c r="F10" i="33"/>
  <c r="F34" i="33"/>
  <c r="H34" i="33"/>
  <c r="F35" i="33"/>
  <c r="F39" i="34"/>
  <c r="S39" i="34" s="1"/>
  <c r="J39" i="34"/>
  <c r="F40" i="34"/>
  <c r="S40" i="34" s="1"/>
  <c r="F43" i="34"/>
  <c r="AA43" i="34" s="1"/>
  <c r="H44" i="34"/>
  <c r="AC38" i="39"/>
  <c r="F39" i="39"/>
  <c r="S39" i="39" s="1"/>
  <c r="J39" i="39"/>
  <c r="AC39" i="39" s="1"/>
  <c r="E97" i="39"/>
  <c r="F97" i="39" s="1"/>
  <c r="G97" i="39" s="1"/>
  <c r="C40" i="11"/>
  <c r="I20" i="43"/>
  <c r="F23" i="39"/>
  <c r="H27" i="36"/>
  <c r="F27" i="36"/>
  <c r="AA27" i="36" s="1"/>
  <c r="H33" i="34"/>
  <c r="U33" i="34" s="1"/>
  <c r="F32" i="37"/>
  <c r="AA32" i="37" s="1"/>
  <c r="F20" i="36"/>
  <c r="AA20" i="36"/>
  <c r="J33" i="34"/>
  <c r="AC33" i="34"/>
  <c r="H23" i="39"/>
  <c r="U23" i="39" s="1"/>
  <c r="D48" i="9"/>
  <c r="M52" i="9"/>
  <c r="K9" i="1"/>
  <c r="M9" i="1" s="1"/>
  <c r="AE9" i="1"/>
  <c r="D93" i="9"/>
  <c r="K6" i="1"/>
  <c r="W27" i="34"/>
  <c r="AC27" i="34"/>
  <c r="AB34" i="36"/>
  <c r="U34" i="36"/>
  <c r="AB33" i="36"/>
  <c r="U33" i="36"/>
  <c r="AC12" i="39"/>
  <c r="W12" i="39"/>
  <c r="W12" i="33"/>
  <c r="AC12" i="33"/>
  <c r="AA32" i="36"/>
  <c r="S32" i="36"/>
  <c r="BL14" i="3"/>
  <c r="S19" i="39"/>
  <c r="F12" i="33"/>
  <c r="S12" i="33" s="1"/>
  <c r="H12" i="39"/>
  <c r="F39" i="40"/>
  <c r="AA39" i="40" s="1"/>
  <c r="BA14" i="3"/>
  <c r="S12" i="1"/>
  <c r="AQ12" i="1" s="1"/>
  <c r="R12" i="1"/>
  <c r="B12" i="1"/>
  <c r="E12" i="1" s="1"/>
  <c r="S10" i="1"/>
  <c r="T10" i="1" s="1"/>
  <c r="R10" i="1"/>
  <c r="B10" i="1"/>
  <c r="E10" i="1" s="1"/>
  <c r="K12" i="1"/>
  <c r="M12" i="1" s="1"/>
  <c r="O12" i="1" s="1"/>
  <c r="P12" i="1" s="1"/>
  <c r="S13" i="1"/>
  <c r="R13" i="1"/>
  <c r="S11" i="1"/>
  <c r="R11" i="1"/>
  <c r="S9" i="1"/>
  <c r="R9" i="1"/>
  <c r="J51" i="67"/>
  <c r="C42" i="1"/>
  <c r="H100" i="43"/>
  <c r="C30" i="66"/>
  <c r="E26" i="66" s="1"/>
  <c r="B41" i="1"/>
  <c r="J100" i="43"/>
  <c r="AB37" i="40"/>
  <c r="S35" i="40"/>
  <c r="AC36" i="40"/>
  <c r="S17" i="40"/>
  <c r="S23" i="40"/>
  <c r="AC17" i="40"/>
  <c r="AC15" i="40"/>
  <c r="S28" i="40"/>
  <c r="U21" i="40"/>
  <c r="W42" i="39"/>
  <c r="U37" i="39"/>
  <c r="W39" i="39"/>
  <c r="U35" i="39"/>
  <c r="F32" i="39"/>
  <c r="AA32" i="39" s="1"/>
  <c r="F107" i="39"/>
  <c r="G107" i="39"/>
  <c r="H107" i="39" s="1"/>
  <c r="I107" i="39" s="1"/>
  <c r="J107" i="39" s="1"/>
  <c r="K107" i="39" s="1"/>
  <c r="L107" i="39" s="1"/>
  <c r="M107" i="39" s="1"/>
  <c r="AB27" i="39"/>
  <c r="S25" i="39"/>
  <c r="J21" i="39"/>
  <c r="F21" i="39"/>
  <c r="AA21" i="39" s="1"/>
  <c r="G95" i="39"/>
  <c r="H21" i="39"/>
  <c r="AB21" i="39" s="1"/>
  <c r="W19" i="39"/>
  <c r="U19" i="39"/>
  <c r="S17" i="39"/>
  <c r="AC15" i="39"/>
  <c r="AA12" i="39"/>
  <c r="S9" i="39"/>
  <c r="AC13" i="39"/>
  <c r="U13" i="36"/>
  <c r="AC27" i="36"/>
  <c r="U26" i="36"/>
  <c r="S33" i="36"/>
  <c r="AA34" i="36"/>
  <c r="S29" i="36"/>
  <c r="AC26" i="36"/>
  <c r="W14" i="36"/>
  <c r="U22" i="36"/>
  <c r="S16" i="36"/>
  <c r="U16" i="36"/>
  <c r="S14" i="36"/>
  <c r="S23" i="35"/>
  <c r="W24" i="35"/>
  <c r="AB13" i="35"/>
  <c r="U29" i="35"/>
  <c r="U28" i="35"/>
  <c r="AB27" i="35"/>
  <c r="U36" i="35"/>
  <c r="U32" i="35"/>
  <c r="AC30" i="35"/>
  <c r="S32" i="35"/>
  <c r="AA36" i="35"/>
  <c r="W32" i="35"/>
  <c r="S28" i="35"/>
  <c r="AB16" i="35"/>
  <c r="U22" i="35"/>
  <c r="S20" i="35"/>
  <c r="AC20" i="35"/>
  <c r="S22" i="35"/>
  <c r="U14" i="35"/>
  <c r="AC10" i="35"/>
  <c r="AA11" i="35"/>
  <c r="S8" i="35"/>
  <c r="AC9" i="35"/>
  <c r="W9" i="35"/>
  <c r="W13" i="35"/>
  <c r="F9" i="35"/>
  <c r="H9" i="35"/>
  <c r="AB9" i="35" s="1"/>
  <c r="F26" i="35"/>
  <c r="S26" i="35" s="1"/>
  <c r="AA26" i="35"/>
  <c r="J26" i="35"/>
  <c r="H26" i="35"/>
  <c r="U26" i="35" s="1"/>
  <c r="S25" i="37"/>
  <c r="S26" i="37"/>
  <c r="AC9" i="37"/>
  <c r="AC29" i="37"/>
  <c r="U29" i="37"/>
  <c r="S32" i="37"/>
  <c r="W30" i="37"/>
  <c r="AA38" i="37"/>
  <c r="W38" i="37"/>
  <c r="AC35" i="37"/>
  <c r="S30" i="37"/>
  <c r="S37" i="37"/>
  <c r="J17" i="37"/>
  <c r="W17" i="37" s="1"/>
  <c r="G73" i="37"/>
  <c r="F17" i="37"/>
  <c r="S17" i="37" s="1"/>
  <c r="F75" i="37"/>
  <c r="G75" i="37" s="1"/>
  <c r="F19" i="37"/>
  <c r="S19" i="37" s="1"/>
  <c r="F79" i="37"/>
  <c r="G79" i="37" s="1"/>
  <c r="F23" i="37"/>
  <c r="S23" i="37" s="1"/>
  <c r="U15" i="37"/>
  <c r="AC13" i="37"/>
  <c r="AA13" i="37"/>
  <c r="AA12" i="37"/>
  <c r="AA9" i="37"/>
  <c r="H10" i="37"/>
  <c r="AB10" i="37" s="1"/>
  <c r="H60" i="37"/>
  <c r="I60" i="37" s="1"/>
  <c r="F63" i="37"/>
  <c r="G63" i="37" s="1"/>
  <c r="H63" i="37" s="1"/>
  <c r="F11" i="37"/>
  <c r="S27" i="34"/>
  <c r="W25" i="34"/>
  <c r="AB8" i="34"/>
  <c r="U43" i="34"/>
  <c r="W41" i="34"/>
  <c r="AC42" i="34"/>
  <c r="AB35" i="34"/>
  <c r="U39" i="34"/>
  <c r="S43" i="34"/>
  <c r="AA45" i="34"/>
  <c r="W34" i="34"/>
  <c r="AA25" i="34"/>
  <c r="S17" i="34"/>
  <c r="AA29" i="34"/>
  <c r="S23" i="34"/>
  <c r="U15" i="34"/>
  <c r="S10" i="34"/>
  <c r="H67" i="34"/>
  <c r="H10" i="34"/>
  <c r="AB10" i="34" s="1"/>
  <c r="F11" i="34"/>
  <c r="AA11" i="34" s="1"/>
  <c r="S11" i="34"/>
  <c r="F70" i="34"/>
  <c r="W42" i="33"/>
  <c r="S27" i="33"/>
  <c r="AA29" i="33"/>
  <c r="W38" i="33"/>
  <c r="H41" i="33"/>
  <c r="AB41" i="33" s="1"/>
  <c r="F121" i="33"/>
  <c r="G121" i="33" s="1"/>
  <c r="H121" i="33" s="1"/>
  <c r="I121" i="33" s="1"/>
  <c r="J121" i="33" s="1"/>
  <c r="K121" i="33" s="1"/>
  <c r="L121" i="33" s="1"/>
  <c r="M121" i="33" s="1"/>
  <c r="U42" i="33"/>
  <c r="F36" i="33"/>
  <c r="S36" i="33" s="1"/>
  <c r="G111" i="33"/>
  <c r="G108" i="33"/>
  <c r="H108" i="33" s="1"/>
  <c r="I108" i="33"/>
  <c r="J108" i="33" s="1"/>
  <c r="K108" i="33" s="1"/>
  <c r="L108" i="33" s="1"/>
  <c r="M108" i="33" s="1"/>
  <c r="J35" i="33"/>
  <c r="S37" i="33"/>
  <c r="AA37" i="33"/>
  <c r="S39" i="33"/>
  <c r="F101" i="33"/>
  <c r="G101" i="33"/>
  <c r="H101" i="33" s="1"/>
  <c r="I101" i="33" s="1"/>
  <c r="J101" i="33" s="1"/>
  <c r="K101" i="33" s="1"/>
  <c r="L101" i="33" s="1"/>
  <c r="M101" i="33" s="1"/>
  <c r="J32" i="33"/>
  <c r="AC32" i="33" s="1"/>
  <c r="S43" i="33"/>
  <c r="F91" i="33"/>
  <c r="H27" i="33"/>
  <c r="U27" i="33" s="1"/>
  <c r="F87" i="33"/>
  <c r="G87" i="33" s="1"/>
  <c r="H87" i="33" s="1"/>
  <c r="I87" i="33" s="1"/>
  <c r="J87" i="33" s="1"/>
  <c r="K87" i="33" s="1"/>
  <c r="L87" i="33" s="1"/>
  <c r="M87" i="33" s="1"/>
  <c r="H25" i="33"/>
  <c r="U25" i="33" s="1"/>
  <c r="F25" i="33"/>
  <c r="S25" i="33" s="1"/>
  <c r="J23" i="33"/>
  <c r="AC23" i="33" s="1"/>
  <c r="H23" i="33"/>
  <c r="AB23" i="33" s="1"/>
  <c r="F81" i="33"/>
  <c r="G81" i="33" s="1"/>
  <c r="F19" i="33"/>
  <c r="W19" i="33"/>
  <c r="J17" i="33"/>
  <c r="W17" i="33" s="1"/>
  <c r="F79" i="33"/>
  <c r="G79" i="33" s="1"/>
  <c r="S15" i="33"/>
  <c r="W15" i="33"/>
  <c r="U9" i="33"/>
  <c r="I66" i="33"/>
  <c r="J10" i="33"/>
  <c r="H10" i="33"/>
  <c r="U10" i="33" s="1"/>
  <c r="AC11" i="33"/>
  <c r="W43" i="21"/>
  <c r="W36" i="21"/>
  <c r="W41" i="21"/>
  <c r="AB39" i="21"/>
  <c r="AA43" i="21"/>
  <c r="S39" i="21"/>
  <c r="AA38" i="21"/>
  <c r="AA36" i="21"/>
  <c r="AC40" i="21"/>
  <c r="J15" i="21"/>
  <c r="W15" i="21" s="1"/>
  <c r="F77" i="21"/>
  <c r="G77" i="21" s="1"/>
  <c r="E85" i="21"/>
  <c r="AB8" i="21"/>
  <c r="S8" i="21"/>
  <c r="M3" i="43"/>
  <c r="M1" i="43"/>
  <c r="N8" i="43"/>
  <c r="D120" i="9"/>
  <c r="D6" i="52" s="1"/>
  <c r="C18" i="9"/>
  <c r="D18" i="9" s="1"/>
  <c r="F34" i="67"/>
  <c r="F62" i="67" s="1"/>
  <c r="M20" i="67"/>
  <c r="F34" i="15"/>
  <c r="F62" i="15"/>
  <c r="G13" i="3"/>
  <c r="BA13" i="3"/>
  <c r="BL17" i="3"/>
  <c r="AZ17" i="3" s="1"/>
  <c r="BL13" i="3"/>
  <c r="J56" i="9"/>
  <c r="J57" i="9" s="1"/>
  <c r="J59" i="9" s="1"/>
  <c r="J61" i="9" s="1"/>
  <c r="A24" i="51"/>
  <c r="B18" i="72" s="1"/>
  <c r="U29" i="34"/>
  <c r="E32" i="6"/>
  <c r="G1" i="68"/>
  <c r="K1" i="12"/>
  <c r="AR12" i="1"/>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H17" i="43"/>
  <c r="D9" i="53"/>
  <c r="B25" i="72" s="1"/>
  <c r="B24" i="72"/>
  <c r="H85" i="43"/>
  <c r="H81" i="43"/>
  <c r="H88" i="43"/>
  <c r="H53" i="43"/>
  <c r="H71" i="43"/>
  <c r="C17" i="43"/>
  <c r="F33" i="43"/>
  <c r="K17" i="43"/>
  <c r="F34" i="43"/>
  <c r="N6" i="43"/>
  <c r="C6" i="43"/>
  <c r="N3" i="43"/>
  <c r="F38" i="43"/>
  <c r="F37" i="43"/>
  <c r="M9" i="43"/>
  <c r="N5" i="43"/>
  <c r="M12" i="43"/>
  <c r="B19" i="53"/>
  <c r="B37" i="72" s="1"/>
  <c r="C7" i="39"/>
  <c r="C68" i="39"/>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C65" i="40" s="1"/>
  <c r="M47" i="9"/>
  <c r="G19" i="43"/>
  <c r="O19" i="43" s="1"/>
  <c r="T35" i="4"/>
  <c r="A19" i="51" s="1"/>
  <c r="B14" i="72" s="1"/>
  <c r="C46" i="36"/>
  <c r="A4" i="51"/>
  <c r="B6" i="72" s="1"/>
  <c r="C4" i="12"/>
  <c r="H65" i="43"/>
  <c r="H63" i="43"/>
  <c r="H56" i="43"/>
  <c r="L20" i="6"/>
  <c r="B6" i="1"/>
  <c r="E6" i="1" s="1"/>
  <c r="S8" i="1"/>
  <c r="K11" i="1"/>
  <c r="M11" i="1" s="1"/>
  <c r="AP6" i="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AB41" i="39"/>
  <c r="W25" i="39"/>
  <c r="AC25" i="39"/>
  <c r="U13" i="39"/>
  <c r="AB13" i="39"/>
  <c r="AA13" i="39"/>
  <c r="U43" i="39"/>
  <c r="AB43" i="39"/>
  <c r="AB11" i="39"/>
  <c r="U11" i="39"/>
  <c r="AA27" i="39"/>
  <c r="S27" i="39"/>
  <c r="W17" i="39"/>
  <c r="AC17" i="39"/>
  <c r="AA45" i="39"/>
  <c r="AB39" i="39"/>
  <c r="W34" i="39"/>
  <c r="U38" i="39"/>
  <c r="S8" i="39"/>
  <c r="S20" i="36"/>
  <c r="AC25" i="36"/>
  <c r="S28" i="36"/>
  <c r="U32" i="36"/>
  <c r="W29" i="36"/>
  <c r="AC20" i="36"/>
  <c r="U25" i="36"/>
  <c r="AB28" i="36"/>
  <c r="AA13" i="36"/>
  <c r="W22" i="36"/>
  <c r="W23" i="36"/>
  <c r="AC25" i="35"/>
  <c r="U25" i="35"/>
  <c r="S24" i="35"/>
  <c r="W33" i="35"/>
  <c r="AA30" i="35"/>
  <c r="U24" i="35"/>
  <c r="S35" i="35"/>
  <c r="W35" i="35"/>
  <c r="AA16" i="35"/>
  <c r="AA35" i="37"/>
  <c r="W36" i="37"/>
  <c r="S28" i="37"/>
  <c r="W32" i="37"/>
  <c r="U36" i="37"/>
  <c r="S40" i="37"/>
  <c r="U38" i="37"/>
  <c r="AB37" i="37"/>
  <c r="S33" i="37"/>
  <c r="AC34" i="37"/>
  <c r="AB35" i="37"/>
  <c r="AA31" i="37"/>
  <c r="U19" i="37"/>
  <c r="AA29" i="37"/>
  <c r="AA8" i="37"/>
  <c r="U8" i="37"/>
  <c r="AA40" i="34"/>
  <c r="AB40" i="34"/>
  <c r="U19" i="34"/>
  <c r="W19" i="34"/>
  <c r="AB33" i="34"/>
  <c r="AA31" i="34"/>
  <c r="AA30" i="34"/>
  <c r="AB45" i="34"/>
  <c r="AB47" i="34"/>
  <c r="U25" i="34"/>
  <c r="AB36" i="34"/>
  <c r="W33" i="34"/>
  <c r="AC14" i="34"/>
  <c r="AC32" i="34"/>
  <c r="AC29" i="34"/>
  <c r="W29" i="34"/>
  <c r="W46" i="34"/>
  <c r="AC46" i="34"/>
  <c r="U30" i="34"/>
  <c r="AB30" i="34"/>
  <c r="S37" i="34"/>
  <c r="U38" i="34"/>
  <c r="AC40" i="34"/>
  <c r="W40" i="34"/>
  <c r="AA19" i="34"/>
  <c r="S19" i="34"/>
  <c r="AA36" i="34"/>
  <c r="S36" i="34"/>
  <c r="AA8" i="34"/>
  <c r="S8" i="34"/>
  <c r="AB9" i="34"/>
  <c r="U9" i="34"/>
  <c r="S46" i="34"/>
  <c r="AA46" i="34"/>
  <c r="U32" i="34"/>
  <c r="AB32" i="34"/>
  <c r="U14" i="34"/>
  <c r="AB14" i="34"/>
  <c r="W23" i="34"/>
  <c r="AC23" i="34"/>
  <c r="AC35" i="34"/>
  <c r="W35" i="34"/>
  <c r="U12" i="34"/>
  <c r="AB12" i="34"/>
  <c r="AB28" i="33"/>
  <c r="AC37" i="33"/>
  <c r="U39" i="33"/>
  <c r="U38" i="33"/>
  <c r="S33" i="33"/>
  <c r="AB44" i="33"/>
  <c r="AC30" i="33"/>
  <c r="W30" i="33"/>
  <c r="S31" i="33"/>
  <c r="AA31" i="33"/>
  <c r="W13" i="33"/>
  <c r="AC13" i="33"/>
  <c r="S11" i="33"/>
  <c r="AC28" i="33"/>
  <c r="S28" i="33"/>
  <c r="W9" i="33"/>
  <c r="W8" i="33"/>
  <c r="S45" i="21"/>
  <c r="F33" i="21"/>
  <c r="S33" i="21" s="1"/>
  <c r="J33" i="21"/>
  <c r="W33" i="21" s="1"/>
  <c r="H33" i="21"/>
  <c r="AB33" i="21" s="1"/>
  <c r="AA26" i="21"/>
  <c r="AB46" i="21"/>
  <c r="U40" i="21"/>
  <c r="U13" i="21"/>
  <c r="AB13" i="21"/>
  <c r="W8" i="21"/>
  <c r="S35" i="21"/>
  <c r="H15" i="21"/>
  <c r="U15" i="21" s="1"/>
  <c r="J17" i="21"/>
  <c r="AC17" i="21" s="1"/>
  <c r="AC19" i="21"/>
  <c r="W39" i="21"/>
  <c r="W30" i="21"/>
  <c r="H45" i="21"/>
  <c r="U45" i="21" s="1"/>
  <c r="F29" i="21"/>
  <c r="F13" i="21"/>
  <c r="AC38" i="21"/>
  <c r="H9" i="21"/>
  <c r="J9" i="21"/>
  <c r="W9" i="21" s="1"/>
  <c r="J32" i="21"/>
  <c r="W32" i="21" s="1"/>
  <c r="F32" i="21"/>
  <c r="AA32" i="21" s="1"/>
  <c r="U17" i="21"/>
  <c r="S9" i="21"/>
  <c r="AA9" i="21"/>
  <c r="K141" i="21"/>
  <c r="K144" i="21"/>
  <c r="K143" i="21"/>
  <c r="AB25" i="21"/>
  <c r="AA30" i="21"/>
  <c r="W13" i="21"/>
  <c r="AC45" i="21"/>
  <c r="F10" i="21"/>
  <c r="K145" i="21"/>
  <c r="W25" i="21"/>
  <c r="S17" i="21"/>
  <c r="AC26" i="21"/>
  <c r="AB29" i="21"/>
  <c r="S28" i="21"/>
  <c r="AC34" i="21"/>
  <c r="W10" i="21"/>
  <c r="AB36" i="21"/>
  <c r="W30" i="40"/>
  <c r="C19" i="39"/>
  <c r="C15" i="40"/>
  <c r="C17" i="40"/>
  <c r="C23" i="40"/>
  <c r="C21" i="40"/>
  <c r="U30" i="40"/>
  <c r="B54" i="43"/>
  <c r="B65" i="43"/>
  <c r="B49" i="43"/>
  <c r="B52" i="43"/>
  <c r="B60" i="43"/>
  <c r="B63" i="43"/>
  <c r="D23" i="15"/>
  <c r="D22" i="15"/>
  <c r="F30" i="68"/>
  <c r="C30" i="68" s="1"/>
  <c r="F52" i="9"/>
  <c r="F32" i="67"/>
  <c r="F60" i="67" s="1"/>
  <c r="T11" i="1"/>
  <c r="T9" i="1"/>
  <c r="S7" i="1"/>
  <c r="AQ7" i="1" s="1"/>
  <c r="E7" i="70"/>
  <c r="S39" i="40"/>
  <c r="AA12" i="33"/>
  <c r="J32" i="39"/>
  <c r="AC32" i="39" s="1"/>
  <c r="H32" i="39"/>
  <c r="U32" i="39" s="1"/>
  <c r="AA9" i="35"/>
  <c r="S9" i="35"/>
  <c r="AC26" i="35"/>
  <c r="W26" i="35"/>
  <c r="AB26" i="35"/>
  <c r="J19" i="37"/>
  <c r="W19" i="37" s="1"/>
  <c r="J23" i="37"/>
  <c r="AC23" i="37" s="1"/>
  <c r="J10" i="37"/>
  <c r="AC10" i="37" s="1"/>
  <c r="H11" i="37"/>
  <c r="U10" i="37"/>
  <c r="G70" i="34"/>
  <c r="H70" i="34" s="1"/>
  <c r="I70" i="34" s="1"/>
  <c r="J70" i="34" s="1"/>
  <c r="K70" i="34" s="1"/>
  <c r="L70" i="34" s="1"/>
  <c r="M70" i="34" s="1"/>
  <c r="H11" i="34"/>
  <c r="AB11" i="34" s="1"/>
  <c r="J10" i="34"/>
  <c r="AC10" i="34" s="1"/>
  <c r="I67" i="34"/>
  <c r="W35" i="33"/>
  <c r="AC35" i="33"/>
  <c r="H111" i="33"/>
  <c r="I111" i="33"/>
  <c r="J111" i="33" s="1"/>
  <c r="K111" i="33" s="1"/>
  <c r="L111" i="33" s="1"/>
  <c r="M111" i="33" s="1"/>
  <c r="J36" i="33"/>
  <c r="W36" i="33" s="1"/>
  <c r="H36" i="33"/>
  <c r="U36" i="33" s="1"/>
  <c r="AB27" i="33"/>
  <c r="G91" i="33"/>
  <c r="H91" i="33"/>
  <c r="I91" i="33" s="1"/>
  <c r="J91" i="33"/>
  <c r="K91" i="33" s="1"/>
  <c r="L91" i="33" s="1"/>
  <c r="M91" i="33" s="1"/>
  <c r="J27" i="33"/>
  <c r="W27" i="33" s="1"/>
  <c r="AB25" i="33"/>
  <c r="AA25" i="33"/>
  <c r="J25" i="33"/>
  <c r="W25" i="33" s="1"/>
  <c r="F23" i="33"/>
  <c r="AA23" i="33" s="1"/>
  <c r="G85" i="33"/>
  <c r="W23" i="33"/>
  <c r="H19" i="33"/>
  <c r="AB19" i="33" s="1"/>
  <c r="H17" i="33"/>
  <c r="U17" i="33" s="1"/>
  <c r="F17" i="33"/>
  <c r="AA17" i="33" s="1"/>
  <c r="AC10" i="33"/>
  <c r="W10" i="33"/>
  <c r="J23" i="21"/>
  <c r="AC23" i="21" s="1"/>
  <c r="K120" i="9"/>
  <c r="AP7" i="1"/>
  <c r="E6" i="70"/>
  <c r="A18" i="62"/>
  <c r="B64" i="72" s="1"/>
  <c r="W32" i="39"/>
  <c r="I63" i="37"/>
  <c r="J63" i="37" s="1"/>
  <c r="K63" i="37" s="1"/>
  <c r="L63" i="37" s="1"/>
  <c r="M63" i="37" s="1"/>
  <c r="J11" i="37"/>
  <c r="AC11" i="37" s="1"/>
  <c r="J11" i="34"/>
  <c r="W11" i="34" s="1"/>
  <c r="AC36" i="33"/>
  <c r="AB36" i="33"/>
  <c r="W23" i="21"/>
  <c r="L18" i="9"/>
  <c r="M18" i="9"/>
  <c r="B118" i="9" s="1"/>
  <c r="B14" i="74" s="1"/>
  <c r="B1" i="74" s="1"/>
  <c r="W11" i="37"/>
  <c r="M19" i="9"/>
  <c r="C118" i="9" s="1"/>
  <c r="C14" i="74" s="1"/>
  <c r="B2" i="74" s="1"/>
  <c r="R7" i="1"/>
  <c r="L19" i="9"/>
  <c r="F34" i="11"/>
  <c r="F11" i="12"/>
  <c r="F34" i="68"/>
  <c r="C36" i="68" s="1"/>
  <c r="R8" i="1"/>
  <c r="AE7" i="1"/>
  <c r="AE8" i="1"/>
  <c r="AE6" i="1"/>
  <c r="AG6" i="1"/>
  <c r="H109" i="9"/>
  <c r="D16" i="53" s="1"/>
  <c r="H110" i="9"/>
  <c r="D18" i="53" s="1"/>
  <c r="B35" i="72" s="1"/>
  <c r="H112" i="9"/>
  <c r="D21" i="53" s="1"/>
  <c r="B39" i="72" s="1"/>
  <c r="H111" i="9"/>
  <c r="D126" i="9" s="1"/>
  <c r="I14" i="74" s="1"/>
  <c r="B8" i="74" s="1"/>
  <c r="D19" i="53"/>
  <c r="D59" i="9"/>
  <c r="M55" i="9" s="1"/>
  <c r="AD3" i="71"/>
  <c r="D63" i="40"/>
  <c r="E63" i="40" s="1"/>
  <c r="J1" i="73"/>
  <c r="C13" i="12"/>
  <c r="C77" i="9"/>
  <c r="C74" i="9" s="1"/>
  <c r="H77" i="43"/>
  <c r="H76" i="43"/>
  <c r="H51" i="43"/>
  <c r="H67" i="43"/>
  <c r="H61" i="43"/>
  <c r="M4" i="43"/>
  <c r="M5" i="43"/>
  <c r="N12" i="43"/>
  <c r="N11" i="43"/>
  <c r="M10" i="43"/>
  <c r="M2" i="43"/>
  <c r="M7" i="43"/>
  <c r="H70" i="43"/>
  <c r="H54" i="43"/>
  <c r="N9" i="43"/>
  <c r="M8" i="43"/>
  <c r="N10" i="43"/>
  <c r="H48" i="43"/>
  <c r="H74" i="43"/>
  <c r="M6" i="43"/>
  <c r="N7" i="43"/>
  <c r="N4" i="43"/>
  <c r="N2" i="43"/>
  <c r="H49" i="43"/>
  <c r="N17" i="43"/>
  <c r="L17" i="43"/>
  <c r="O17" i="43"/>
  <c r="M17" i="43"/>
  <c r="E17" i="43"/>
  <c r="D68" i="39"/>
  <c r="E68" i="39" s="1"/>
  <c r="C24" i="12"/>
  <c r="AB11" i="71"/>
  <c r="X9" i="71"/>
  <c r="X8" i="71"/>
  <c r="AA9" i="71"/>
  <c r="AA8" i="71"/>
  <c r="X12" i="71"/>
  <c r="Y8" i="71"/>
  <c r="Z8" i="71" s="1"/>
  <c r="AB9" i="71"/>
  <c r="AB8" i="71"/>
  <c r="C94" i="9"/>
  <c r="C92" i="9"/>
  <c r="F10" i="71"/>
  <c r="F9" i="71" s="1"/>
  <c r="F8" i="71" s="1"/>
  <c r="F7" i="71" s="1"/>
  <c r="F6" i="71" s="1"/>
  <c r="F5" i="71" s="1"/>
  <c r="Y9" i="71"/>
  <c r="Z9" i="71" s="1"/>
  <c r="AB3" i="71"/>
  <c r="X3" i="71"/>
  <c r="AF3" i="71"/>
  <c r="P21" i="43" s="1"/>
  <c r="G20" i="43"/>
  <c r="E41" i="43" s="1"/>
  <c r="C41" i="43" s="1"/>
  <c r="C19" i="43"/>
  <c r="F31" i="15"/>
  <c r="F31" i="67"/>
  <c r="B12" i="76"/>
  <c r="B13" i="76"/>
  <c r="F7" i="15"/>
  <c r="D2" i="34"/>
  <c r="M6" i="15"/>
  <c r="M9" i="15"/>
  <c r="AO10" i="1"/>
  <c r="L47" i="15"/>
  <c r="F5" i="73"/>
  <c r="M27" i="15"/>
  <c r="D35" i="9"/>
  <c r="B11" i="76"/>
  <c r="M23" i="15"/>
  <c r="F9" i="67"/>
  <c r="C76" i="15"/>
  <c r="F20" i="31"/>
  <c r="M24" i="15"/>
  <c r="F6" i="15"/>
  <c r="F6" i="73"/>
  <c r="F26" i="15"/>
  <c r="M8" i="67"/>
  <c r="F35" i="15"/>
  <c r="AO8" i="1"/>
  <c r="F8" i="67"/>
  <c r="J15" i="15"/>
  <c r="M24" i="67"/>
  <c r="M22" i="67"/>
  <c r="AO11" i="1"/>
  <c r="F9" i="15"/>
  <c r="F40" i="15"/>
  <c r="E10" i="76"/>
  <c r="B7" i="76"/>
  <c r="D34" i="9"/>
  <c r="D2" i="21"/>
  <c r="F13" i="67"/>
  <c r="D2" i="33"/>
  <c r="F13" i="15"/>
  <c r="F8" i="15"/>
  <c r="AO7" i="1"/>
  <c r="C76" i="67"/>
  <c r="J15" i="67"/>
  <c r="E8" i="76"/>
  <c r="AO12" i="1"/>
  <c r="F37" i="15"/>
  <c r="M28" i="15"/>
  <c r="AO6" i="1"/>
  <c r="F6" i="67"/>
  <c r="E2" i="68"/>
  <c r="E12" i="76"/>
  <c r="M26" i="15"/>
  <c r="F40" i="67"/>
  <c r="F41" i="67"/>
  <c r="B8" i="76"/>
  <c r="D2" i="36"/>
  <c r="E11" i="76"/>
  <c r="E2" i="69"/>
  <c r="F38" i="15"/>
  <c r="F7" i="73"/>
  <c r="E7" i="76"/>
  <c r="F4" i="73"/>
  <c r="F16" i="15"/>
  <c r="M21" i="15"/>
  <c r="AO9" i="1"/>
  <c r="F7" i="67"/>
  <c r="F3" i="73"/>
  <c r="L48" i="15"/>
  <c r="F42" i="15"/>
  <c r="AO13" i="1"/>
  <c r="B10" i="76"/>
  <c r="F43" i="67"/>
  <c r="E13" i="76"/>
  <c r="E9" i="76"/>
  <c r="D2" i="37"/>
  <c r="B9" i="76"/>
  <c r="M26" i="67"/>
  <c r="F26" i="67"/>
  <c r="F37" i="67"/>
  <c r="M29" i="15"/>
  <c r="F43" i="15"/>
  <c r="M8" i="15"/>
  <c r="D2" i="35"/>
  <c r="M22" i="15"/>
  <c r="M9" i="67"/>
  <c r="D7" i="73"/>
  <c r="M23" i="67"/>
  <c r="AB17" i="33" l="1"/>
  <c r="S32" i="40"/>
  <c r="AA32" i="40"/>
  <c r="BL531" i="3"/>
  <c r="AZ531" i="3" s="1"/>
  <c r="E70" i="39"/>
  <c r="F68" i="39"/>
  <c r="G68" i="39" s="1"/>
  <c r="D20" i="53"/>
  <c r="B40" i="72" s="1"/>
  <c r="B38" i="72"/>
  <c r="S34" i="33"/>
  <c r="AA34" i="33"/>
  <c r="AB32" i="37"/>
  <c r="F30" i="11"/>
  <c r="C30" i="11" s="1"/>
  <c r="F28" i="67"/>
  <c r="C28" i="67" s="1"/>
  <c r="F31" i="12"/>
  <c r="AB27" i="34"/>
  <c r="U27" i="34"/>
  <c r="W21" i="39"/>
  <c r="AC21" i="39"/>
  <c r="AA25" i="36"/>
  <c r="AC15" i="34"/>
  <c r="U14" i="21"/>
  <c r="AB14" i="21"/>
  <c r="U34" i="33"/>
  <c r="AB34" i="33"/>
  <c r="D70" i="39"/>
  <c r="AC9" i="21"/>
  <c r="W32" i="33"/>
  <c r="U9" i="35"/>
  <c r="F7" i="33"/>
  <c r="AC33" i="21"/>
  <c r="AA36" i="33"/>
  <c r="AB11" i="37"/>
  <c r="U11" i="37"/>
  <c r="F28" i="15"/>
  <c r="C28" i="15" s="1"/>
  <c r="U14" i="39"/>
  <c r="U31" i="39"/>
  <c r="AA14" i="40"/>
  <c r="S14" i="40"/>
  <c r="S32" i="34"/>
  <c r="AA32" i="34"/>
  <c r="S14" i="21"/>
  <c r="AA14" i="21"/>
  <c r="W10" i="34"/>
  <c r="M18" i="15"/>
  <c r="AA13" i="21"/>
  <c r="S13" i="21"/>
  <c r="S22" i="31"/>
  <c r="R22" i="31" s="1"/>
  <c r="B21" i="31" s="1"/>
  <c r="AB30" i="33"/>
  <c r="U30" i="33"/>
  <c r="W14" i="21"/>
  <c r="AC14" i="21"/>
  <c r="AB37" i="33"/>
  <c r="U37" i="33"/>
  <c r="U20" i="35"/>
  <c r="AB20" i="35"/>
  <c r="S33" i="34"/>
  <c r="AA33" i="34"/>
  <c r="BQ5" i="3"/>
  <c r="AZ554" i="3"/>
  <c r="AZ552" i="3"/>
  <c r="H87" i="43"/>
  <c r="AA44" i="34"/>
  <c r="S44" i="34"/>
  <c r="S29" i="21"/>
  <c r="AA29" i="21"/>
  <c r="AA23" i="37"/>
  <c r="F54" i="9"/>
  <c r="F32" i="15"/>
  <c r="F60" i="15" s="1"/>
  <c r="AA19" i="37"/>
  <c r="D68" i="9"/>
  <c r="F30" i="69"/>
  <c r="H84" i="43"/>
  <c r="AQ11" i="1"/>
  <c r="AR11" i="1"/>
  <c r="H86" i="43"/>
  <c r="H83" i="43"/>
  <c r="H62" i="43"/>
  <c r="H59" i="43"/>
  <c r="H60" i="43"/>
  <c r="AB9" i="37"/>
  <c r="U9" i="37"/>
  <c r="AC47" i="34"/>
  <c r="W47" i="34"/>
  <c r="U14" i="36"/>
  <c r="AZ568" i="3"/>
  <c r="AZ559" i="3"/>
  <c r="AZ518" i="3"/>
  <c r="S47" i="34"/>
  <c r="AA47" i="34"/>
  <c r="F63" i="40"/>
  <c r="G63" i="40" s="1"/>
  <c r="E65" i="40"/>
  <c r="W23" i="37"/>
  <c r="M18" i="67"/>
  <c r="AC10" i="36"/>
  <c r="W10" i="36"/>
  <c r="AA27" i="37"/>
  <c r="S27" i="37"/>
  <c r="S11" i="37"/>
  <c r="AA11" i="37"/>
  <c r="F53" i="9"/>
  <c r="AB35" i="40"/>
  <c r="U35" i="40"/>
  <c r="AZ520" i="3"/>
  <c r="AZ498" i="3"/>
  <c r="AA43" i="39"/>
  <c r="S43" i="39"/>
  <c r="AB10" i="36"/>
  <c r="U10" i="36"/>
  <c r="AA25" i="35"/>
  <c r="F29" i="6"/>
  <c r="AZ325" i="3"/>
  <c r="S21" i="40"/>
  <c r="AZ525" i="3"/>
  <c r="AZ567" i="3"/>
  <c r="AZ512" i="3"/>
  <c r="F37" i="39"/>
  <c r="S30" i="36"/>
  <c r="J25" i="37"/>
  <c r="AC25" i="37" s="1"/>
  <c r="BB5" i="3"/>
  <c r="AZ123" i="3"/>
  <c r="AZ343" i="3"/>
  <c r="AC13" i="40"/>
  <c r="AB28" i="37"/>
  <c r="AZ497" i="3"/>
  <c r="BL527" i="3"/>
  <c r="AZ527" i="3" s="1"/>
  <c r="AZ569" i="3"/>
  <c r="J28" i="21"/>
  <c r="W30" i="36"/>
  <c r="S44" i="39"/>
  <c r="S40" i="39"/>
  <c r="J31" i="39"/>
  <c r="S34" i="40"/>
  <c r="U15" i="33"/>
  <c r="W43" i="34"/>
  <c r="AB10" i="35"/>
  <c r="AZ14" i="3"/>
  <c r="AC17" i="34"/>
  <c r="AZ306" i="3"/>
  <c r="AZ356" i="3"/>
  <c r="W9" i="39"/>
  <c r="W14" i="37"/>
  <c r="BL499" i="3"/>
  <c r="AZ499" i="3" s="1"/>
  <c r="AZ529" i="3"/>
  <c r="BL547" i="3"/>
  <c r="AZ547" i="3" s="1"/>
  <c r="BL571" i="3"/>
  <c r="AC13" i="36"/>
  <c r="H29" i="33"/>
  <c r="H28" i="21"/>
  <c r="AB8" i="39"/>
  <c r="F31" i="39"/>
  <c r="W36" i="35"/>
  <c r="W8" i="36"/>
  <c r="J44" i="39"/>
  <c r="S32" i="33"/>
  <c r="AA33" i="35"/>
  <c r="AZ334" i="3"/>
  <c r="AZ355" i="3"/>
  <c r="AZ167" i="3"/>
  <c r="AZ341" i="3"/>
  <c r="AA41" i="39"/>
  <c r="BL501" i="3"/>
  <c r="BL549" i="3"/>
  <c r="AZ549" i="3" s="1"/>
  <c r="BL573" i="3"/>
  <c r="H12" i="40"/>
  <c r="AB12" i="40" s="1"/>
  <c r="F30" i="33"/>
  <c r="W8" i="34"/>
  <c r="C21" i="39"/>
  <c r="F9" i="33"/>
  <c r="S9" i="33" s="1"/>
  <c r="AB26" i="37"/>
  <c r="AZ524" i="3"/>
  <c r="AC8" i="35"/>
  <c r="F23" i="36"/>
  <c r="H23" i="36"/>
  <c r="U30" i="37"/>
  <c r="AZ583" i="3"/>
  <c r="AZ580" i="3"/>
  <c r="J45" i="34"/>
  <c r="S10" i="36"/>
  <c r="S38" i="39"/>
  <c r="AC31" i="37"/>
  <c r="AZ336" i="3"/>
  <c r="AZ320" i="3"/>
  <c r="AZ506" i="3"/>
  <c r="J27" i="37"/>
  <c r="J40" i="37"/>
  <c r="U9" i="39"/>
  <c r="AZ310" i="3"/>
  <c r="AC8" i="37"/>
  <c r="BL541" i="3"/>
  <c r="H40" i="37"/>
  <c r="W9" i="34"/>
  <c r="BA401" i="3"/>
  <c r="BL423" i="3"/>
  <c r="BA429" i="3"/>
  <c r="BL442" i="3"/>
  <c r="BA444" i="3"/>
  <c r="BA457" i="3"/>
  <c r="BL471" i="3"/>
  <c r="BL476" i="3"/>
  <c r="BL324" i="3"/>
  <c r="AZ324" i="3" s="1"/>
  <c r="BL209" i="3"/>
  <c r="BL222" i="3"/>
  <c r="AZ222" i="3" s="1"/>
  <c r="BA224" i="3"/>
  <c r="BA232" i="3"/>
  <c r="BL236" i="3"/>
  <c r="BL251" i="3"/>
  <c r="BL258" i="3"/>
  <c r="BL268" i="3"/>
  <c r="BL297" i="3"/>
  <c r="AZ297" i="3" s="1"/>
  <c r="BA299" i="3"/>
  <c r="BL123" i="3"/>
  <c r="BA185" i="3"/>
  <c r="BL194" i="3"/>
  <c r="BL197" i="3"/>
  <c r="AZ197" i="3" s="1"/>
  <c r="BA40" i="3"/>
  <c r="BA54" i="3"/>
  <c r="AZ54" i="3" s="1"/>
  <c r="BL68" i="3"/>
  <c r="BL107" i="3"/>
  <c r="G566" i="3"/>
  <c r="G526" i="3"/>
  <c r="G433" i="3"/>
  <c r="BL439" i="3"/>
  <c r="G450" i="3"/>
  <c r="G466" i="3"/>
  <c r="G467" i="3"/>
  <c r="G480" i="3"/>
  <c r="BL312" i="3"/>
  <c r="AZ312" i="3" s="1"/>
  <c r="G331" i="3"/>
  <c r="BL346" i="3"/>
  <c r="AZ346" i="3" s="1"/>
  <c r="BL365" i="3"/>
  <c r="AZ365" i="3" s="1"/>
  <c r="BL367" i="3"/>
  <c r="G369" i="3"/>
  <c r="BL208" i="3"/>
  <c r="G217" i="3"/>
  <c r="G219" i="3"/>
  <c r="BL221" i="3"/>
  <c r="AZ221" i="3" s="1"/>
  <c r="BA223" i="3"/>
  <c r="AZ223" i="3" s="1"/>
  <c r="G231" i="3"/>
  <c r="BL267" i="3"/>
  <c r="G274" i="3"/>
  <c r="BA290" i="3"/>
  <c r="BA293" i="3"/>
  <c r="G130" i="3"/>
  <c r="BA153" i="3"/>
  <c r="AZ153" i="3" s="1"/>
  <c r="G163" i="3"/>
  <c r="BL173" i="3"/>
  <c r="G33" i="3"/>
  <c r="BL39" i="3"/>
  <c r="BA71" i="3"/>
  <c r="BL87" i="3"/>
  <c r="G98" i="3"/>
  <c r="BL106" i="3"/>
  <c r="BA108" i="3"/>
  <c r="BA110" i="3"/>
  <c r="AB28" i="71"/>
  <c r="F48" i="71"/>
  <c r="F49" i="71" s="1"/>
  <c r="V49" i="71" s="1"/>
  <c r="P57" i="71"/>
  <c r="B60" i="71"/>
  <c r="B59" i="71" s="1"/>
  <c r="AB12" i="43"/>
  <c r="BL406" i="3"/>
  <c r="BL409" i="3"/>
  <c r="BL421" i="3"/>
  <c r="G432" i="3"/>
  <c r="BL438" i="3"/>
  <c r="AZ438" i="3" s="1"/>
  <c r="BA443" i="3"/>
  <c r="G465" i="3"/>
  <c r="BA475" i="3"/>
  <c r="BL484" i="3"/>
  <c r="BA485" i="3"/>
  <c r="G318" i="3"/>
  <c r="U18" i="36"/>
  <c r="BA448" i="3"/>
  <c r="G246" i="3"/>
  <c r="BA266" i="3"/>
  <c r="G291" i="3"/>
  <c r="BA298" i="3"/>
  <c r="BA154" i="3"/>
  <c r="BL167" i="3"/>
  <c r="BA182" i="3"/>
  <c r="BA36" i="3"/>
  <c r="BA65" i="3"/>
  <c r="G97" i="3"/>
  <c r="BA97" i="3"/>
  <c r="BL99" i="3"/>
  <c r="BL104" i="3"/>
  <c r="E59" i="43"/>
  <c r="B57" i="43" s="1"/>
  <c r="AB18" i="35"/>
  <c r="C64" i="71"/>
  <c r="C63" i="71" s="1"/>
  <c r="D63" i="71" s="1"/>
  <c r="E24" i="71"/>
  <c r="E25" i="71" s="1"/>
  <c r="U25" i="71" s="1"/>
  <c r="F29" i="71"/>
  <c r="V29" i="71" s="1"/>
  <c r="C48" i="71"/>
  <c r="AC12" i="43"/>
  <c r="G532" i="3"/>
  <c r="G400" i="3"/>
  <c r="BA406" i="3"/>
  <c r="BA407" i="3"/>
  <c r="BL419" i="3"/>
  <c r="BL427" i="3"/>
  <c r="BA435" i="3"/>
  <c r="G447" i="3"/>
  <c r="G459" i="3"/>
  <c r="BL466" i="3"/>
  <c r="BA469" i="3"/>
  <c r="AZ469" i="3" s="1"/>
  <c r="BL474" i="3"/>
  <c r="G478" i="3"/>
  <c r="G366" i="3"/>
  <c r="BA388" i="3"/>
  <c r="AZ388" i="3" s="1"/>
  <c r="G214" i="3"/>
  <c r="G215" i="3"/>
  <c r="BA220" i="3"/>
  <c r="BA234" i="3"/>
  <c r="BL247" i="3"/>
  <c r="BA249" i="3"/>
  <c r="G258" i="3"/>
  <c r="BL262" i="3"/>
  <c r="BA264" i="3"/>
  <c r="AZ264" i="3" s="1"/>
  <c r="BA286" i="3"/>
  <c r="G288" i="3"/>
  <c r="G159" i="3"/>
  <c r="BL178" i="3"/>
  <c r="G186" i="3"/>
  <c r="G204" i="3"/>
  <c r="G43" i="3"/>
  <c r="G73" i="3"/>
  <c r="G74" i="3"/>
  <c r="G75" i="3"/>
  <c r="G76" i="3"/>
  <c r="G77" i="3"/>
  <c r="BL80" i="3"/>
  <c r="BA85" i="3"/>
  <c r="G91" i="3"/>
  <c r="BL98" i="3"/>
  <c r="BA103" i="3"/>
  <c r="N100" i="43"/>
  <c r="C29" i="39"/>
  <c r="C45" i="71"/>
  <c r="T45" i="71" s="1"/>
  <c r="E56" i="71"/>
  <c r="E55" i="71" s="1"/>
  <c r="F21" i="71"/>
  <c r="V21" i="71" s="1"/>
  <c r="AB19" i="71"/>
  <c r="G399" i="3"/>
  <c r="BA405" i="3"/>
  <c r="BA410" i="3"/>
  <c r="G414" i="3"/>
  <c r="BL417" i="3"/>
  <c r="BA419" i="3"/>
  <c r="AZ419" i="3" s="1"/>
  <c r="BA426" i="3"/>
  <c r="G429" i="3"/>
  <c r="BL449" i="3"/>
  <c r="BL455" i="3"/>
  <c r="G458" i="3"/>
  <c r="BL465" i="3"/>
  <c r="BA473" i="3"/>
  <c r="BL482" i="3"/>
  <c r="G490" i="3"/>
  <c r="G491" i="3"/>
  <c r="BL330" i="3"/>
  <c r="AZ330" i="3" s="1"/>
  <c r="BA332" i="3"/>
  <c r="BA358" i="3"/>
  <c r="AZ358" i="3" s="1"/>
  <c r="BL381" i="3"/>
  <c r="AZ381" i="3" s="1"/>
  <c r="BL393" i="3"/>
  <c r="AZ393" i="3" s="1"/>
  <c r="G212" i="3"/>
  <c r="BL230" i="3"/>
  <c r="BA235" i="3"/>
  <c r="G240" i="3"/>
  <c r="BL246" i="3"/>
  <c r="BL254" i="3"/>
  <c r="BA287" i="3"/>
  <c r="G124" i="3"/>
  <c r="G158" i="3"/>
  <c r="BL162" i="3"/>
  <c r="G172" i="3"/>
  <c r="BL177" i="3"/>
  <c r="G184" i="3"/>
  <c r="G202" i="3"/>
  <c r="G203" i="3"/>
  <c r="BA19" i="3"/>
  <c r="AZ19" i="3" s="1"/>
  <c r="BA37" i="3"/>
  <c r="BL61" i="3"/>
  <c r="BA63" i="3"/>
  <c r="G72" i="3"/>
  <c r="BL79" i="3"/>
  <c r="G112" i="3"/>
  <c r="B55" i="43"/>
  <c r="E44" i="71"/>
  <c r="E45" i="71" s="1"/>
  <c r="U45" i="71" s="1"/>
  <c r="BL416" i="3"/>
  <c r="G428" i="3"/>
  <c r="BL433" i="3"/>
  <c r="G445" i="3"/>
  <c r="BL462" i="3"/>
  <c r="BL464" i="3"/>
  <c r="BA466" i="3"/>
  <c r="BA468" i="3"/>
  <c r="G475" i="3"/>
  <c r="BA303" i="3"/>
  <c r="AZ303" i="3" s="1"/>
  <c r="BA319" i="3"/>
  <c r="AZ319" i="3" s="1"/>
  <c r="BA331" i="3"/>
  <c r="AZ331" i="3" s="1"/>
  <c r="BL354" i="3"/>
  <c r="G211" i="3"/>
  <c r="BL216" i="3"/>
  <c r="BA217" i="3"/>
  <c r="BA218" i="3"/>
  <c r="G225" i="3"/>
  <c r="BA231" i="3"/>
  <c r="BA247" i="3"/>
  <c r="AZ247" i="3" s="1"/>
  <c r="BA248" i="3"/>
  <c r="BL253" i="3"/>
  <c r="G255" i="3"/>
  <c r="BL276" i="3"/>
  <c r="BA282" i="3"/>
  <c r="G284" i="3"/>
  <c r="G285" i="3"/>
  <c r="BA288" i="3"/>
  <c r="BL290" i="3"/>
  <c r="G300" i="3"/>
  <c r="G301" i="3"/>
  <c r="G123" i="3"/>
  <c r="BL130" i="3"/>
  <c r="BL161" i="3"/>
  <c r="BA165" i="3"/>
  <c r="BL187" i="3"/>
  <c r="AZ187" i="3" s="1"/>
  <c r="BA189" i="3"/>
  <c r="BA192" i="3"/>
  <c r="AZ192" i="3" s="1"/>
  <c r="BA18" i="3"/>
  <c r="AZ18" i="3" s="1"/>
  <c r="BA41" i="3"/>
  <c r="BA47" i="3"/>
  <c r="BL78" i="3"/>
  <c r="BL94" i="3"/>
  <c r="BA99" i="3"/>
  <c r="AZ99" i="3" s="1"/>
  <c r="F44" i="71"/>
  <c r="F45" i="71" s="1"/>
  <c r="V45" i="71" s="1"/>
  <c r="E52" i="71"/>
  <c r="E53" i="71" s="1"/>
  <c r="U53" i="71" s="1"/>
  <c r="BL400" i="3"/>
  <c r="BL404" i="3"/>
  <c r="BA424" i="3"/>
  <c r="G427" i="3"/>
  <c r="BL432" i="3"/>
  <c r="BL453" i="3"/>
  <c r="G456" i="3"/>
  <c r="BA472" i="3"/>
  <c r="G474" i="3"/>
  <c r="BL480" i="3"/>
  <c r="G313" i="3"/>
  <c r="BL328" i="3"/>
  <c r="AZ328" i="3" s="1"/>
  <c r="BL340" i="3"/>
  <c r="AZ340" i="3" s="1"/>
  <c r="BL353" i="3"/>
  <c r="BA368" i="3"/>
  <c r="BL383" i="3"/>
  <c r="AZ383" i="3" s="1"/>
  <c r="BL386" i="3"/>
  <c r="BA210" i="3"/>
  <c r="G224" i="3"/>
  <c r="BL228" i="3"/>
  <c r="BL243" i="3"/>
  <c r="BA251" i="3"/>
  <c r="AZ251" i="3" s="1"/>
  <c r="BL252" i="3"/>
  <c r="G254" i="3"/>
  <c r="BA261" i="3"/>
  <c r="BL289" i="3"/>
  <c r="G299" i="3"/>
  <c r="BA117" i="3"/>
  <c r="BL129" i="3"/>
  <c r="BA150" i="3"/>
  <c r="G154" i="3"/>
  <c r="G156" i="3"/>
  <c r="BA162" i="3"/>
  <c r="BA164" i="3"/>
  <c r="AZ164" i="3" s="1"/>
  <c r="G182" i="3"/>
  <c r="G199" i="3"/>
  <c r="G200" i="3"/>
  <c r="BA207" i="3"/>
  <c r="G24" i="3"/>
  <c r="BL29" i="3"/>
  <c r="G40" i="3"/>
  <c r="G41" i="3"/>
  <c r="BL58" i="3"/>
  <c r="G69" i="3"/>
  <c r="G109" i="3"/>
  <c r="G111" i="3"/>
  <c r="M108" i="43"/>
  <c r="E108" i="43"/>
  <c r="AC29" i="39"/>
  <c r="AA14" i="71"/>
  <c r="AB27" i="71"/>
  <c r="AD10" i="43"/>
  <c r="BL399" i="3"/>
  <c r="BA402" i="3"/>
  <c r="AZ402" i="3" s="1"/>
  <c r="BL447" i="3"/>
  <c r="BL460" i="3"/>
  <c r="BA461" i="3"/>
  <c r="BA462" i="3"/>
  <c r="AZ462" i="3" s="1"/>
  <c r="BA479" i="3"/>
  <c r="BL491" i="3"/>
  <c r="BA392" i="3"/>
  <c r="AZ392" i="3" s="1"/>
  <c r="BL212" i="3"/>
  <c r="BA215" i="3"/>
  <c r="BL227" i="3"/>
  <c r="BA233" i="3"/>
  <c r="AZ233" i="3" s="1"/>
  <c r="BL242" i="3"/>
  <c r="BA244" i="3"/>
  <c r="BA274" i="3"/>
  <c r="BA116" i="3"/>
  <c r="AZ116" i="3" s="1"/>
  <c r="BA144" i="3"/>
  <c r="AZ144" i="3" s="1"/>
  <c r="BA149" i="3"/>
  <c r="BL158" i="3"/>
  <c r="BA161" i="3"/>
  <c r="BL203" i="3"/>
  <c r="AZ203" i="3" s="1"/>
  <c r="BL28" i="3"/>
  <c r="BL42" i="3"/>
  <c r="BL56" i="3"/>
  <c r="BL91" i="3"/>
  <c r="BA92" i="3"/>
  <c r="BA96" i="3"/>
  <c r="AZ96" i="3" s="1"/>
  <c r="U17" i="71"/>
  <c r="D57" i="71"/>
  <c r="G496" i="3"/>
  <c r="BL402" i="3"/>
  <c r="G423" i="3"/>
  <c r="BA431" i="3"/>
  <c r="G443" i="3"/>
  <c r="BA452" i="3"/>
  <c r="G454" i="3"/>
  <c r="BL458" i="3"/>
  <c r="G471" i="3"/>
  <c r="BA492" i="3"/>
  <c r="G311" i="3"/>
  <c r="BL314" i="3"/>
  <c r="AZ314" i="3" s="1"/>
  <c r="G323" i="3"/>
  <c r="BA323" i="3"/>
  <c r="AZ323" i="3" s="1"/>
  <c r="G347" i="3"/>
  <c r="BA353" i="3"/>
  <c r="AZ353" i="3" s="1"/>
  <c r="BL211" i="3"/>
  <c r="BL226" i="3"/>
  <c r="BA228" i="3"/>
  <c r="BA229" i="3"/>
  <c r="BL255" i="3"/>
  <c r="BA260" i="3"/>
  <c r="BA271" i="3"/>
  <c r="BA113" i="3"/>
  <c r="BL126" i="3"/>
  <c r="BA148" i="3"/>
  <c r="AZ148" i="3" s="1"/>
  <c r="BL157" i="3"/>
  <c r="BA22" i="3"/>
  <c r="BL25" i="3"/>
  <c r="BL27" i="3"/>
  <c r="G38" i="3"/>
  <c r="G51" i="3"/>
  <c r="G67" i="3"/>
  <c r="G85" i="3"/>
  <c r="BA94" i="3"/>
  <c r="AZ94" i="3" s="1"/>
  <c r="BL112" i="3"/>
  <c r="O57" i="71"/>
  <c r="AI10" i="43"/>
  <c r="G14" i="3"/>
  <c r="BL16" i="3"/>
  <c r="AZ16" i="3" s="1"/>
  <c r="G407" i="3"/>
  <c r="BL412" i="3"/>
  <c r="BA415" i="3"/>
  <c r="BL445" i="3"/>
  <c r="BL451" i="3"/>
  <c r="G453" i="3"/>
  <c r="BA458" i="3"/>
  <c r="BA470" i="3"/>
  <c r="BL478" i="3"/>
  <c r="G483" i="3"/>
  <c r="BL488" i="3"/>
  <c r="BA491" i="3"/>
  <c r="AZ491" i="3" s="1"/>
  <c r="BA339" i="3"/>
  <c r="AZ339" i="3" s="1"/>
  <c r="BA352" i="3"/>
  <c r="AZ352" i="3" s="1"/>
  <c r="BL363" i="3"/>
  <c r="AZ363" i="3" s="1"/>
  <c r="BA213" i="3"/>
  <c r="BA214" i="3"/>
  <c r="G221" i="3"/>
  <c r="BL224" i="3"/>
  <c r="G235" i="3"/>
  <c r="G236" i="3"/>
  <c r="BL238" i="3"/>
  <c r="BA240" i="3"/>
  <c r="G250" i="3"/>
  <c r="BA250" i="3"/>
  <c r="BA257" i="3"/>
  <c r="G266" i="3"/>
  <c r="BL283" i="3"/>
  <c r="G296" i="3"/>
  <c r="BL299" i="3"/>
  <c r="G119" i="3"/>
  <c r="G150" i="3"/>
  <c r="BL154" i="3"/>
  <c r="G180" i="3"/>
  <c r="BL24" i="3"/>
  <c r="G36" i="3"/>
  <c r="G50" i="3"/>
  <c r="BA56" i="3"/>
  <c r="AZ56" i="3" s="1"/>
  <c r="G65" i="3"/>
  <c r="BA90" i="3"/>
  <c r="G105" i="3"/>
  <c r="K13" i="1"/>
  <c r="M13" i="1" s="1"/>
  <c r="O13" i="1" s="1"/>
  <c r="P13" i="1" s="1"/>
  <c r="K108" i="43"/>
  <c r="Y20" i="71"/>
  <c r="Z20" i="71" s="1"/>
  <c r="F32" i="71"/>
  <c r="F33" i="71" s="1"/>
  <c r="V33" i="71" s="1"/>
  <c r="AE10" i="43"/>
  <c r="G560" i="3"/>
  <c r="BA546" i="3"/>
  <c r="AZ546" i="3" s="1"/>
  <c r="G544" i="3"/>
  <c r="BA519" i="3"/>
  <c r="BL518" i="3"/>
  <c r="BL494" i="3"/>
  <c r="AZ494" i="3" s="1"/>
  <c r="BA493" i="3"/>
  <c r="AZ493" i="3" s="1"/>
  <c r="G406" i="3"/>
  <c r="BL411" i="3"/>
  <c r="BA413" i="3"/>
  <c r="AZ413" i="3" s="1"/>
  <c r="BL414" i="3"/>
  <c r="G421" i="3"/>
  <c r="BL424" i="3"/>
  <c r="BL430" i="3"/>
  <c r="G435" i="3"/>
  <c r="BL443" i="3"/>
  <c r="BA451" i="3"/>
  <c r="AZ451" i="3" s="1"/>
  <c r="G469" i="3"/>
  <c r="BL472" i="3"/>
  <c r="G482" i="3"/>
  <c r="BL486" i="3"/>
  <c r="BA489" i="3"/>
  <c r="BA316" i="3"/>
  <c r="BL317" i="3"/>
  <c r="G345" i="3"/>
  <c r="BL348" i="3"/>
  <c r="BA350" i="3"/>
  <c r="AZ350" i="3" s="1"/>
  <c r="G384" i="3"/>
  <c r="BL223" i="3"/>
  <c r="G233" i="3"/>
  <c r="BL237" i="3"/>
  <c r="BA239" i="3"/>
  <c r="BA241" i="3"/>
  <c r="G249" i="3"/>
  <c r="BA256" i="3"/>
  <c r="BL259" i="3"/>
  <c r="BL269" i="3"/>
  <c r="BL298" i="3"/>
  <c r="BA301" i="3"/>
  <c r="G118" i="3"/>
  <c r="G132" i="3"/>
  <c r="BA140" i="3"/>
  <c r="AZ140" i="3" s="1"/>
  <c r="BL153" i="3"/>
  <c r="BL198" i="3"/>
  <c r="BL23" i="3"/>
  <c r="BA26" i="3"/>
  <c r="G35" i="3"/>
  <c r="G49" i="3"/>
  <c r="BA55" i="3"/>
  <c r="G64" i="3"/>
  <c r="BA72" i="3"/>
  <c r="G82" i="3"/>
  <c r="G100" i="3"/>
  <c r="G101" i="3"/>
  <c r="G102" i="3"/>
  <c r="G103" i="3"/>
  <c r="BA111" i="3"/>
  <c r="C52" i="71"/>
  <c r="D52" i="71" s="1"/>
  <c r="C23" i="71"/>
  <c r="C24" i="71" s="1"/>
  <c r="H32" i="21"/>
  <c r="AB32" i="21" s="1"/>
  <c r="AA15" i="21"/>
  <c r="S27" i="21"/>
  <c r="AC27" i="21"/>
  <c r="U27" i="21"/>
  <c r="AC11" i="21"/>
  <c r="S44" i="21"/>
  <c r="F65" i="40"/>
  <c r="AA14" i="34"/>
  <c r="S14" i="34"/>
  <c r="C48" i="68"/>
  <c r="AB20" i="36"/>
  <c r="G28" i="6"/>
  <c r="G30" i="6" s="1"/>
  <c r="G31" i="6" s="1"/>
  <c r="AZ372" i="3"/>
  <c r="AZ305" i="3"/>
  <c r="AZ571" i="3"/>
  <c r="AZ515" i="3"/>
  <c r="AZ582" i="3"/>
  <c r="W11" i="36"/>
  <c r="AB13" i="33"/>
  <c r="BL587" i="3"/>
  <c r="AZ587" i="3" s="1"/>
  <c r="AA38" i="33"/>
  <c r="S38" i="33"/>
  <c r="J12" i="34"/>
  <c r="F28" i="6"/>
  <c r="F30" i="6" s="1"/>
  <c r="AZ311" i="3"/>
  <c r="AZ533" i="3"/>
  <c r="S11" i="36"/>
  <c r="AC37" i="34"/>
  <c r="S40" i="33"/>
  <c r="U34" i="40"/>
  <c r="AB34" i="40"/>
  <c r="BL564" i="3"/>
  <c r="BA553" i="3"/>
  <c r="AZ553" i="3" s="1"/>
  <c r="P25" i="43"/>
  <c r="AC19" i="37"/>
  <c r="C48" i="11"/>
  <c r="AA17" i="37"/>
  <c r="AA34" i="35"/>
  <c r="S34" i="35"/>
  <c r="AB40" i="40"/>
  <c r="BL577" i="3"/>
  <c r="AZ382" i="3"/>
  <c r="AA13" i="33"/>
  <c r="AZ513" i="3"/>
  <c r="AZ575" i="3"/>
  <c r="AZ516" i="3"/>
  <c r="W29" i="33"/>
  <c r="AA14" i="37"/>
  <c r="U46" i="34"/>
  <c r="AA34" i="21"/>
  <c r="S34" i="21"/>
  <c r="AB8" i="36"/>
  <c r="U8" i="36"/>
  <c r="E15" i="6"/>
  <c r="AZ362" i="3"/>
  <c r="AZ564" i="3"/>
  <c r="U31" i="33"/>
  <c r="H19" i="21"/>
  <c r="F19" i="21"/>
  <c r="F81" i="21"/>
  <c r="G81" i="21" s="1"/>
  <c r="AC28" i="36"/>
  <c r="W28" i="36"/>
  <c r="H7" i="33"/>
  <c r="AB32" i="39"/>
  <c r="U41" i="33"/>
  <c r="AA39" i="34"/>
  <c r="AZ364" i="3"/>
  <c r="AZ342" i="3"/>
  <c r="AA41" i="34"/>
  <c r="AZ495" i="3"/>
  <c r="AZ579" i="3"/>
  <c r="AZ566" i="3"/>
  <c r="F46" i="21"/>
  <c r="AA29" i="35"/>
  <c r="AC33" i="33"/>
  <c r="W33" i="33"/>
  <c r="F9" i="34"/>
  <c r="W32" i="40"/>
  <c r="AC32" i="40"/>
  <c r="C7" i="43"/>
  <c r="E11" i="6"/>
  <c r="E61" i="39" s="1"/>
  <c r="AZ379" i="3"/>
  <c r="AZ318" i="3"/>
  <c r="AB45" i="33"/>
  <c r="AC22" i="35"/>
  <c r="W22" i="35"/>
  <c r="D65" i="40"/>
  <c r="J7" i="33"/>
  <c r="U19" i="33"/>
  <c r="W10" i="37"/>
  <c r="E29" i="6"/>
  <c r="K15" i="1" s="1"/>
  <c r="J12" i="35"/>
  <c r="H12" i="35"/>
  <c r="F12" i="35"/>
  <c r="AA27" i="35"/>
  <c r="S27" i="35"/>
  <c r="J9" i="36"/>
  <c r="H9" i="36"/>
  <c r="F9" i="36"/>
  <c r="F70" i="39"/>
  <c r="P24" i="43"/>
  <c r="B66" i="40" s="1"/>
  <c r="S23" i="33"/>
  <c r="AB10" i="33"/>
  <c r="S21" i="39"/>
  <c r="AB15" i="39"/>
  <c r="U25" i="39"/>
  <c r="S30" i="40"/>
  <c r="AZ345" i="3"/>
  <c r="U21" i="39"/>
  <c r="U43" i="33"/>
  <c r="AZ503" i="3"/>
  <c r="AZ576" i="3"/>
  <c r="AA35" i="39"/>
  <c r="S35" i="39"/>
  <c r="S17" i="33"/>
  <c r="AC17" i="33"/>
  <c r="U10" i="34"/>
  <c r="AC11" i="34"/>
  <c r="AC25" i="33"/>
  <c r="AA33" i="21"/>
  <c r="S32" i="39"/>
  <c r="S27" i="36"/>
  <c r="AZ337" i="3"/>
  <c r="AZ376" i="3"/>
  <c r="AZ309" i="3"/>
  <c r="AZ511" i="3"/>
  <c r="AB17" i="34"/>
  <c r="BA574" i="3"/>
  <c r="AZ389" i="3"/>
  <c r="S12" i="34"/>
  <c r="AA12" i="34"/>
  <c r="BL539" i="3"/>
  <c r="AZ539" i="3" s="1"/>
  <c r="BL523" i="3"/>
  <c r="AZ523" i="3" s="1"/>
  <c r="AZ519" i="3"/>
  <c r="J40" i="40"/>
  <c r="W41" i="33"/>
  <c r="H44" i="39"/>
  <c r="G556" i="3"/>
  <c r="G542" i="3"/>
  <c r="G578" i="3"/>
  <c r="AZ435" i="3"/>
  <c r="BL517" i="3"/>
  <c r="AZ517" i="3" s="1"/>
  <c r="BL555" i="3"/>
  <c r="AZ555" i="3" s="1"/>
  <c r="W25" i="37"/>
  <c r="G562" i="3"/>
  <c r="BL548" i="3"/>
  <c r="BL586" i="3"/>
  <c r="AZ586" i="3" s="1"/>
  <c r="F40" i="40"/>
  <c r="AZ431" i="3"/>
  <c r="U34" i="34"/>
  <c r="BA550" i="3"/>
  <c r="G536" i="3"/>
  <c r="G528" i="3"/>
  <c r="BL403" i="3"/>
  <c r="BA425" i="3"/>
  <c r="AZ425" i="3" s="1"/>
  <c r="BL429" i="3"/>
  <c r="BL456" i="3"/>
  <c r="BL475" i="3"/>
  <c r="AZ475" i="3" s="1"/>
  <c r="BL477" i="3"/>
  <c r="G487" i="3"/>
  <c r="G489" i="3"/>
  <c r="BL316" i="3"/>
  <c r="AZ316" i="3" s="1"/>
  <c r="G334" i="3"/>
  <c r="BA367" i="3"/>
  <c r="AZ367" i="3" s="1"/>
  <c r="BA370" i="3"/>
  <c r="AZ370" i="3" s="1"/>
  <c r="BA386" i="3"/>
  <c r="AZ386" i="3" s="1"/>
  <c r="BL214" i="3"/>
  <c r="AZ214" i="3" s="1"/>
  <c r="G220" i="3"/>
  <c r="BL235" i="3"/>
  <c r="AZ235" i="3" s="1"/>
  <c r="G243" i="3"/>
  <c r="G244" i="3"/>
  <c r="BA252" i="3"/>
  <c r="AZ252" i="3" s="1"/>
  <c r="BA253" i="3"/>
  <c r="AZ253" i="3" s="1"/>
  <c r="BA255" i="3"/>
  <c r="AZ255" i="3" s="1"/>
  <c r="BL260" i="3"/>
  <c r="BL273" i="3"/>
  <c r="BL274" i="3"/>
  <c r="BL275" i="3"/>
  <c r="BL278" i="3"/>
  <c r="BA280" i="3"/>
  <c r="BA122" i="3"/>
  <c r="BL150" i="3"/>
  <c r="AZ150" i="3" s="1"/>
  <c r="BA157" i="3"/>
  <c r="AZ157" i="3" s="1"/>
  <c r="BA158" i="3"/>
  <c r="AZ158" i="3" s="1"/>
  <c r="BA166" i="3"/>
  <c r="BA205" i="3"/>
  <c r="BA31" i="3"/>
  <c r="BL88" i="3"/>
  <c r="BL15" i="3"/>
  <c r="AZ15" i="3" s="1"/>
  <c r="BL405" i="3"/>
  <c r="AZ405" i="3" s="1"/>
  <c r="G410" i="3"/>
  <c r="BA427" i="3"/>
  <c r="AZ427" i="3" s="1"/>
  <c r="BA428" i="3"/>
  <c r="AZ428" i="3" s="1"/>
  <c r="BL431" i="3"/>
  <c r="BL434" i="3"/>
  <c r="BA453" i="3"/>
  <c r="AZ453" i="3" s="1"/>
  <c r="BA454" i="3"/>
  <c r="BA455" i="3"/>
  <c r="AZ455" i="3" s="1"/>
  <c r="BL457" i="3"/>
  <c r="AZ457" i="3" s="1"/>
  <c r="BA474" i="3"/>
  <c r="AZ474" i="3" s="1"/>
  <c r="BL479" i="3"/>
  <c r="BL481" i="3"/>
  <c r="BA317" i="3"/>
  <c r="BA366" i="3"/>
  <c r="AZ366" i="3" s="1"/>
  <c r="BA384" i="3"/>
  <c r="AZ384" i="3" s="1"/>
  <c r="BL215" i="3"/>
  <c r="AZ215" i="3" s="1"/>
  <c r="G223" i="3"/>
  <c r="BL239" i="3"/>
  <c r="AZ239" i="3" s="1"/>
  <c r="BA258" i="3"/>
  <c r="AZ258" i="3" s="1"/>
  <c r="BA259" i="3"/>
  <c r="AZ259" i="3" s="1"/>
  <c r="BL261" i="3"/>
  <c r="AZ261" i="3" s="1"/>
  <c r="BL264" i="3"/>
  <c r="BL265" i="3"/>
  <c r="AZ265" i="3" s="1"/>
  <c r="BL270" i="3"/>
  <c r="BL272" i="3"/>
  <c r="BA279" i="3"/>
  <c r="BL118" i="3"/>
  <c r="BL146" i="3"/>
  <c r="BL179" i="3"/>
  <c r="AZ179" i="3" s="1"/>
  <c r="BA181" i="3"/>
  <c r="BL201" i="3"/>
  <c r="BA204" i="3"/>
  <c r="AZ204" i="3" s="1"/>
  <c r="G23" i="3"/>
  <c r="BA30" i="3"/>
  <c r="AZ30" i="3" s="1"/>
  <c r="BA32" i="3"/>
  <c r="BA50" i="3"/>
  <c r="BA403" i="3"/>
  <c r="BA404" i="3"/>
  <c r="G412" i="3"/>
  <c r="G413" i="3"/>
  <c r="BA430" i="3"/>
  <c r="BL459" i="3"/>
  <c r="BA476" i="3"/>
  <c r="AZ476" i="3" s="1"/>
  <c r="BA477" i="3"/>
  <c r="AZ477" i="3" s="1"/>
  <c r="BA478" i="3"/>
  <c r="AZ478" i="3" s="1"/>
  <c r="BL483" i="3"/>
  <c r="AZ483" i="3" s="1"/>
  <c r="BA315" i="3"/>
  <c r="AZ315" i="3" s="1"/>
  <c r="G329" i="3"/>
  <c r="BL217" i="3"/>
  <c r="G227" i="3"/>
  <c r="G228" i="3"/>
  <c r="BA236" i="3"/>
  <c r="AZ236" i="3" s="1"/>
  <c r="BA237" i="3"/>
  <c r="AZ237" i="3" s="1"/>
  <c r="BA238" i="3"/>
  <c r="AZ238" i="3" s="1"/>
  <c r="BL240" i="3"/>
  <c r="AZ240" i="3" s="1"/>
  <c r="G247" i="3"/>
  <c r="BA262" i="3"/>
  <c r="AZ262" i="3" s="1"/>
  <c r="BA263" i="3"/>
  <c r="AZ263" i="3" s="1"/>
  <c r="BL266" i="3"/>
  <c r="BA273" i="3"/>
  <c r="BA275" i="3"/>
  <c r="BA277" i="3"/>
  <c r="BA278" i="3"/>
  <c r="G298" i="3"/>
  <c r="BA120" i="3"/>
  <c r="AZ120" i="3" s="1"/>
  <c r="BL145" i="3"/>
  <c r="BA146" i="3"/>
  <c r="E12" i="71"/>
  <c r="E11" i="71" s="1"/>
  <c r="E10" i="71" s="1"/>
  <c r="E9" i="71" s="1"/>
  <c r="E8" i="71" s="1"/>
  <c r="E7" i="71" s="1"/>
  <c r="E6" i="71" s="1"/>
  <c r="E5" i="71" s="1"/>
  <c r="V13" i="71"/>
  <c r="BL407" i="3"/>
  <c r="AZ407" i="3" s="1"/>
  <c r="G415" i="3"/>
  <c r="BA432" i="3"/>
  <c r="AZ432" i="3" s="1"/>
  <c r="BA433" i="3"/>
  <c r="BA434" i="3"/>
  <c r="AZ434" i="3" s="1"/>
  <c r="BL436" i="3"/>
  <c r="AZ436" i="3" s="1"/>
  <c r="G441" i="3"/>
  <c r="G442" i="3"/>
  <c r="BL461" i="3"/>
  <c r="AZ461" i="3" s="1"/>
  <c r="G468" i="3"/>
  <c r="BA480" i="3"/>
  <c r="AZ480" i="3" s="1"/>
  <c r="BA481" i="3"/>
  <c r="BA482" i="3"/>
  <c r="AZ482" i="3" s="1"/>
  <c r="BL485" i="3"/>
  <c r="AZ485" i="3" s="1"/>
  <c r="BL487" i="3"/>
  <c r="G327" i="3"/>
  <c r="G351" i="3"/>
  <c r="G374" i="3"/>
  <c r="BA216" i="3"/>
  <c r="AZ216" i="3" s="1"/>
  <c r="BL218" i="3"/>
  <c r="AZ218" i="3" s="1"/>
  <c r="BL241" i="3"/>
  <c r="AZ241" i="3" s="1"/>
  <c r="BA270" i="3"/>
  <c r="BA272" i="3"/>
  <c r="AZ272" i="3" s="1"/>
  <c r="G297" i="3"/>
  <c r="BL114" i="3"/>
  <c r="BL142" i="3"/>
  <c r="BA145" i="3"/>
  <c r="G170" i="3"/>
  <c r="BL175" i="3"/>
  <c r="AZ175" i="3" s="1"/>
  <c r="BA201" i="3"/>
  <c r="G42" i="3"/>
  <c r="BA49" i="3"/>
  <c r="G58" i="3"/>
  <c r="BA66" i="3"/>
  <c r="AZ66" i="3" s="1"/>
  <c r="G78" i="3"/>
  <c r="BA84" i="3"/>
  <c r="BA86" i="3"/>
  <c r="AZ86" i="3" s="1"/>
  <c r="D48" i="71"/>
  <c r="C49" i="71"/>
  <c r="F55" i="71"/>
  <c r="Q56" i="71"/>
  <c r="BL408" i="3"/>
  <c r="AZ408" i="3" s="1"/>
  <c r="G417" i="3"/>
  <c r="G418" i="3"/>
  <c r="BL437" i="3"/>
  <c r="AZ437" i="3" s="1"/>
  <c r="G444" i="3"/>
  <c r="BA459" i="3"/>
  <c r="BA460" i="3"/>
  <c r="AZ460" i="3" s="1"/>
  <c r="BA484" i="3"/>
  <c r="AZ484" i="3" s="1"/>
  <c r="BL489" i="3"/>
  <c r="BL332" i="3"/>
  <c r="G349" i="3"/>
  <c r="G396" i="3"/>
  <c r="G397" i="3"/>
  <c r="BL220" i="3"/>
  <c r="BL244" i="3"/>
  <c r="BL113" i="3"/>
  <c r="AZ113" i="3" s="1"/>
  <c r="BL141" i="3"/>
  <c r="BA142" i="3"/>
  <c r="AZ142" i="3" s="1"/>
  <c r="BA176" i="3"/>
  <c r="AZ176" i="3" s="1"/>
  <c r="BA82" i="3"/>
  <c r="G398" i="3"/>
  <c r="BL410" i="3"/>
  <c r="AZ410" i="3" s="1"/>
  <c r="G420" i="3"/>
  <c r="G446" i="3"/>
  <c r="G448" i="3"/>
  <c r="BL463" i="3"/>
  <c r="G470" i="3"/>
  <c r="BA486" i="3"/>
  <c r="AZ486" i="3" s="1"/>
  <c r="BA487" i="3"/>
  <c r="BA488" i="3"/>
  <c r="AZ488" i="3" s="1"/>
  <c r="BL490" i="3"/>
  <c r="AZ490" i="3" s="1"/>
  <c r="BA333" i="3"/>
  <c r="AZ333" i="3" s="1"/>
  <c r="BL375" i="3"/>
  <c r="AZ375" i="3" s="1"/>
  <c r="G209" i="3"/>
  <c r="G210" i="3"/>
  <c r="BA219" i="3"/>
  <c r="AZ219" i="3" s="1"/>
  <c r="BL225" i="3"/>
  <c r="BA242" i="3"/>
  <c r="AZ242" i="3" s="1"/>
  <c r="BA243" i="3"/>
  <c r="AZ243" i="3" s="1"/>
  <c r="BL245" i="3"/>
  <c r="AZ245" i="3" s="1"/>
  <c r="G283" i="3"/>
  <c r="G287" i="3"/>
  <c r="G292" i="3"/>
  <c r="G293" i="3"/>
  <c r="G295" i="3"/>
  <c r="BL302" i="3"/>
  <c r="BA114" i="3"/>
  <c r="BL138" i="3"/>
  <c r="BA141" i="3"/>
  <c r="G167" i="3"/>
  <c r="BL193" i="3"/>
  <c r="BA198" i="3"/>
  <c r="AZ198" i="3" s="1"/>
  <c r="BL21" i="3"/>
  <c r="BA25" i="3"/>
  <c r="AZ25" i="3" s="1"/>
  <c r="BL45" i="3"/>
  <c r="BL60" i="3"/>
  <c r="BL64" i="3"/>
  <c r="BA81" i="3"/>
  <c r="AZ81" i="3" s="1"/>
  <c r="BA409" i="3"/>
  <c r="BL413" i="3"/>
  <c r="AZ463" i="3"/>
  <c r="AZ225" i="3"/>
  <c r="BL137" i="3"/>
  <c r="BA138" i="3"/>
  <c r="BL171" i="3"/>
  <c r="AZ171" i="3" s="1"/>
  <c r="BA172" i="3"/>
  <c r="AZ172" i="3" s="1"/>
  <c r="BL190" i="3"/>
  <c r="BA194" i="3"/>
  <c r="BL20" i="3"/>
  <c r="BL44" i="3"/>
  <c r="BA411" i="3"/>
  <c r="AZ411" i="3" s="1"/>
  <c r="BA412" i="3"/>
  <c r="BL415" i="3"/>
  <c r="AZ415" i="3" s="1"/>
  <c r="BL418" i="3"/>
  <c r="G426" i="3"/>
  <c r="G452" i="3"/>
  <c r="BA464" i="3"/>
  <c r="AZ464" i="3" s="1"/>
  <c r="BA465" i="3"/>
  <c r="AZ465" i="3" s="1"/>
  <c r="BL468" i="3"/>
  <c r="AZ468" i="3" s="1"/>
  <c r="G343" i="3"/>
  <c r="BA354" i="3"/>
  <c r="AZ354" i="3" s="1"/>
  <c r="G387" i="3"/>
  <c r="BA226" i="3"/>
  <c r="AZ226" i="3" s="1"/>
  <c r="BA227" i="3"/>
  <c r="BL229" i="3"/>
  <c r="AZ229" i="3" s="1"/>
  <c r="BA246" i="3"/>
  <c r="AZ246" i="3" s="1"/>
  <c r="BL248" i="3"/>
  <c r="AZ248" i="3" s="1"/>
  <c r="G257" i="3"/>
  <c r="BL296" i="3"/>
  <c r="BA302" i="3"/>
  <c r="BL131" i="3"/>
  <c r="AZ131" i="3" s="1"/>
  <c r="BL134" i="3"/>
  <c r="BA137" i="3"/>
  <c r="BL169" i="3"/>
  <c r="BL189" i="3"/>
  <c r="AZ189" i="3" s="1"/>
  <c r="BA193" i="3"/>
  <c r="AZ193" i="3" s="1"/>
  <c r="BA21" i="3"/>
  <c r="BA43" i="3"/>
  <c r="BA59" i="3"/>
  <c r="AZ59" i="3" s="1"/>
  <c r="BA414" i="3"/>
  <c r="AZ414" i="3" s="1"/>
  <c r="BA440" i="3"/>
  <c r="AZ440" i="3" s="1"/>
  <c r="BA441" i="3"/>
  <c r="AZ441" i="3" s="1"/>
  <c r="BA442" i="3"/>
  <c r="AZ442" i="3" s="1"/>
  <c r="BL444" i="3"/>
  <c r="BL446" i="3"/>
  <c r="BA467" i="3"/>
  <c r="AZ467" i="3" s="1"/>
  <c r="AZ492" i="3"/>
  <c r="BA374" i="3"/>
  <c r="AZ374" i="3" s="1"/>
  <c r="BL397" i="3"/>
  <c r="AZ397" i="3" s="1"/>
  <c r="BL231" i="3"/>
  <c r="BL249" i="3"/>
  <c r="AZ249" i="3" s="1"/>
  <c r="BL125" i="3"/>
  <c r="BL127" i="3"/>
  <c r="AZ127" i="3" s="1"/>
  <c r="BA133" i="3"/>
  <c r="BA134" i="3"/>
  <c r="AZ134" i="3" s="1"/>
  <c r="BA170" i="3"/>
  <c r="BA190" i="3"/>
  <c r="BL18" i="3"/>
  <c r="BA20" i="3"/>
  <c r="AZ20" i="3" s="1"/>
  <c r="BL35" i="3"/>
  <c r="BL37" i="3"/>
  <c r="AZ37" i="3" s="1"/>
  <c r="AZ57" i="3"/>
  <c r="BA58" i="3"/>
  <c r="AZ58" i="3" s="1"/>
  <c r="BL72" i="3"/>
  <c r="AZ72" i="3" s="1"/>
  <c r="BA83" i="3"/>
  <c r="BL398" i="3"/>
  <c r="AZ398" i="3" s="1"/>
  <c r="G403" i="3"/>
  <c r="G405" i="3"/>
  <c r="BA416" i="3"/>
  <c r="AZ416" i="3" s="1"/>
  <c r="BA417" i="3"/>
  <c r="AZ417" i="3" s="1"/>
  <c r="BA418" i="3"/>
  <c r="BL420" i="3"/>
  <c r="AZ420" i="3" s="1"/>
  <c r="BL422" i="3"/>
  <c r="G431" i="3"/>
  <c r="BL448" i="3"/>
  <c r="BL450" i="3"/>
  <c r="BL470" i="3"/>
  <c r="G477" i="3"/>
  <c r="G479" i="3"/>
  <c r="G315" i="3"/>
  <c r="BA348" i="3"/>
  <c r="BA349" i="3"/>
  <c r="AZ349" i="3" s="1"/>
  <c r="G364" i="3"/>
  <c r="G382" i="3"/>
  <c r="BA395" i="3"/>
  <c r="AZ395" i="3" s="1"/>
  <c r="BA396" i="3"/>
  <c r="AZ396" i="3" s="1"/>
  <c r="BL210" i="3"/>
  <c r="BA230" i="3"/>
  <c r="AZ230" i="3" s="1"/>
  <c r="BL232" i="3"/>
  <c r="G237" i="3"/>
  <c r="G238" i="3"/>
  <c r="G239" i="3"/>
  <c r="BL250" i="3"/>
  <c r="AZ250" i="3" s="1"/>
  <c r="G262" i="3"/>
  <c r="G265" i="3"/>
  <c r="G271" i="3"/>
  <c r="G273" i="3"/>
  <c r="BL281" i="3"/>
  <c r="BL287" i="3"/>
  <c r="AZ287" i="3" s="1"/>
  <c r="BL288" i="3"/>
  <c r="AZ288" i="3" s="1"/>
  <c r="BL291" i="3"/>
  <c r="BL294" i="3"/>
  <c r="BA296" i="3"/>
  <c r="BL122" i="3"/>
  <c r="BA132" i="3"/>
  <c r="AZ132" i="3" s="1"/>
  <c r="BL163" i="3"/>
  <c r="AZ163" i="3" s="1"/>
  <c r="BL165" i="3"/>
  <c r="AZ165" i="3" s="1"/>
  <c r="BL166" i="3"/>
  <c r="BL186" i="3"/>
  <c r="AZ186" i="3" s="1"/>
  <c r="BL34" i="3"/>
  <c r="BA35" i="3"/>
  <c r="BA42" i="3"/>
  <c r="AZ42" i="3" s="1"/>
  <c r="BA46" i="3"/>
  <c r="BL54" i="3"/>
  <c r="BA62" i="3"/>
  <c r="BA76" i="3"/>
  <c r="BA445" i="3"/>
  <c r="BA446" i="3"/>
  <c r="AZ446" i="3" s="1"/>
  <c r="BA447" i="3"/>
  <c r="AZ447" i="3" s="1"/>
  <c r="BA208" i="3"/>
  <c r="AZ208" i="3" s="1"/>
  <c r="BA209" i="3"/>
  <c r="AZ209" i="3" s="1"/>
  <c r="BL280" i="3"/>
  <c r="BA285" i="3"/>
  <c r="BA292" i="3"/>
  <c r="AZ292" i="3" s="1"/>
  <c r="BA295" i="3"/>
  <c r="AZ295" i="3" s="1"/>
  <c r="BL121" i="3"/>
  <c r="BA128" i="3"/>
  <c r="AZ128" i="3" s="1"/>
  <c r="BL159" i="3"/>
  <c r="AZ159" i="3" s="1"/>
  <c r="BA169" i="3"/>
  <c r="BL183" i="3"/>
  <c r="AZ183" i="3" s="1"/>
  <c r="BA34" i="3"/>
  <c r="AZ34" i="3" s="1"/>
  <c r="BL53" i="3"/>
  <c r="BL69" i="3"/>
  <c r="BA70" i="3"/>
  <c r="C40" i="71"/>
  <c r="D39" i="71"/>
  <c r="BA399" i="3"/>
  <c r="AZ399" i="3" s="1"/>
  <c r="BL401" i="3"/>
  <c r="BA421" i="3"/>
  <c r="AZ421" i="3" s="1"/>
  <c r="BA422" i="3"/>
  <c r="BA423" i="3"/>
  <c r="AZ423" i="3" s="1"/>
  <c r="BL426" i="3"/>
  <c r="BA449" i="3"/>
  <c r="AZ449" i="3" s="1"/>
  <c r="BA450" i="3"/>
  <c r="BL452" i="3"/>
  <c r="AZ452" i="3" s="1"/>
  <c r="BL454" i="3"/>
  <c r="BA471" i="3"/>
  <c r="AZ471" i="3" s="1"/>
  <c r="BL473" i="3"/>
  <c r="G485" i="3"/>
  <c r="BL368" i="3"/>
  <c r="AZ368" i="3" s="1"/>
  <c r="BL385" i="3"/>
  <c r="AZ385" i="3" s="1"/>
  <c r="BA211" i="3"/>
  <c r="AZ211" i="3" s="1"/>
  <c r="BL213" i="3"/>
  <c r="AZ213" i="3" s="1"/>
  <c r="BL234" i="3"/>
  <c r="AZ234" i="3" s="1"/>
  <c r="BL257" i="3"/>
  <c r="AZ257" i="3" s="1"/>
  <c r="BL279" i="3"/>
  <c r="BA281" i="3"/>
  <c r="AZ281" i="3" s="1"/>
  <c r="BA283" i="3"/>
  <c r="BA289" i="3"/>
  <c r="AZ289" i="3" s="1"/>
  <c r="BA291" i="3"/>
  <c r="BA294" i="3"/>
  <c r="BA125" i="3"/>
  <c r="AZ161" i="3"/>
  <c r="BA184" i="3"/>
  <c r="AZ184" i="3" s="1"/>
  <c r="AZ207" i="3"/>
  <c r="BA33" i="3"/>
  <c r="G47" i="3"/>
  <c r="BL52" i="3"/>
  <c r="BL89" i="3"/>
  <c r="BL285" i="3"/>
  <c r="BA118" i="3"/>
  <c r="AZ118" i="3" s="1"/>
  <c r="BA121" i="3"/>
  <c r="BL133" i="3"/>
  <c r="BL135" i="3"/>
  <c r="AZ135" i="3" s="1"/>
  <c r="BL139" i="3"/>
  <c r="AZ139" i="3" s="1"/>
  <c r="BL143" i="3"/>
  <c r="AZ143" i="3" s="1"/>
  <c r="BL147" i="3"/>
  <c r="AZ147" i="3" s="1"/>
  <c r="BA23" i="3"/>
  <c r="AZ23" i="3" s="1"/>
  <c r="BA24" i="3"/>
  <c r="AZ24" i="3" s="1"/>
  <c r="BL26" i="3"/>
  <c r="AZ26" i="3" s="1"/>
  <c r="BL43" i="3"/>
  <c r="BL59" i="3"/>
  <c r="BA78" i="3"/>
  <c r="AZ78" i="3" s="1"/>
  <c r="BA79" i="3"/>
  <c r="BA80" i="3"/>
  <c r="AZ80" i="3" s="1"/>
  <c r="BL82" i="3"/>
  <c r="BA98" i="3"/>
  <c r="AZ98" i="3" s="1"/>
  <c r="BL103" i="3"/>
  <c r="AZ103" i="3" s="1"/>
  <c r="BL105" i="3"/>
  <c r="AB21" i="34"/>
  <c r="W25" i="40"/>
  <c r="S18" i="35"/>
  <c r="C71" i="71"/>
  <c r="D71" i="71" s="1"/>
  <c r="T17" i="71"/>
  <c r="X16" i="71"/>
  <c r="B27" i="71"/>
  <c r="B28" i="71" s="1"/>
  <c r="B29" i="71" s="1"/>
  <c r="S29" i="71" s="1"/>
  <c r="Z12" i="43"/>
  <c r="AF12" i="43"/>
  <c r="P74" i="15"/>
  <c r="G268" i="3"/>
  <c r="G269" i="3"/>
  <c r="G270" i="3"/>
  <c r="BA284" i="3"/>
  <c r="AZ284" i="3" s="1"/>
  <c r="BL286" i="3"/>
  <c r="AZ286" i="3" s="1"/>
  <c r="BA124" i="3"/>
  <c r="AZ124" i="3" s="1"/>
  <c r="BA126" i="3"/>
  <c r="AZ126" i="3" s="1"/>
  <c r="BA129" i="3"/>
  <c r="AZ129" i="3" s="1"/>
  <c r="BA130" i="3"/>
  <c r="BL149" i="3"/>
  <c r="AZ149" i="3" s="1"/>
  <c r="G168" i="3"/>
  <c r="G174" i="3"/>
  <c r="G175" i="3"/>
  <c r="G178" i="3"/>
  <c r="G179" i="3"/>
  <c r="BL46" i="3"/>
  <c r="BL62" i="3"/>
  <c r="BL83" i="3"/>
  <c r="G88" i="3"/>
  <c r="G89" i="3"/>
  <c r="G90" i="3"/>
  <c r="BA100" i="3"/>
  <c r="AZ100" i="3" s="1"/>
  <c r="BA101" i="3"/>
  <c r="AZ101" i="3" s="1"/>
  <c r="BA102" i="3"/>
  <c r="AZ102" i="3" s="1"/>
  <c r="D108" i="43"/>
  <c r="W21" i="34"/>
  <c r="BL30" i="3"/>
  <c r="BA44" i="3"/>
  <c r="AZ44" i="3" s="1"/>
  <c r="BA45" i="3"/>
  <c r="AZ45" i="3" s="1"/>
  <c r="BL47" i="3"/>
  <c r="AZ47" i="3" s="1"/>
  <c r="BA60" i="3"/>
  <c r="BA61" i="3"/>
  <c r="AZ61" i="3" s="1"/>
  <c r="BL63" i="3"/>
  <c r="AZ63" i="3" s="1"/>
  <c r="BL84" i="3"/>
  <c r="BA104" i="3"/>
  <c r="BA105" i="3"/>
  <c r="BL108" i="3"/>
  <c r="AZ108" i="3" s="1"/>
  <c r="AA12" i="43"/>
  <c r="AG12" i="43"/>
  <c r="P61" i="67"/>
  <c r="G190" i="3"/>
  <c r="G191" i="3"/>
  <c r="G194" i="3"/>
  <c r="G195" i="3"/>
  <c r="BA27" i="3"/>
  <c r="BA28" i="3"/>
  <c r="AZ28" i="3" s="1"/>
  <c r="BA29" i="3"/>
  <c r="BL31" i="3"/>
  <c r="BL65" i="3"/>
  <c r="AZ65" i="3" s="1"/>
  <c r="BL85" i="3"/>
  <c r="AZ85" i="3" s="1"/>
  <c r="BA106" i="3"/>
  <c r="BA107" i="3"/>
  <c r="AZ107" i="3" s="1"/>
  <c r="BL109" i="3"/>
  <c r="AZ109" i="3" s="1"/>
  <c r="I108" i="43"/>
  <c r="I15" i="66"/>
  <c r="U21" i="37"/>
  <c r="C55" i="71"/>
  <c r="AA27" i="71"/>
  <c r="X20" i="71"/>
  <c r="AA18" i="71"/>
  <c r="Y19" i="71"/>
  <c r="Z19" i="71" s="1"/>
  <c r="AB21" i="71"/>
  <c r="X22" i="71"/>
  <c r="V57" i="71"/>
  <c r="BL32" i="3"/>
  <c r="BL49" i="3"/>
  <c r="G54" i="3"/>
  <c r="BA64" i="3"/>
  <c r="BL66" i="3"/>
  <c r="BL86" i="3"/>
  <c r="BL110" i="3"/>
  <c r="C21" i="68"/>
  <c r="B86" i="43"/>
  <c r="P56" i="71"/>
  <c r="Y24" i="71"/>
  <c r="Z24" i="71" s="1"/>
  <c r="B37" i="71"/>
  <c r="S37" i="71" s="1"/>
  <c r="BA156" i="3"/>
  <c r="AZ156" i="3" s="1"/>
  <c r="BL170" i="3"/>
  <c r="BL181" i="3"/>
  <c r="BL33" i="3"/>
  <c r="BA48" i="3"/>
  <c r="AZ48" i="3" s="1"/>
  <c r="BL50" i="3"/>
  <c r="BL67" i="3"/>
  <c r="AZ67" i="3" s="1"/>
  <c r="BL90" i="3"/>
  <c r="BL111" i="3"/>
  <c r="AZ111" i="3" s="1"/>
  <c r="AA16" i="71"/>
  <c r="C68" i="71"/>
  <c r="E41" i="71"/>
  <c r="U41" i="71" s="1"/>
  <c r="BA267" i="3"/>
  <c r="AZ267" i="3" s="1"/>
  <c r="BA268" i="3"/>
  <c r="AZ268" i="3" s="1"/>
  <c r="BA269" i="3"/>
  <c r="AZ269" i="3" s="1"/>
  <c r="BL271" i="3"/>
  <c r="AZ271" i="3" s="1"/>
  <c r="G279" i="3"/>
  <c r="G280" i="3"/>
  <c r="G281" i="3"/>
  <c r="G282" i="3"/>
  <c r="BL293" i="3"/>
  <c r="AZ293" i="3" s="1"/>
  <c r="G114" i="3"/>
  <c r="G115" i="3"/>
  <c r="BA168" i="3"/>
  <c r="AZ168" i="3" s="1"/>
  <c r="BA173" i="3"/>
  <c r="AZ173" i="3" s="1"/>
  <c r="BA174" i="3"/>
  <c r="AZ174" i="3" s="1"/>
  <c r="BA177" i="3"/>
  <c r="BA178" i="3"/>
  <c r="AZ178" i="3" s="1"/>
  <c r="BL182" i="3"/>
  <c r="AZ182" i="3" s="1"/>
  <c r="BL185" i="3"/>
  <c r="BL191" i="3"/>
  <c r="AZ191" i="3" s="1"/>
  <c r="BL195" i="3"/>
  <c r="AZ195" i="3" s="1"/>
  <c r="G19" i="3"/>
  <c r="G20" i="3"/>
  <c r="G21" i="3"/>
  <c r="G22" i="3"/>
  <c r="BL36" i="3"/>
  <c r="AZ36" i="3" s="1"/>
  <c r="BL51" i="3"/>
  <c r="AZ51" i="3" s="1"/>
  <c r="G57" i="3"/>
  <c r="BL70" i="3"/>
  <c r="BA87" i="3"/>
  <c r="BA88" i="3"/>
  <c r="BA89" i="3"/>
  <c r="BL92" i="3"/>
  <c r="C21" i="69"/>
  <c r="Y26" i="71"/>
  <c r="Z26" i="71" s="1"/>
  <c r="AA22" i="71"/>
  <c r="E37" i="71"/>
  <c r="U37" i="71" s="1"/>
  <c r="B68" i="71"/>
  <c r="B67" i="71" s="1"/>
  <c r="BA68" i="3"/>
  <c r="AZ68" i="3" s="1"/>
  <c r="BA69" i="3"/>
  <c r="BL71" i="3"/>
  <c r="AZ71" i="3" s="1"/>
  <c r="G79" i="3"/>
  <c r="G80" i="3"/>
  <c r="G81" i="3"/>
  <c r="BA91" i="3"/>
  <c r="BL93" i="3"/>
  <c r="AZ93" i="3" s="1"/>
  <c r="G99" i="3"/>
  <c r="BA112" i="3"/>
  <c r="C53" i="71"/>
  <c r="T53" i="71" s="1"/>
  <c r="AA3" i="71"/>
  <c r="AA25" i="71"/>
  <c r="X18" i="71"/>
  <c r="AB24" i="71"/>
  <c r="Y27" i="71"/>
  <c r="Z27" i="71" s="1"/>
  <c r="F40" i="71"/>
  <c r="F41" i="71" s="1"/>
  <c r="V41" i="71" s="1"/>
  <c r="F68" i="71"/>
  <c r="F67" i="71" s="1"/>
  <c r="I10" i="66"/>
  <c r="S21" i="33"/>
  <c r="AB16" i="71"/>
  <c r="X25" i="71"/>
  <c r="F36" i="71"/>
  <c r="F37" i="71" s="1"/>
  <c r="V37" i="71" s="1"/>
  <c r="BL277" i="3"/>
  <c r="BL301" i="3"/>
  <c r="AZ301" i="3" s="1"/>
  <c r="BL115" i="3"/>
  <c r="AZ115" i="3" s="1"/>
  <c r="G135" i="3"/>
  <c r="G138" i="3"/>
  <c r="G139" i="3"/>
  <c r="G142" i="3"/>
  <c r="G143" i="3"/>
  <c r="G146" i="3"/>
  <c r="G147" i="3"/>
  <c r="BA188" i="3"/>
  <c r="AZ188" i="3" s="1"/>
  <c r="BL205" i="3"/>
  <c r="BL207" i="3"/>
  <c r="BL40" i="3"/>
  <c r="AZ40" i="3" s="1"/>
  <c r="G45" i="3"/>
  <c r="G46" i="3"/>
  <c r="BA52" i="3"/>
  <c r="BA53" i="3"/>
  <c r="BL55" i="3"/>
  <c r="AZ55" i="3" s="1"/>
  <c r="G61" i="3"/>
  <c r="G62" i="3"/>
  <c r="BL76" i="3"/>
  <c r="BL96" i="3"/>
  <c r="AB21" i="33"/>
  <c r="S29" i="39"/>
  <c r="D45" i="71"/>
  <c r="C75" i="71"/>
  <c r="D75" i="71" s="1"/>
  <c r="AB14" i="71"/>
  <c r="AA24" i="71"/>
  <c r="F24" i="71"/>
  <c r="F25" i="71" s="1"/>
  <c r="V25" i="71" s="1"/>
  <c r="Y25" i="71"/>
  <c r="Z25" i="71" s="1"/>
  <c r="B44" i="71"/>
  <c r="B45" i="71" s="1"/>
  <c r="S45" i="71" s="1"/>
  <c r="K56" i="9"/>
  <c r="BA254" i="3"/>
  <c r="AZ254" i="3" s="1"/>
  <c r="BL256" i="3"/>
  <c r="G263" i="3"/>
  <c r="G264" i="3"/>
  <c r="BA276" i="3"/>
  <c r="AZ276" i="3" s="1"/>
  <c r="BL282" i="3"/>
  <c r="BA300" i="3"/>
  <c r="AZ300" i="3" s="1"/>
  <c r="BL117" i="3"/>
  <c r="BL119" i="3"/>
  <c r="AZ119" i="3" s="1"/>
  <c r="BA200" i="3"/>
  <c r="AZ200" i="3" s="1"/>
  <c r="BA202" i="3"/>
  <c r="AZ202" i="3" s="1"/>
  <c r="BA206" i="3"/>
  <c r="AZ206" i="3" s="1"/>
  <c r="BL22" i="3"/>
  <c r="AZ22" i="3" s="1"/>
  <c r="G28" i="3"/>
  <c r="G29" i="3"/>
  <c r="G30" i="3"/>
  <c r="BA38" i="3"/>
  <c r="AZ38" i="3" s="1"/>
  <c r="BA39" i="3"/>
  <c r="BL41" i="3"/>
  <c r="AZ41" i="3" s="1"/>
  <c r="BL57" i="3"/>
  <c r="BA73" i="3"/>
  <c r="AZ73" i="3" s="1"/>
  <c r="BA74" i="3"/>
  <c r="AZ74" i="3" s="1"/>
  <c r="BA75" i="3"/>
  <c r="AZ75" i="3" s="1"/>
  <c r="BL77" i="3"/>
  <c r="AZ77" i="3" s="1"/>
  <c r="BA95" i="3"/>
  <c r="AZ95" i="3" s="1"/>
  <c r="BL97" i="3"/>
  <c r="AZ97" i="3" s="1"/>
  <c r="G107" i="3"/>
  <c r="G108" i="3"/>
  <c r="P27" i="6"/>
  <c r="D23" i="71"/>
  <c r="AA23" i="71"/>
  <c r="AA19" i="71"/>
  <c r="B32" i="71"/>
  <c r="B33" i="71" s="1"/>
  <c r="S33" i="71" s="1"/>
  <c r="M56" i="9"/>
  <c r="C20" i="71"/>
  <c r="AB22" i="71"/>
  <c r="Y18" i="71"/>
  <c r="Z18" i="71" s="1"/>
  <c r="AB20" i="71"/>
  <c r="Y23" i="71"/>
  <c r="Z23" i="71" s="1"/>
  <c r="AB25" i="71"/>
  <c r="AB15" i="21"/>
  <c r="AC15" i="21"/>
  <c r="G70" i="39"/>
  <c r="H68" i="39"/>
  <c r="S10" i="21"/>
  <c r="AA10" i="21"/>
  <c r="U9" i="21"/>
  <c r="AB9" i="21"/>
  <c r="AQ8" i="1"/>
  <c r="AR8" i="1"/>
  <c r="F23" i="21"/>
  <c r="S23" i="21" s="1"/>
  <c r="F85" i="21"/>
  <c r="G85" i="21" s="1"/>
  <c r="H23" i="21"/>
  <c r="S19" i="33"/>
  <c r="AA19" i="33"/>
  <c r="M6" i="1"/>
  <c r="O6" i="1" s="1"/>
  <c r="P6" i="1" s="1"/>
  <c r="U27" i="36"/>
  <c r="AB27" i="36"/>
  <c r="AB44" i="34"/>
  <c r="U44" i="34"/>
  <c r="S10" i="33"/>
  <c r="AA10" i="33"/>
  <c r="AC27" i="40"/>
  <c r="W27" i="40"/>
  <c r="H73" i="43"/>
  <c r="H75" i="43"/>
  <c r="H78" i="43"/>
  <c r="H72" i="43"/>
  <c r="E60" i="40"/>
  <c r="E65" i="39"/>
  <c r="AZ509" i="3"/>
  <c r="AZ501" i="3"/>
  <c r="AA12" i="36"/>
  <c r="S12" i="36"/>
  <c r="C20" i="43"/>
  <c r="P23" i="43"/>
  <c r="B71" i="39" s="1"/>
  <c r="P22" i="43"/>
  <c r="D12" i="52"/>
  <c r="D127" i="9"/>
  <c r="D13" i="52" s="1"/>
  <c r="B34" i="72"/>
  <c r="D17" i="53"/>
  <c r="B36" i="72" s="1"/>
  <c r="M49" i="9"/>
  <c r="D124" i="9"/>
  <c r="AC27" i="33"/>
  <c r="U11" i="34"/>
  <c r="AC32" i="21"/>
  <c r="T8" i="1"/>
  <c r="D121" i="9"/>
  <c r="D7" i="52" s="1"/>
  <c r="U23" i="33"/>
  <c r="AC17" i="37"/>
  <c r="AZ13" i="3"/>
  <c r="T12" i="1"/>
  <c r="AR9" i="1"/>
  <c r="AQ9" i="1"/>
  <c r="AR13" i="1"/>
  <c r="AQ13" i="1"/>
  <c r="T13" i="1"/>
  <c r="AQ10" i="1"/>
  <c r="AR10" i="1"/>
  <c r="AB12" i="39"/>
  <c r="U12" i="39"/>
  <c r="AA23" i="39"/>
  <c r="S23" i="39"/>
  <c r="W39" i="34"/>
  <c r="AC39" i="34"/>
  <c r="S35" i="33"/>
  <c r="AA35" i="33"/>
  <c r="S27" i="40"/>
  <c r="AA27" i="40"/>
  <c r="U27" i="40"/>
  <c r="AB27" i="40"/>
  <c r="W34" i="33"/>
  <c r="AC34" i="33"/>
  <c r="H52" i="43"/>
  <c r="H55" i="43"/>
  <c r="E28" i="6"/>
  <c r="AZ521" i="3"/>
  <c r="C23" i="12"/>
  <c r="E2" i="70"/>
  <c r="H64" i="43"/>
  <c r="H66" i="43"/>
  <c r="C58" i="21"/>
  <c r="D58" i="21" s="1"/>
  <c r="E58" i="21" s="1"/>
  <c r="F58" i="21" s="1"/>
  <c r="G58" i="21" s="1"/>
  <c r="I7" i="21"/>
  <c r="E7" i="21"/>
  <c r="F7" i="21" s="1"/>
  <c r="G7" i="21"/>
  <c r="E14" i="6"/>
  <c r="E64" i="39" s="1"/>
  <c r="E10" i="6"/>
  <c r="W43" i="33"/>
  <c r="S42" i="33"/>
  <c r="U28" i="34"/>
  <c r="AB41" i="34"/>
  <c r="U23" i="37"/>
  <c r="AB17" i="37"/>
  <c r="AC15" i="37"/>
  <c r="S36" i="37"/>
  <c r="AB31" i="37"/>
  <c r="AA10" i="35"/>
  <c r="AA22" i="36"/>
  <c r="AA26" i="36"/>
  <c r="S15" i="39"/>
  <c r="AB19" i="40"/>
  <c r="AA19" i="40"/>
  <c r="C31" i="12"/>
  <c r="W28" i="37"/>
  <c r="E13" i="6"/>
  <c r="U12" i="40"/>
  <c r="S15" i="37"/>
  <c r="AC11" i="39"/>
  <c r="AC5" i="3"/>
  <c r="S11" i="39"/>
  <c r="W35" i="40"/>
  <c r="U35" i="35"/>
  <c r="AZ562" i="3"/>
  <c r="AZ570" i="3"/>
  <c r="W35" i="39"/>
  <c r="U31" i="34"/>
  <c r="AC31" i="34"/>
  <c r="W31" i="34"/>
  <c r="U30" i="21"/>
  <c r="AB30" i="21"/>
  <c r="S15" i="34"/>
  <c r="AA28" i="34"/>
  <c r="S28" i="34"/>
  <c r="F12" i="21"/>
  <c r="J12" i="21"/>
  <c r="H12" i="21"/>
  <c r="H31" i="21"/>
  <c r="J31" i="21"/>
  <c r="F31" i="21"/>
  <c r="E123" i="21"/>
  <c r="F123" i="21" s="1"/>
  <c r="G123" i="21" s="1"/>
  <c r="H123" i="21" s="1"/>
  <c r="I123" i="21" s="1"/>
  <c r="J123" i="21" s="1"/>
  <c r="K123" i="21" s="1"/>
  <c r="L123" i="21" s="1"/>
  <c r="M123" i="21" s="1"/>
  <c r="J42" i="21"/>
  <c r="AB8" i="33"/>
  <c r="U8" i="33"/>
  <c r="AA9" i="33"/>
  <c r="U12" i="33"/>
  <c r="AB12" i="33"/>
  <c r="AB35" i="33"/>
  <c r="U35" i="33"/>
  <c r="AC34" i="35"/>
  <c r="W34" i="35"/>
  <c r="H14" i="33"/>
  <c r="F14" i="33"/>
  <c r="J14" i="33"/>
  <c r="J44" i="33"/>
  <c r="F44" i="33"/>
  <c r="J46" i="33"/>
  <c r="F46" i="33"/>
  <c r="H46" i="33"/>
  <c r="H13" i="34"/>
  <c r="J13" i="34"/>
  <c r="F13" i="34"/>
  <c r="J39" i="37"/>
  <c r="F39" i="37"/>
  <c r="H39" i="37"/>
  <c r="J14" i="39"/>
  <c r="F14" i="39"/>
  <c r="AC31" i="40"/>
  <c r="W31" i="40"/>
  <c r="J39" i="40"/>
  <c r="H39" i="40"/>
  <c r="U41" i="21"/>
  <c r="AB41" i="21"/>
  <c r="W38" i="34"/>
  <c r="AC38" i="34"/>
  <c r="U42" i="34"/>
  <c r="AB42" i="34"/>
  <c r="BA577" i="3"/>
  <c r="AZ577" i="3" s="1"/>
  <c r="BL574" i="3"/>
  <c r="BA573" i="3"/>
  <c r="AZ573" i="3" s="1"/>
  <c r="BL572" i="3"/>
  <c r="BA561" i="3"/>
  <c r="AZ561" i="3" s="1"/>
  <c r="BA558" i="3"/>
  <c r="AZ558" i="3" s="1"/>
  <c r="BL556" i="3"/>
  <c r="BA556" i="3"/>
  <c r="BA551" i="3"/>
  <c r="AZ551" i="3" s="1"/>
  <c r="AZ581" i="3"/>
  <c r="AZ572" i="3"/>
  <c r="S13" i="35"/>
  <c r="AA13" i="35"/>
  <c r="AA41" i="33"/>
  <c r="S41" i="33"/>
  <c r="U23" i="34"/>
  <c r="AB23" i="34"/>
  <c r="AB33" i="35"/>
  <c r="U33" i="35"/>
  <c r="W34" i="36"/>
  <c r="AC34" i="36"/>
  <c r="W11" i="40"/>
  <c r="AC11" i="40"/>
  <c r="AC36" i="39"/>
  <c r="W36" i="39"/>
  <c r="W45" i="39"/>
  <c r="AC45" i="39"/>
  <c r="AA34" i="34"/>
  <c r="S34" i="34"/>
  <c r="J12" i="36"/>
  <c r="H12" i="36"/>
  <c r="J24" i="36"/>
  <c r="H24" i="36"/>
  <c r="F24" i="36"/>
  <c r="BA548" i="3"/>
  <c r="BA545" i="3"/>
  <c r="AZ545" i="3" s="1"/>
  <c r="BL544" i="3"/>
  <c r="BA544" i="3"/>
  <c r="BL542" i="3"/>
  <c r="BA542" i="3"/>
  <c r="BA541" i="3"/>
  <c r="AZ541" i="3" s="1"/>
  <c r="BA540" i="3"/>
  <c r="AZ540" i="3" s="1"/>
  <c r="BA538" i="3"/>
  <c r="AZ538" i="3" s="1"/>
  <c r="BA537" i="3"/>
  <c r="AZ537" i="3" s="1"/>
  <c r="BL536" i="3"/>
  <c r="BA536" i="3"/>
  <c r="AZ536" i="3" s="1"/>
  <c r="BL534" i="3"/>
  <c r="BA534" i="3"/>
  <c r="BL532" i="3"/>
  <c r="BA532" i="3"/>
  <c r="BA530" i="3"/>
  <c r="BL528" i="3"/>
  <c r="AZ528" i="3" s="1"/>
  <c r="BL526" i="3"/>
  <c r="AZ526" i="3" s="1"/>
  <c r="BL585" i="3"/>
  <c r="AZ585" i="3" s="1"/>
  <c r="J26" i="33"/>
  <c r="F26" i="33"/>
  <c r="AB34" i="35"/>
  <c r="U34" i="35"/>
  <c r="H23" i="35"/>
  <c r="J23" i="35"/>
  <c r="S31" i="36"/>
  <c r="AA31" i="36"/>
  <c r="F38" i="40"/>
  <c r="J38" i="40"/>
  <c r="H38" i="40"/>
  <c r="BL550" i="3"/>
  <c r="AZ400" i="3"/>
  <c r="AZ424" i="3"/>
  <c r="AZ429" i="3"/>
  <c r="AZ439" i="3"/>
  <c r="AZ444" i="3"/>
  <c r="AZ456" i="3"/>
  <c r="AZ466" i="3"/>
  <c r="AZ472" i="3"/>
  <c r="AZ332" i="3"/>
  <c r="AZ212" i="3"/>
  <c r="AZ220" i="3"/>
  <c r="AZ228" i="3"/>
  <c r="AZ231" i="3"/>
  <c r="AZ244" i="3"/>
  <c r="AZ260" i="3"/>
  <c r="AZ282" i="3"/>
  <c r="AZ285" i="3"/>
  <c r="AZ290" i="3"/>
  <c r="AZ169" i="3"/>
  <c r="AZ185" i="3"/>
  <c r="AZ201" i="3"/>
  <c r="AZ49" i="3"/>
  <c r="AZ92" i="3"/>
  <c r="F3" i="35"/>
  <c r="D24" i="67"/>
  <c r="D23" i="67"/>
  <c r="AB21" i="21"/>
  <c r="U21" i="21"/>
  <c r="C15" i="71"/>
  <c r="D15" i="71" s="1"/>
  <c r="D16" i="71"/>
  <c r="D22" i="67"/>
  <c r="W21" i="33"/>
  <c r="W21" i="37"/>
  <c r="D53" i="71"/>
  <c r="P54" i="71"/>
  <c r="P55" i="71"/>
  <c r="C25" i="71"/>
  <c r="D24" i="71"/>
  <c r="B16" i="71"/>
  <c r="B15" i="71" s="1"/>
  <c r="S17" i="71"/>
  <c r="D27" i="71"/>
  <c r="C28" i="71"/>
  <c r="D31" i="71"/>
  <c r="C32" i="71"/>
  <c r="C36" i="71"/>
  <c r="D36" i="71" s="1"/>
  <c r="D35" i="71"/>
  <c r="S21" i="34"/>
  <c r="S25" i="40"/>
  <c r="V17" i="71"/>
  <c r="AA17" i="71"/>
  <c r="AA15" i="71"/>
  <c r="AB17" i="71"/>
  <c r="AB15" i="71"/>
  <c r="D69" i="71"/>
  <c r="D61" i="71"/>
  <c r="X17" i="71"/>
  <c r="X15" i="71"/>
  <c r="Y17" i="71"/>
  <c r="Z17" i="71" s="1"/>
  <c r="Y16" i="71"/>
  <c r="Z16" i="71" s="1"/>
  <c r="Y15" i="71"/>
  <c r="Z15" i="71" s="1"/>
  <c r="Y14" i="71"/>
  <c r="Z14" i="71" s="1"/>
  <c r="Y3" i="71"/>
  <c r="Z3" i="71" s="1"/>
  <c r="X24" i="71"/>
  <c r="X23" i="71"/>
  <c r="AA21" i="71"/>
  <c r="AA20" i="71"/>
  <c r="AB18" i="71"/>
  <c r="AA26" i="71"/>
  <c r="X13" i="71"/>
  <c r="Y13" i="71"/>
  <c r="Z13" i="71" s="1"/>
  <c r="Y11" i="71"/>
  <c r="Z11" i="71" s="1"/>
  <c r="AB12" i="71"/>
  <c r="AB10" i="71"/>
  <c r="AA7" i="71"/>
  <c r="AB7" i="71"/>
  <c r="X6" i="71"/>
  <c r="Y6" i="71"/>
  <c r="Z6" i="71" s="1"/>
  <c r="AA6" i="71"/>
  <c r="AB6" i="71"/>
  <c r="S57" i="71"/>
  <c r="B56" i="71"/>
  <c r="AA12" i="71"/>
  <c r="X11" i="71"/>
  <c r="AA10" i="71"/>
  <c r="X7" i="71"/>
  <c r="Y10" i="71"/>
  <c r="Z10" i="71" s="1"/>
  <c r="Y7" i="71"/>
  <c r="Z7" i="71" s="1"/>
  <c r="X5" i="71"/>
  <c r="Y5" i="71"/>
  <c r="Z5" i="71" s="1"/>
  <c r="AA5" i="71"/>
  <c r="AB5" i="71"/>
  <c r="AA11" i="71"/>
  <c r="X10" i="71"/>
  <c r="AA13" i="71"/>
  <c r="AB13" i="71"/>
  <c r="B13" i="71"/>
  <c r="C13" i="71"/>
  <c r="Y12" i="71"/>
  <c r="Z12" i="71" s="1"/>
  <c r="G17" i="43"/>
  <c r="C16" i="43" s="1"/>
  <c r="D5" i="43" s="1"/>
  <c r="AB44" i="21"/>
  <c r="U33" i="21"/>
  <c r="AB11" i="21"/>
  <c r="B9" i="49"/>
  <c r="B56" i="43"/>
  <c r="C25" i="39"/>
  <c r="C15" i="39"/>
  <c r="E9" i="49"/>
  <c r="B4" i="49"/>
  <c r="E8" i="49"/>
  <c r="B14" i="49"/>
  <c r="E11" i="49"/>
  <c r="B11" i="49"/>
  <c r="B8" i="49"/>
  <c r="E14" i="49"/>
  <c r="E22" i="49"/>
  <c r="E21" i="49"/>
  <c r="E4" i="49"/>
  <c r="B13" i="49"/>
  <c r="E7" i="49"/>
  <c r="B6" i="49"/>
  <c r="C4" i="4" s="1"/>
  <c r="B4" i="62" s="1"/>
  <c r="B71" i="72" s="1"/>
  <c r="B10" i="49"/>
  <c r="E4" i="4" s="1"/>
  <c r="B5" i="62" s="1"/>
  <c r="B73" i="72" s="1"/>
  <c r="E13" i="49"/>
  <c r="B22" i="49"/>
  <c r="E6" i="49"/>
  <c r="E10" i="49"/>
  <c r="T7" i="1"/>
  <c r="K14" i="1"/>
  <c r="AR7" i="1"/>
  <c r="L19" i="6"/>
  <c r="L27" i="6" s="1"/>
  <c r="C36" i="11"/>
  <c r="E12" i="6"/>
  <c r="C36" i="69"/>
  <c r="F22" i="43"/>
  <c r="B113" i="43"/>
  <c r="C101" i="43"/>
  <c r="N104" i="46"/>
  <c r="L101" i="43"/>
  <c r="D101" i="43"/>
  <c r="M101" i="43"/>
  <c r="I101" i="43"/>
  <c r="E101" i="43"/>
  <c r="AH11" i="43"/>
  <c r="AH13" i="43" s="1"/>
  <c r="AD11" i="43"/>
  <c r="AD13" i="43" s="1"/>
  <c r="Z11" i="43"/>
  <c r="Z13" i="43" s="1"/>
  <c r="AG11" i="43"/>
  <c r="AG13" i="43" s="1"/>
  <c r="AC11" i="43"/>
  <c r="AC13" i="43" s="1"/>
  <c r="Y11" i="43"/>
  <c r="Y13" i="43" s="1"/>
  <c r="G101" i="43"/>
  <c r="J101" i="43"/>
  <c r="H22" i="43"/>
  <c r="H101" i="43"/>
  <c r="G22" i="43"/>
  <c r="AJ11" i="43"/>
  <c r="AJ13" i="43" s="1"/>
  <c r="AF11" i="43"/>
  <c r="AF13" i="43" s="1"/>
  <c r="AB11" i="43"/>
  <c r="AB13" i="43" s="1"/>
  <c r="Z7" i="43"/>
  <c r="AI11" i="43"/>
  <c r="AI13" i="43" s="1"/>
  <c r="AE11" i="43"/>
  <c r="AE13" i="43" s="1"/>
  <c r="AA11" i="43"/>
  <c r="J22" i="43"/>
  <c r="O11" i="1"/>
  <c r="P11" i="1" s="1"/>
  <c r="E56" i="40"/>
  <c r="O9" i="1"/>
  <c r="P9" i="1" s="1"/>
  <c r="O8" i="1"/>
  <c r="P8" i="1"/>
  <c r="E22" i="43"/>
  <c r="N101" i="43"/>
  <c r="F101" i="43"/>
  <c r="K101" i="43"/>
  <c r="AC21" i="21"/>
  <c r="W44" i="21"/>
  <c r="AB38" i="21"/>
  <c r="AC29" i="21"/>
  <c r="W29" i="21"/>
  <c r="F69" i="21"/>
  <c r="G69" i="21" s="1"/>
  <c r="H69" i="21" s="1"/>
  <c r="I69" i="21" s="1"/>
  <c r="J69" i="21" s="1"/>
  <c r="K69" i="21" s="1"/>
  <c r="L69" i="21" s="1"/>
  <c r="M69" i="21" s="1"/>
  <c r="F11" i="21"/>
  <c r="S21" i="21"/>
  <c r="U10" i="21"/>
  <c r="U43" i="21"/>
  <c r="S40" i="21"/>
  <c r="H113" i="21"/>
  <c r="F37" i="21"/>
  <c r="J37" i="21"/>
  <c r="H37" i="21"/>
  <c r="U35" i="21"/>
  <c r="AB45" i="21"/>
  <c r="U34" i="21"/>
  <c r="S32" i="21"/>
  <c r="D8" i="74"/>
  <c r="C8" i="74"/>
  <c r="S42" i="21"/>
  <c r="AA25" i="21"/>
  <c r="U26" i="21"/>
  <c r="AA23" i="21"/>
  <c r="W17" i="21"/>
  <c r="G16" i="1"/>
  <c r="F10" i="40" s="1"/>
  <c r="H58" i="21"/>
  <c r="I58" i="21" s="1"/>
  <c r="J58" i="21" s="1"/>
  <c r="K58" i="21" s="1"/>
  <c r="L58" i="21" s="1"/>
  <c r="M58" i="21" s="1"/>
  <c r="N58" i="21" s="1"/>
  <c r="O58" i="21" s="1"/>
  <c r="F59" i="34"/>
  <c r="S7" i="33"/>
  <c r="AA7" i="33"/>
  <c r="R48" i="33" s="1"/>
  <c r="D46" i="36"/>
  <c r="AB7" i="33"/>
  <c r="T48" i="33" s="1"/>
  <c r="G48" i="33" s="1"/>
  <c r="U7" i="33"/>
  <c r="E48" i="35"/>
  <c r="D52" i="37"/>
  <c r="C6" i="15"/>
  <c r="F69" i="67"/>
  <c r="B10" i="70"/>
  <c r="B11" i="70"/>
  <c r="N59" i="15"/>
  <c r="L59" i="15"/>
  <c r="L58" i="15"/>
  <c r="M59" i="15"/>
  <c r="B8" i="70"/>
  <c r="F66" i="15"/>
  <c r="Q71" i="67"/>
  <c r="Q71" i="15"/>
  <c r="C6" i="67"/>
  <c r="F63" i="15"/>
  <c r="C62" i="15" s="1"/>
  <c r="C34" i="15"/>
  <c r="B6" i="70"/>
  <c r="B20" i="31"/>
  <c r="C27" i="67"/>
  <c r="J57" i="15"/>
  <c r="J55" i="15" s="1"/>
  <c r="J58" i="15" s="1"/>
  <c r="Q50" i="15" s="1"/>
  <c r="I54" i="15"/>
  <c r="J53" i="15"/>
  <c r="F71" i="67"/>
  <c r="C27" i="15"/>
  <c r="I1" i="73"/>
  <c r="B39" i="1" s="1"/>
  <c r="F51" i="67"/>
  <c r="F65" i="15"/>
  <c r="F65" i="67"/>
  <c r="B9" i="70"/>
  <c r="F50" i="15"/>
  <c r="M7" i="15"/>
  <c r="B13" i="70"/>
  <c r="M7" i="67"/>
  <c r="F50" i="67"/>
  <c r="F68" i="67"/>
  <c r="F51" i="15"/>
  <c r="B12" i="70"/>
  <c r="F71" i="15"/>
  <c r="J20" i="15"/>
  <c r="B7" i="70"/>
  <c r="F68" i="15"/>
  <c r="F59" i="15"/>
  <c r="F59" i="67"/>
  <c r="M17" i="15"/>
  <c r="M17" i="67"/>
  <c r="M27" i="67"/>
  <c r="D3" i="73"/>
  <c r="D6" i="73"/>
  <c r="D4" i="73"/>
  <c r="F16" i="67"/>
  <c r="F36" i="15"/>
  <c r="C17" i="67"/>
  <c r="F38" i="67"/>
  <c r="C14" i="67"/>
  <c r="F41" i="15"/>
  <c r="L48" i="67"/>
  <c r="D5" i="73"/>
  <c r="M28" i="67"/>
  <c r="F36" i="67"/>
  <c r="L47" i="67"/>
  <c r="M21" i="67"/>
  <c r="C16" i="15"/>
  <c r="M29" i="67"/>
  <c r="C17" i="15"/>
  <c r="F42" i="67"/>
  <c r="F35" i="67"/>
  <c r="M6" i="67"/>
  <c r="C14" i="15"/>
  <c r="F63" i="67" l="1"/>
  <c r="C62" i="67" s="1"/>
  <c r="C34" i="67"/>
  <c r="F70" i="67"/>
  <c r="J20" i="67"/>
  <c r="M59" i="67"/>
  <c r="N59" i="67"/>
  <c r="L58" i="67"/>
  <c r="L59" i="67"/>
  <c r="F64" i="67"/>
  <c r="I54" i="67"/>
  <c r="J53" i="67"/>
  <c r="L56" i="67"/>
  <c r="J57" i="67"/>
  <c r="J55" i="67" s="1"/>
  <c r="J58" i="67" s="1"/>
  <c r="Q50" i="67" s="1"/>
  <c r="F66" i="67"/>
  <c r="E20" i="43"/>
  <c r="K1" i="73"/>
  <c r="AZ145" i="3"/>
  <c r="AZ273" i="3"/>
  <c r="AZ50" i="3"/>
  <c r="AZ299" i="3"/>
  <c r="AZ88" i="3"/>
  <c r="AZ574" i="3"/>
  <c r="AZ117" i="3"/>
  <c r="AZ87" i="3"/>
  <c r="AZ27" i="3"/>
  <c r="AZ130" i="3"/>
  <c r="AZ79" i="3"/>
  <c r="AZ121" i="3"/>
  <c r="AZ473" i="3"/>
  <c r="AZ46" i="3"/>
  <c r="AZ232" i="3"/>
  <c r="AZ470" i="3"/>
  <c r="AZ133" i="3"/>
  <c r="AZ489" i="3"/>
  <c r="AZ266" i="3"/>
  <c r="AZ479" i="3"/>
  <c r="AZ274" i="3"/>
  <c r="S30" i="33"/>
  <c r="AA30" i="33"/>
  <c r="C48" i="69"/>
  <c r="C30" i="69"/>
  <c r="W40" i="37"/>
  <c r="AC40" i="37"/>
  <c r="W31" i="39"/>
  <c r="AC31" i="39"/>
  <c r="AZ39" i="3"/>
  <c r="AZ69" i="3"/>
  <c r="AZ177" i="3"/>
  <c r="AZ60" i="3"/>
  <c r="AZ283" i="3"/>
  <c r="AZ70" i="3"/>
  <c r="AZ210" i="3"/>
  <c r="AZ448" i="3"/>
  <c r="AZ31" i="3"/>
  <c r="AC27" i="37"/>
  <c r="W27" i="37"/>
  <c r="AB23" i="36"/>
  <c r="U23" i="36"/>
  <c r="AC44" i="39"/>
  <c r="W44" i="39"/>
  <c r="E8" i="6"/>
  <c r="E5" i="6"/>
  <c r="AZ548" i="3"/>
  <c r="AZ459" i="3"/>
  <c r="AZ205" i="3"/>
  <c r="AA23" i="36"/>
  <c r="S23" i="36"/>
  <c r="AZ450" i="3"/>
  <c r="AZ270" i="3"/>
  <c r="AZ146" i="3"/>
  <c r="AZ154" i="3"/>
  <c r="AZ443" i="3"/>
  <c r="AA31" i="39"/>
  <c r="S31" i="39"/>
  <c r="W28" i="21"/>
  <c r="AC28" i="21"/>
  <c r="AA37" i="39"/>
  <c r="S37" i="39"/>
  <c r="AZ298" i="3"/>
  <c r="H42" i="21"/>
  <c r="Q16" i="1"/>
  <c r="AZ256" i="3"/>
  <c r="AZ112" i="3"/>
  <c r="AZ106" i="3"/>
  <c r="AZ426" i="3"/>
  <c r="AZ227" i="3"/>
  <c r="AZ412" i="3"/>
  <c r="AZ430" i="3"/>
  <c r="AZ224" i="3"/>
  <c r="U40" i="37"/>
  <c r="AB40" i="37"/>
  <c r="AB28" i="21"/>
  <c r="U28" i="21"/>
  <c r="AZ550" i="3"/>
  <c r="G5" i="3"/>
  <c r="B3" i="3" s="1"/>
  <c r="E269" i="3" s="1"/>
  <c r="AZ445" i="3"/>
  <c r="AZ348" i="3"/>
  <c r="U29" i="33"/>
  <c r="AB29" i="33"/>
  <c r="E59" i="40"/>
  <c r="D64" i="71"/>
  <c r="AZ91" i="3"/>
  <c r="AZ90" i="3"/>
  <c r="AZ404" i="3"/>
  <c r="K16" i="1"/>
  <c r="AZ542" i="3"/>
  <c r="E30" i="6"/>
  <c r="H16" i="1"/>
  <c r="AZ110" i="3"/>
  <c r="AZ29" i="3"/>
  <c r="AZ104" i="3"/>
  <c r="AZ125" i="3"/>
  <c r="AZ401" i="3"/>
  <c r="AZ194" i="3"/>
  <c r="AZ409" i="3"/>
  <c r="AZ114" i="3"/>
  <c r="AZ433" i="3"/>
  <c r="AZ275" i="3"/>
  <c r="AZ217" i="3"/>
  <c r="AZ403" i="3"/>
  <c r="AZ317" i="3"/>
  <c r="AZ458" i="3"/>
  <c r="AZ162" i="3"/>
  <c r="AZ406" i="3"/>
  <c r="W45" i="34"/>
  <c r="AC45" i="34"/>
  <c r="U32" i="21"/>
  <c r="F64" i="15"/>
  <c r="F69" i="15"/>
  <c r="E99" i="3"/>
  <c r="E277" i="3"/>
  <c r="E312" i="3"/>
  <c r="E124" i="3"/>
  <c r="E238" i="3"/>
  <c r="E379" i="3"/>
  <c r="E293" i="3"/>
  <c r="E270" i="3"/>
  <c r="E434" i="3"/>
  <c r="E224" i="3"/>
  <c r="E511" i="3"/>
  <c r="E304" i="3"/>
  <c r="E533" i="3"/>
  <c r="E423" i="3"/>
  <c r="E245" i="3"/>
  <c r="E197" i="3"/>
  <c r="E518" i="3"/>
  <c r="E415" i="3"/>
  <c r="E175" i="3"/>
  <c r="E91" i="3"/>
  <c r="E545" i="3"/>
  <c r="E350" i="3"/>
  <c r="E322" i="3"/>
  <c r="E579" i="3"/>
  <c r="AN6" i="3"/>
  <c r="E193" i="3"/>
  <c r="E499" i="3"/>
  <c r="E570" i="3"/>
  <c r="E382" i="3"/>
  <c r="E191" i="3"/>
  <c r="Z6" i="3"/>
  <c r="E510" i="3"/>
  <c r="E173" i="3"/>
  <c r="E366" i="3"/>
  <c r="E183" i="3"/>
  <c r="E130" i="3"/>
  <c r="E368" i="3"/>
  <c r="E286" i="3"/>
  <c r="E294" i="3"/>
  <c r="E328" i="3"/>
  <c r="E314" i="3"/>
  <c r="E85" i="3"/>
  <c r="E105" i="3"/>
  <c r="U6" i="3"/>
  <c r="E336" i="3"/>
  <c r="E348" i="3"/>
  <c r="E227" i="3"/>
  <c r="E296" i="3"/>
  <c r="E236" i="3"/>
  <c r="E501" i="3"/>
  <c r="E578" i="3"/>
  <c r="E263" i="3"/>
  <c r="E188" i="3"/>
  <c r="E223" i="3"/>
  <c r="E246" i="3"/>
  <c r="E385" i="3"/>
  <c r="E114" i="3"/>
  <c r="E343" i="3"/>
  <c r="E568" i="3"/>
  <c r="AZ52" i="3"/>
  <c r="D55" i="71"/>
  <c r="O55" i="71"/>
  <c r="O54" i="71"/>
  <c r="AZ291" i="3"/>
  <c r="AZ76" i="3"/>
  <c r="AZ190" i="3"/>
  <c r="AZ141" i="3"/>
  <c r="S12" i="35"/>
  <c r="AA12" i="35"/>
  <c r="AZ64" i="3"/>
  <c r="D40" i="71"/>
  <c r="C41" i="71"/>
  <c r="AZ62" i="3"/>
  <c r="AZ296" i="3"/>
  <c r="AZ170" i="3"/>
  <c r="AZ137" i="3"/>
  <c r="AZ278" i="3"/>
  <c r="AZ122" i="3"/>
  <c r="U12" i="35"/>
  <c r="AB12" i="35"/>
  <c r="J7" i="21"/>
  <c r="AC7" i="21" s="1"/>
  <c r="AA13" i="43"/>
  <c r="Q55" i="71"/>
  <c r="Q54" i="71"/>
  <c r="AZ277" i="3"/>
  <c r="AZ279" i="3"/>
  <c r="AZ280" i="3"/>
  <c r="W12" i="35"/>
  <c r="AC12" i="35"/>
  <c r="AA19" i="21"/>
  <c r="S19" i="21"/>
  <c r="T49" i="71"/>
  <c r="D49" i="71"/>
  <c r="U19" i="21"/>
  <c r="AB19" i="21"/>
  <c r="AZ83" i="3"/>
  <c r="AZ302" i="3"/>
  <c r="AZ35" i="3"/>
  <c r="AZ82" i="3"/>
  <c r="AZ32" i="3"/>
  <c r="E16" i="6"/>
  <c r="BL5" i="3"/>
  <c r="C67" i="71"/>
  <c r="D67" i="71" s="1"/>
  <c r="D68" i="71"/>
  <c r="AZ33" i="3"/>
  <c r="AZ5" i="3" s="1"/>
  <c r="AZ138" i="3"/>
  <c r="AZ84" i="3"/>
  <c r="AZ481" i="3"/>
  <c r="AA9" i="36"/>
  <c r="S9" i="36"/>
  <c r="W7" i="33"/>
  <c r="AC7" i="33"/>
  <c r="V48" i="33" s="1"/>
  <c r="I48" i="33" s="1"/>
  <c r="I52" i="33" s="1"/>
  <c r="J52" i="33" s="1"/>
  <c r="AA9" i="34"/>
  <c r="S9" i="34"/>
  <c r="D20" i="71"/>
  <c r="C21" i="71"/>
  <c r="AZ422" i="3"/>
  <c r="AZ43" i="3"/>
  <c r="AZ487" i="3"/>
  <c r="AB9" i="36"/>
  <c r="U9" i="36"/>
  <c r="AB44" i="39"/>
  <c r="U44" i="39"/>
  <c r="AZ532" i="3"/>
  <c r="AZ544" i="3"/>
  <c r="V9" i="71"/>
  <c r="I21" i="66"/>
  <c r="D1" i="66" s="1"/>
  <c r="E10" i="66" s="1"/>
  <c r="AZ105" i="3"/>
  <c r="AZ418" i="3"/>
  <c r="AZ21" i="3"/>
  <c r="AZ454" i="3"/>
  <c r="AZ166" i="3"/>
  <c r="S40" i="40"/>
  <c r="AA40" i="40"/>
  <c r="AC40" i="40"/>
  <c r="W40" i="40"/>
  <c r="AC9" i="36"/>
  <c r="W9" i="36"/>
  <c r="W12" i="34"/>
  <c r="AC12" i="34"/>
  <c r="H63" i="40"/>
  <c r="G65" i="40"/>
  <c r="H7" i="21"/>
  <c r="AB7" i="21" s="1"/>
  <c r="AZ89" i="3"/>
  <c r="AZ181" i="3"/>
  <c r="AZ534" i="3"/>
  <c r="AZ53" i="3"/>
  <c r="AZ294" i="3"/>
  <c r="AA46" i="21"/>
  <c r="S46" i="21"/>
  <c r="B12" i="71"/>
  <c r="B11" i="71" s="1"/>
  <c r="B10" i="71" s="1"/>
  <c r="B9" i="71" s="1"/>
  <c r="S13" i="71"/>
  <c r="C33" i="71"/>
  <c r="D32" i="71"/>
  <c r="C29" i="71"/>
  <c r="D28" i="71"/>
  <c r="AB38" i="40"/>
  <c r="U38" i="40"/>
  <c r="S38" i="40"/>
  <c r="AA38" i="40"/>
  <c r="U23" i="35"/>
  <c r="AB23" i="35"/>
  <c r="AC26" i="33"/>
  <c r="W26" i="33"/>
  <c r="AZ530" i="3"/>
  <c r="BA5" i="3"/>
  <c r="AB24" i="36"/>
  <c r="U24" i="36"/>
  <c r="U12" i="36"/>
  <c r="AB12" i="36"/>
  <c r="AZ556" i="3"/>
  <c r="U39" i="40"/>
  <c r="AB39" i="40"/>
  <c r="S14" i="39"/>
  <c r="AA14" i="39"/>
  <c r="AB39" i="37"/>
  <c r="U39" i="37"/>
  <c r="AC39" i="37"/>
  <c r="W39" i="37"/>
  <c r="W13" i="34"/>
  <c r="AC13" i="34"/>
  <c r="U46" i="33"/>
  <c r="AB46" i="33"/>
  <c r="AC46" i="33"/>
  <c r="W46" i="33"/>
  <c r="AC44" i="33"/>
  <c r="W44" i="33"/>
  <c r="AA14" i="33"/>
  <c r="S14" i="33"/>
  <c r="AC42" i="21"/>
  <c r="W42" i="21"/>
  <c r="S31" i="21"/>
  <c r="AA31" i="21"/>
  <c r="U31" i="21"/>
  <c r="AB31" i="21"/>
  <c r="AC12" i="21"/>
  <c r="W12" i="21"/>
  <c r="E58" i="40"/>
  <c r="E63" i="39"/>
  <c r="E230" i="3"/>
  <c r="E169" i="3"/>
  <c r="E61" i="3"/>
  <c r="E290" i="3"/>
  <c r="E252" i="3"/>
  <c r="E107" i="3"/>
  <c r="E369" i="3"/>
  <c r="E393" i="3"/>
  <c r="E525" i="3"/>
  <c r="E493" i="3"/>
  <c r="E564" i="3"/>
  <c r="E515" i="3"/>
  <c r="E421" i="3"/>
  <c r="E442" i="3"/>
  <c r="E448" i="3"/>
  <c r="E464" i="3"/>
  <c r="E478" i="3"/>
  <c r="E466" i="3"/>
  <c r="E485" i="3"/>
  <c r="E541" i="3"/>
  <c r="E398" i="3"/>
  <c r="E430" i="3"/>
  <c r="E400" i="3"/>
  <c r="E416" i="3"/>
  <c r="E432" i="3"/>
  <c r="E449" i="3"/>
  <c r="E443" i="3"/>
  <c r="E255" i="3"/>
  <c r="E374" i="3"/>
  <c r="I3" i="6"/>
  <c r="E558" i="3"/>
  <c r="E566" i="3"/>
  <c r="E505" i="3"/>
  <c r="AP6" i="3"/>
  <c r="E557" i="3"/>
  <c r="E554" i="3"/>
  <c r="E582" i="3"/>
  <c r="E517" i="3"/>
  <c r="E531" i="3"/>
  <c r="E413" i="3"/>
  <c r="E403" i="3"/>
  <c r="E435" i="3"/>
  <c r="E444" i="3"/>
  <c r="E476" i="3"/>
  <c r="E491" i="3"/>
  <c r="E520" i="3"/>
  <c r="E417" i="3"/>
  <c r="E404" i="3"/>
  <c r="E436" i="3"/>
  <c r="E447" i="3"/>
  <c r="E479" i="3"/>
  <c r="E28" i="3"/>
  <c r="E39" i="3"/>
  <c r="E56" i="3"/>
  <c r="E88" i="3"/>
  <c r="E27" i="3"/>
  <c r="E37" i="3"/>
  <c r="E70" i="3"/>
  <c r="E57" i="3"/>
  <c r="E92" i="3"/>
  <c r="E95" i="3"/>
  <c r="E121" i="3"/>
  <c r="E131" i="3"/>
  <c r="E152" i="3"/>
  <c r="E182" i="3"/>
  <c r="E126" i="3"/>
  <c r="E132" i="3"/>
  <c r="E166" i="3"/>
  <c r="E155" i="3"/>
  <c r="E186" i="3"/>
  <c r="E192" i="3"/>
  <c r="E211" i="3"/>
  <c r="E240" i="3"/>
  <c r="E258" i="3"/>
  <c r="E295" i="3"/>
  <c r="E210" i="3"/>
  <c r="E241" i="3"/>
  <c r="E273" i="3"/>
  <c r="E259" i="3"/>
  <c r="E291" i="3"/>
  <c r="E292" i="3"/>
  <c r="E316" i="3"/>
  <c r="E331" i="3"/>
  <c r="E349" i="3"/>
  <c r="E334" i="3"/>
  <c r="E389" i="3"/>
  <c r="E572" i="3"/>
  <c r="E504" i="3"/>
  <c r="AM6" i="3"/>
  <c r="E544" i="3"/>
  <c r="E30" i="3"/>
  <c r="E58" i="3"/>
  <c r="E44" i="3"/>
  <c r="E109" i="3"/>
  <c r="E110" i="3"/>
  <c r="E59" i="3"/>
  <c r="E480" i="3"/>
  <c r="E540" i="3"/>
  <c r="E441" i="3"/>
  <c r="E462" i="3"/>
  <c r="E484" i="3"/>
  <c r="E425" i="3"/>
  <c r="E446" i="3"/>
  <c r="E47" i="3"/>
  <c r="E64" i="3"/>
  <c r="E46" i="3"/>
  <c r="E65" i="3"/>
  <c r="E103" i="3"/>
  <c r="E138" i="3"/>
  <c r="E160" i="3"/>
  <c r="E195" i="3"/>
  <c r="E142" i="3"/>
  <c r="E163" i="3"/>
  <c r="E248" i="3"/>
  <c r="E267"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513" i="3"/>
  <c r="E82" i="3"/>
  <c r="E21" i="3"/>
  <c r="E185" i="3"/>
  <c r="E161" i="3"/>
  <c r="E77" i="3"/>
  <c r="E253" i="3"/>
  <c r="E199" i="3"/>
  <c r="E313" i="3"/>
  <c r="E519" i="3"/>
  <c r="E532"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83" i="3"/>
  <c r="E216" i="3"/>
  <c r="E135" i="3"/>
  <c r="E149" i="3"/>
  <c r="E212" i="3"/>
  <c r="E167" i="3"/>
  <c r="E141" i="3"/>
  <c r="E330" i="3"/>
  <c r="K6" i="3"/>
  <c r="Q6"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145" i="3"/>
  <c r="E309" i="3"/>
  <c r="E386" i="3"/>
  <c r="E375" i="3"/>
  <c r="D10" i="52"/>
  <c r="H14" i="74"/>
  <c r="B7" i="74" s="1"/>
  <c r="D125" i="9"/>
  <c r="D11" i="52" s="1"/>
  <c r="E377" i="3"/>
  <c r="E363" i="3"/>
  <c r="U23" i="21"/>
  <c r="AB23" i="21"/>
  <c r="H70" i="39"/>
  <c r="I68" i="39"/>
  <c r="C12" i="71"/>
  <c r="D13" i="71"/>
  <c r="U13" i="71" s="1"/>
  <c r="T13" i="71"/>
  <c r="N56" i="71"/>
  <c r="B55" i="71"/>
  <c r="D25" i="71"/>
  <c r="T25" i="71"/>
  <c r="AC38" i="40"/>
  <c r="W38" i="40"/>
  <c r="AC23" i="35"/>
  <c r="W23" i="35"/>
  <c r="AA26" i="33"/>
  <c r="S26" i="33"/>
  <c r="AA24" i="36"/>
  <c r="S24" i="36"/>
  <c r="AC24" i="36"/>
  <c r="W24" i="36"/>
  <c r="AC12" i="36"/>
  <c r="W12" i="36"/>
  <c r="AC39" i="40"/>
  <c r="W39" i="40"/>
  <c r="AC14" i="39"/>
  <c r="W14" i="39"/>
  <c r="S39" i="37"/>
  <c r="AA39" i="37"/>
  <c r="AA13" i="34"/>
  <c r="S13" i="34"/>
  <c r="U13" i="34"/>
  <c r="AB13" i="34"/>
  <c r="AA46" i="33"/>
  <c r="S46" i="33"/>
  <c r="S44" i="33"/>
  <c r="AA44" i="33"/>
  <c r="AC14" i="33"/>
  <c r="W14" i="33"/>
  <c r="U14" i="33"/>
  <c r="AB14" i="33"/>
  <c r="AC31" i="21"/>
  <c r="W31" i="21"/>
  <c r="AB12" i="21"/>
  <c r="U12" i="21"/>
  <c r="S12" i="21"/>
  <c r="AA12" i="21"/>
  <c r="L65" i="9"/>
  <c r="M65" i="9" s="1"/>
  <c r="L64" i="9"/>
  <c r="M64" i="9" s="1"/>
  <c r="L67" i="9"/>
  <c r="M67" i="9" s="1"/>
  <c r="L68" i="9"/>
  <c r="M68" i="9" s="1"/>
  <c r="L66" i="9"/>
  <c r="M66" i="9" s="1"/>
  <c r="L63" i="9"/>
  <c r="M63" i="9" s="1"/>
  <c r="M69" i="9" s="1"/>
  <c r="N69" i="9" s="1"/>
  <c r="C5" i="43"/>
  <c r="C37" i="43"/>
  <c r="E37" i="43" s="1"/>
  <c r="C36" i="43"/>
  <c r="E36" i="43" s="1"/>
  <c r="C34" i="43"/>
  <c r="E34" i="43" s="1"/>
  <c r="C33" i="43"/>
  <c r="E33" i="43" s="1"/>
  <c r="C39" i="43"/>
  <c r="E39" i="43" s="1"/>
  <c r="C35" i="43"/>
  <c r="E35" i="43" s="1"/>
  <c r="C38" i="43"/>
  <c r="G38" i="43" s="1"/>
  <c r="I38" i="43" s="1"/>
  <c r="K4" i="4"/>
  <c r="B46" i="48" s="1"/>
  <c r="B4" i="72" s="1"/>
  <c r="E27" i="6"/>
  <c r="M14" i="1"/>
  <c r="C34" i="69"/>
  <c r="H10" i="40"/>
  <c r="U10" i="40" s="1"/>
  <c r="F10" i="39"/>
  <c r="AA10" i="39" s="1"/>
  <c r="E57" i="40"/>
  <c r="E62" i="39"/>
  <c r="D22" i="43"/>
  <c r="H107" i="43"/>
  <c r="H106" i="43"/>
  <c r="H105" i="43"/>
  <c r="H109" i="43"/>
  <c r="H102" i="43"/>
  <c r="H103" i="43"/>
  <c r="H104" i="43"/>
  <c r="J104" i="43"/>
  <c r="J105" i="43"/>
  <c r="J107" i="43"/>
  <c r="J102" i="43"/>
  <c r="J106" i="43"/>
  <c r="J109" i="43"/>
  <c r="J103" i="43"/>
  <c r="E104" i="43"/>
  <c r="E107" i="43"/>
  <c r="E105" i="43"/>
  <c r="E102" i="43"/>
  <c r="E106" i="43"/>
  <c r="E103" i="43"/>
  <c r="E109" i="43"/>
  <c r="M104" i="43"/>
  <c r="M107" i="43"/>
  <c r="M105" i="43"/>
  <c r="M109" i="43"/>
  <c r="M102" i="43"/>
  <c r="M106" i="43"/>
  <c r="M103" i="43"/>
  <c r="L109" i="43"/>
  <c r="L106" i="43"/>
  <c r="L107" i="43"/>
  <c r="L103" i="43"/>
  <c r="L102" i="43"/>
  <c r="L105" i="43"/>
  <c r="L104" i="43"/>
  <c r="C104" i="43"/>
  <c r="C105" i="43"/>
  <c r="C102" i="43"/>
  <c r="C106" i="43"/>
  <c r="C107" i="43"/>
  <c r="C103" i="43"/>
  <c r="C109" i="43"/>
  <c r="G105" i="43"/>
  <c r="G102" i="43"/>
  <c r="G107" i="43"/>
  <c r="G104" i="43"/>
  <c r="G103" i="43"/>
  <c r="G106" i="43"/>
  <c r="G109" i="43"/>
  <c r="I104" i="43"/>
  <c r="I107" i="43"/>
  <c r="I105" i="43"/>
  <c r="I109" i="43"/>
  <c r="I102" i="43"/>
  <c r="I106" i="43"/>
  <c r="I103" i="43"/>
  <c r="D105" i="43"/>
  <c r="D106" i="43"/>
  <c r="D102" i="43"/>
  <c r="D109" i="43"/>
  <c r="D103" i="43"/>
  <c r="D104" i="43"/>
  <c r="D107"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C15" i="15"/>
  <c r="C18" i="15"/>
  <c r="K103" i="43"/>
  <c r="K107" i="43"/>
  <c r="K104" i="43"/>
  <c r="K106" i="43"/>
  <c r="K102" i="43"/>
  <c r="K105" i="43"/>
  <c r="K109" i="43"/>
  <c r="N102" i="43"/>
  <c r="N103" i="43"/>
  <c r="N106" i="43"/>
  <c r="N107" i="43"/>
  <c r="N105" i="43"/>
  <c r="N104" i="43"/>
  <c r="N109" i="43"/>
  <c r="F104" i="43"/>
  <c r="F107" i="43"/>
  <c r="F106" i="43"/>
  <c r="F103" i="43"/>
  <c r="F102" i="43"/>
  <c r="F105" i="43"/>
  <c r="F109" i="43"/>
  <c r="U42" i="21"/>
  <c r="AB42" i="21"/>
  <c r="S11" i="21"/>
  <c r="AA11" i="21"/>
  <c r="U37" i="21"/>
  <c r="AB37" i="21"/>
  <c r="S37" i="21"/>
  <c r="AA37" i="21"/>
  <c r="AC37" i="21"/>
  <c r="W37" i="21"/>
  <c r="G36" i="43"/>
  <c r="I36" i="43" s="1"/>
  <c r="J10" i="39"/>
  <c r="J10" i="40"/>
  <c r="H10" i="39"/>
  <c r="E52" i="37"/>
  <c r="C49" i="15"/>
  <c r="AB10" i="40"/>
  <c r="S10" i="39"/>
  <c r="F48" i="35"/>
  <c r="G52" i="33"/>
  <c r="H52" i="33" s="1"/>
  <c r="G53" i="33"/>
  <c r="H53" i="33" s="1"/>
  <c r="S7" i="21"/>
  <c r="AA7" i="21"/>
  <c r="E46" i="36"/>
  <c r="S10" i="40"/>
  <c r="AA10" i="40"/>
  <c r="R49" i="33"/>
  <c r="E48" i="33"/>
  <c r="G59" i="34"/>
  <c r="H59" i="34" s="1"/>
  <c r="I59" i="34" s="1"/>
  <c r="J59" i="34" s="1"/>
  <c r="K59" i="34" s="1"/>
  <c r="L59" i="34" s="1"/>
  <c r="M59" i="34" s="1"/>
  <c r="N59" i="34" s="1"/>
  <c r="O59" i="34" s="1"/>
  <c r="H7" i="34"/>
  <c r="C15" i="67"/>
  <c r="C18" i="67"/>
  <c r="Q60" i="67"/>
  <c r="Q73" i="67"/>
  <c r="J6" i="15"/>
  <c r="J6" i="67"/>
  <c r="Q60" i="15"/>
  <c r="Q73" i="15"/>
  <c r="C32" i="15"/>
  <c r="F1" i="67"/>
  <c r="Q52" i="67"/>
  <c r="Q61" i="67"/>
  <c r="Q74" i="67"/>
  <c r="C49" i="67"/>
  <c r="M11" i="67"/>
  <c r="J10" i="67" s="1"/>
  <c r="M11" i="15"/>
  <c r="F11" i="67"/>
  <c r="F11" i="15"/>
  <c r="F1" i="15"/>
  <c r="Q52" i="15"/>
  <c r="L56" i="15"/>
  <c r="B2" i="70"/>
  <c r="B3" i="70" s="1"/>
  <c r="C32" i="67"/>
  <c r="Q74" i="15"/>
  <c r="Q61" i="15"/>
  <c r="M28" i="43"/>
  <c r="P28" i="43"/>
  <c r="N28" i="43"/>
  <c r="O28" i="43"/>
  <c r="C16" i="67"/>
  <c r="G1" i="73"/>
  <c r="B40" i="1" l="1"/>
  <c r="E461" i="3"/>
  <c r="E380" i="3"/>
  <c r="E140" i="3"/>
  <c r="AA6" i="3"/>
  <c r="E201" i="3"/>
  <c r="S6" i="3"/>
  <c r="E347" i="3"/>
  <c r="E181" i="3"/>
  <c r="E221" i="3"/>
  <c r="E262" i="3"/>
  <c r="E17" i="3"/>
  <c r="E361" i="3"/>
  <c r="E426" i="3"/>
  <c r="F27" i="68"/>
  <c r="F27" i="69"/>
  <c r="F27" i="11"/>
  <c r="F28" i="12"/>
  <c r="C29" i="12" s="1"/>
  <c r="D28" i="12" s="1"/>
  <c r="E396" i="3"/>
  <c r="E205" i="3"/>
  <c r="E310" i="3"/>
  <c r="E303" i="3"/>
  <c r="E172" i="3"/>
  <c r="E397" i="3"/>
  <c r="E280" i="3"/>
  <c r="E523" i="3"/>
  <c r="E89" i="3"/>
  <c r="E217" i="3"/>
  <c r="E143" i="3"/>
  <c r="E229" i="3"/>
  <c r="E390" i="3"/>
  <c r="E285" i="3"/>
  <c r="E535" i="3"/>
  <c r="E228" i="3"/>
  <c r="E148" i="3"/>
  <c r="E66" i="39"/>
  <c r="W7" i="21"/>
  <c r="E239" i="3"/>
  <c r="E260" i="3"/>
  <c r="E69" i="3"/>
  <c r="E586" i="3"/>
  <c r="E536" i="3"/>
  <c r="E508" i="3"/>
  <c r="E45" i="3"/>
  <c r="E134" i="3"/>
  <c r="E136" i="3"/>
  <c r="E338" i="3"/>
  <c r="E305" i="3"/>
  <c r="E516" i="3"/>
  <c r="E329" i="3"/>
  <c r="O6" i="3"/>
  <c r="E278" i="3"/>
  <c r="E301" i="3"/>
  <c r="E244" i="3"/>
  <c r="R48" i="21"/>
  <c r="AS6" i="3"/>
  <c r="E367" i="3"/>
  <c r="E414" i="3"/>
  <c r="E411" i="3"/>
  <c r="E164" i="3"/>
  <c r="E553" i="3"/>
  <c r="E341" i="3"/>
  <c r="E353" i="3"/>
  <c r="E352" i="3"/>
  <c r="E410" i="3"/>
  <c r="M6" i="3"/>
  <c r="AK6" i="3"/>
  <c r="E565" i="3"/>
  <c r="E306" i="3"/>
  <c r="E559" i="3"/>
  <c r="E387" i="3"/>
  <c r="E282" i="3"/>
  <c r="E180" i="3"/>
  <c r="E153" i="3"/>
  <c r="E495" i="3"/>
  <c r="E402" i="3"/>
  <c r="E549" i="3"/>
  <c r="E204" i="3"/>
  <c r="E231" i="3"/>
  <c r="E237" i="3"/>
  <c r="E431" i="3"/>
  <c r="E189" i="3"/>
  <c r="E530" i="3"/>
  <c r="E542" i="3"/>
  <c r="AI6" i="3"/>
  <c r="E16" i="3"/>
  <c r="AR6" i="3"/>
  <c r="E583" i="3"/>
  <c r="AD6" i="3"/>
  <c r="AC6" i="3" s="1"/>
  <c r="E125" i="3"/>
  <c r="I6" i="3"/>
  <c r="E53" i="3"/>
  <c r="E247" i="3"/>
  <c r="E128" i="3"/>
  <c r="E165" i="3"/>
  <c r="G33" i="43"/>
  <c r="I33" i="43" s="1"/>
  <c r="G39" i="43"/>
  <c r="I39" i="43" s="1"/>
  <c r="T48" i="21"/>
  <c r="E209" i="3"/>
  <c r="E98" i="3"/>
  <c r="E29" i="3"/>
  <c r="E384" i="3"/>
  <c r="E297" i="3"/>
  <c r="E187" i="3"/>
  <c r="E90" i="3"/>
  <c r="E489" i="3"/>
  <c r="E581" i="3"/>
  <c r="E345" i="3"/>
  <c r="P6" i="3"/>
  <c r="AO6" i="3"/>
  <c r="E271" i="3"/>
  <c r="E538" i="3"/>
  <c r="E359" i="3"/>
  <c r="AJ6" i="3"/>
  <c r="E317" i="3"/>
  <c r="E335" i="3"/>
  <c r="E120" i="3"/>
  <c r="E569" i="3"/>
  <c r="E97" i="3"/>
  <c r="E567" i="3"/>
  <c r="E585" i="3"/>
  <c r="E122" i="3"/>
  <c r="E439" i="3"/>
  <c r="E555" i="3"/>
  <c r="E407" i="3"/>
  <c r="E509" i="3"/>
  <c r="E550" i="3"/>
  <c r="E445" i="3"/>
  <c r="U7" i="21"/>
  <c r="E526" i="3"/>
  <c r="E261" i="3"/>
  <c r="E399" i="3"/>
  <c r="E561" i="3"/>
  <c r="N6" i="3"/>
  <c r="E574" i="3"/>
  <c r="E254" i="3"/>
  <c r="E116" i="3"/>
  <c r="E453" i="3"/>
  <c r="E358" i="3"/>
  <c r="E514" i="3"/>
  <c r="E311" i="3"/>
  <c r="E268" i="3"/>
  <c r="E546" i="3"/>
  <c r="E534" i="3"/>
  <c r="D9" i="11"/>
  <c r="C9" i="11" s="1"/>
  <c r="D19" i="12"/>
  <c r="C19" i="12" s="1"/>
  <c r="D9" i="68"/>
  <c r="C9" i="68" s="1"/>
  <c r="D9" i="69"/>
  <c r="C9" i="69" s="1"/>
  <c r="E547" i="3"/>
  <c r="E477" i="3"/>
  <c r="E548" i="3"/>
  <c r="E552" i="3"/>
  <c r="E207" i="3"/>
  <c r="E213" i="3"/>
  <c r="V6" i="3"/>
  <c r="E321" i="3"/>
  <c r="E337" i="3"/>
  <c r="E133" i="3"/>
  <c r="E395" i="3"/>
  <c r="E551" i="3"/>
  <c r="E319" i="3"/>
  <c r="E502" i="3"/>
  <c r="E157" i="3"/>
  <c r="E539" i="3"/>
  <c r="E302" i="3"/>
  <c r="E177" i="3"/>
  <c r="E503" i="3"/>
  <c r="E298" i="3"/>
  <c r="E215" i="3"/>
  <c r="E521" i="3"/>
  <c r="F27" i="6"/>
  <c r="F31" i="6" s="1"/>
  <c r="E56" i="39"/>
  <c r="E51" i="40"/>
  <c r="H6" i="3"/>
  <c r="E200" i="3"/>
  <c r="E467" i="3"/>
  <c r="E76" i="3"/>
  <c r="E378" i="3"/>
  <c r="E272" i="3"/>
  <c r="E162" i="3"/>
  <c r="E71" i="3"/>
  <c r="E460" i="3"/>
  <c r="E500" i="3"/>
  <c r="E459" i="3"/>
  <c r="E487" i="3"/>
  <c r="AG6" i="3"/>
  <c r="E117" i="3"/>
  <c r="E327" i="3"/>
  <c r="R6" i="3"/>
  <c r="E506" i="3"/>
  <c r="E388" i="3"/>
  <c r="E156" i="3"/>
  <c r="E151" i="3"/>
  <c r="X6" i="3"/>
  <c r="E320" i="3"/>
  <c r="E563" i="3"/>
  <c r="E159" i="3"/>
  <c r="E528" i="3"/>
  <c r="E576" i="3"/>
  <c r="E196" i="3"/>
  <c r="E575" i="3"/>
  <c r="E418" i="3"/>
  <c r="AB6" i="3"/>
  <c r="G34" i="43"/>
  <c r="I34" i="43" s="1"/>
  <c r="V48" i="21"/>
  <c r="I48" i="21" s="1"/>
  <c r="I52" i="21" s="1"/>
  <c r="J52" i="21" s="1"/>
  <c r="G35" i="43"/>
  <c r="I35" i="43" s="1"/>
  <c r="T41" i="71"/>
  <c r="D41" i="71"/>
  <c r="H65" i="40"/>
  <c r="I63" i="40"/>
  <c r="G48" i="21"/>
  <c r="G52" i="21" s="1"/>
  <c r="H52" i="21" s="1"/>
  <c r="E38" i="43"/>
  <c r="T21" i="71"/>
  <c r="D21" i="71"/>
  <c r="E6" i="3"/>
  <c r="N55" i="71"/>
  <c r="N54" i="71"/>
  <c r="D12" i="71"/>
  <c r="C11" i="71"/>
  <c r="D7" i="74"/>
  <c r="C7" i="74"/>
  <c r="E3" i="6"/>
  <c r="AY6" i="3"/>
  <c r="Q53" i="21"/>
  <c r="G37" i="43"/>
  <c r="I37" i="43" s="1"/>
  <c r="J68" i="39"/>
  <c r="I70" i="39"/>
  <c r="D29" i="71"/>
  <c r="T29" i="71"/>
  <c r="D33" i="71"/>
  <c r="T33" i="71"/>
  <c r="B8" i="71"/>
  <c r="B7" i="71" s="1"/>
  <c r="B6" i="71" s="1"/>
  <c r="B5" i="71" s="1"/>
  <c r="S9" i="71"/>
  <c r="T10" i="43"/>
  <c r="V10" i="43" s="1"/>
  <c r="T13" i="43"/>
  <c r="V13" i="43" s="1"/>
  <c r="T11" i="43"/>
  <c r="V11" i="43" s="1"/>
  <c r="T9" i="43"/>
  <c r="V9" i="43" s="1"/>
  <c r="T14" i="43"/>
  <c r="V14" i="43" s="1"/>
  <c r="T16" i="43"/>
  <c r="V16" i="43" s="1"/>
  <c r="T8" i="43"/>
  <c r="V8" i="43" s="1"/>
  <c r="T12" i="43"/>
  <c r="V12" i="43" s="1"/>
  <c r="T15" i="43"/>
  <c r="V15" i="43" s="1"/>
  <c r="C19" i="15"/>
  <c r="C20" i="15" s="1"/>
  <c r="C26" i="15" s="1"/>
  <c r="O14" i="1"/>
  <c r="M16" i="1"/>
  <c r="C38" i="69"/>
  <c r="C35" i="69"/>
  <c r="K24" i="6"/>
  <c r="M24" i="6" s="1"/>
  <c r="I24" i="6" s="1"/>
  <c r="S24" i="6" s="1"/>
  <c r="K22" i="6"/>
  <c r="M22" i="6" s="1"/>
  <c r="I22" i="6" s="1"/>
  <c r="S22" i="6" s="1"/>
  <c r="K25" i="6"/>
  <c r="M25" i="6" s="1"/>
  <c r="I25" i="6" s="1"/>
  <c r="S25" i="6" s="1"/>
  <c r="K23" i="6"/>
  <c r="M23" i="6" s="1"/>
  <c r="I23" i="6" s="1"/>
  <c r="S23" i="6" s="1"/>
  <c r="K26" i="6"/>
  <c r="M26" i="6" s="1"/>
  <c r="I26" i="6" s="1"/>
  <c r="S26" i="6" s="1"/>
  <c r="E31" i="6"/>
  <c r="K19" i="6"/>
  <c r="K20" i="6"/>
  <c r="M20" i="6" s="1"/>
  <c r="I20" i="6" s="1"/>
  <c r="S20" i="6" s="1"/>
  <c r="K21" i="6"/>
  <c r="M21" i="6" s="1"/>
  <c r="I21" i="6" s="1"/>
  <c r="S4" i="43"/>
  <c r="T4" i="43" s="1"/>
  <c r="V4" i="43" s="1"/>
  <c r="S5" i="43"/>
  <c r="T5" i="43" s="1"/>
  <c r="V5" i="43" s="1"/>
  <c r="S6" i="43"/>
  <c r="T6" i="43" s="1"/>
  <c r="V6" i="43" s="1"/>
  <c r="S7" i="43"/>
  <c r="T7" i="43" s="1"/>
  <c r="V7" i="43" s="1"/>
  <c r="S2" i="43"/>
  <c r="T2" i="43" s="1"/>
  <c r="V2" i="43" s="1"/>
  <c r="C23" i="43"/>
  <c r="C21" i="43" s="1"/>
  <c r="C29" i="43" s="1"/>
  <c r="S3" i="43"/>
  <c r="T3" i="43" s="1"/>
  <c r="V3" i="43" s="1"/>
  <c r="C115" i="43"/>
  <c r="D113" i="43" s="1"/>
  <c r="AB10" i="39"/>
  <c r="U10" i="39"/>
  <c r="AC10" i="39"/>
  <c r="W10" i="39"/>
  <c r="AC10" i="40"/>
  <c r="W10" i="40"/>
  <c r="C19" i="67"/>
  <c r="C20" i="67" s="1"/>
  <c r="C26" i="67" s="1"/>
  <c r="F7" i="34"/>
  <c r="E53" i="33"/>
  <c r="F53" i="33" s="1"/>
  <c r="E52" i="33"/>
  <c r="F52" i="33" s="1"/>
  <c r="I53" i="33"/>
  <c r="J53" i="33" s="1"/>
  <c r="F46" i="36"/>
  <c r="G48" i="35"/>
  <c r="F52" i="37"/>
  <c r="AB7" i="34"/>
  <c r="T49" i="34" s="1"/>
  <c r="G49" i="34" s="1"/>
  <c r="U7" i="34"/>
  <c r="C49" i="33"/>
  <c r="C48" i="33"/>
  <c r="J7" i="34"/>
  <c r="C53" i="15"/>
  <c r="C48" i="15" s="1"/>
  <c r="C10" i="15"/>
  <c r="C5" i="15" s="1"/>
  <c r="J10" i="15"/>
  <c r="J5" i="15" s="1"/>
  <c r="J18" i="15"/>
  <c r="C10" i="67"/>
  <c r="C5" i="67" s="1"/>
  <c r="C53" i="67"/>
  <c r="C48" i="67" s="1"/>
  <c r="J5" i="67"/>
  <c r="J18" i="67"/>
  <c r="F24" i="67"/>
  <c r="C24" i="67" s="1"/>
  <c r="F25" i="12"/>
  <c r="F22" i="11"/>
  <c r="F24" i="15"/>
  <c r="C24" i="15" s="1"/>
  <c r="F22" i="68"/>
  <c r="F22" i="69"/>
  <c r="C47" i="11" l="1"/>
  <c r="D45" i="11" s="1"/>
  <c r="C29" i="11"/>
  <c r="D27" i="11" s="1"/>
  <c r="C47" i="69"/>
  <c r="D45" i="69" s="1"/>
  <c r="C29" i="69"/>
  <c r="D27" i="69" s="1"/>
  <c r="C47" i="68"/>
  <c r="D45" i="68" s="1"/>
  <c r="C29" i="68"/>
  <c r="D27" i="68" s="1"/>
  <c r="R49" i="21"/>
  <c r="C49" i="21" s="1"/>
  <c r="P5" i="77" s="1"/>
  <c r="Q55" i="21"/>
  <c r="Q54" i="21"/>
  <c r="J63" i="40"/>
  <c r="I65" i="40"/>
  <c r="J70" i="39"/>
  <c r="K68" i="39"/>
  <c r="D3" i="21"/>
  <c r="D37" i="11"/>
  <c r="C37" i="11" s="1"/>
  <c r="D3" i="34"/>
  <c r="C17" i="4"/>
  <c r="B4" i="52" s="1"/>
  <c r="B43" i="72" s="1"/>
  <c r="D19" i="11"/>
  <c r="C19" i="11" s="1"/>
  <c r="C20" i="11" s="1"/>
  <c r="C28" i="11" s="1"/>
  <c r="C27" i="11" s="1"/>
  <c r="D14" i="12"/>
  <c r="D3" i="33"/>
  <c r="B2" i="33" s="1"/>
  <c r="B3" i="33" s="1"/>
  <c r="D3" i="37"/>
  <c r="E6" i="6"/>
  <c r="E48" i="21"/>
  <c r="E52" i="21" s="1"/>
  <c r="F52" i="21"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82" i="3"/>
  <c r="AY101" i="3"/>
  <c r="AY65" i="3"/>
  <c r="AY48" i="3"/>
  <c r="AY194" i="3"/>
  <c r="AY158" i="3"/>
  <c r="AY137" i="3"/>
  <c r="AY287" i="3"/>
  <c r="AY251" i="3"/>
  <c r="AY234" i="3"/>
  <c r="AY380" i="3"/>
  <c r="AY364" i="3"/>
  <c r="AY329" i="3"/>
  <c r="AY344" i="3"/>
  <c r="AY312" i="3"/>
  <c r="AY471" i="3"/>
  <c r="AY468" i="3"/>
  <c r="AY458" i="3"/>
  <c r="AY426"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77" i="3"/>
  <c r="AY112" i="3"/>
  <c r="AY49" i="3"/>
  <c r="AY32" i="3"/>
  <c r="AY205" i="3"/>
  <c r="AY142" i="3"/>
  <c r="AY122" i="3"/>
  <c r="AY298" i="3"/>
  <c r="AY235" i="3"/>
  <c r="AY218" i="3"/>
  <c r="AY385" i="3"/>
  <c r="AY352" i="3"/>
  <c r="AY321" i="3"/>
  <c r="AY336" i="3"/>
  <c r="AY304" i="3"/>
  <c r="AY492" i="3"/>
  <c r="AY461" i="3"/>
  <c r="AY450" i="3"/>
  <c r="AY418"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519" i="3"/>
  <c r="AY96" i="3"/>
  <c r="AY80" i="3"/>
  <c r="AY37" i="3"/>
  <c r="AY189" i="3"/>
  <c r="AY169" i="3"/>
  <c r="AY129" i="3"/>
  <c r="AY282" i="3"/>
  <c r="AY266" i="3"/>
  <c r="AY223" i="3"/>
  <c r="AY369" i="3"/>
  <c r="AY345" i="3"/>
  <c r="AY313" i="3"/>
  <c r="AY328" i="3"/>
  <c r="AY487" i="3"/>
  <c r="AY484" i="3"/>
  <c r="AY453" i="3"/>
  <c r="AY442" i="3"/>
  <c r="AY410"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523" i="3"/>
  <c r="AY81" i="3"/>
  <c r="AY64" i="3"/>
  <c r="AY21" i="3"/>
  <c r="AY174" i="3"/>
  <c r="AY153" i="3"/>
  <c r="AY113" i="3"/>
  <c r="AY267" i="3"/>
  <c r="AY250" i="3"/>
  <c r="AY396" i="3"/>
  <c r="AY361" i="3"/>
  <c r="AY337" i="3"/>
  <c r="AY305" i="3"/>
  <c r="AY320" i="3"/>
  <c r="AY479" i="3"/>
  <c r="AY476" i="3"/>
  <c r="AY445" i="3"/>
  <c r="AY434"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1" i="71"/>
  <c r="C10" i="71"/>
  <c r="G53" i="21"/>
  <c r="H53" i="21" s="1"/>
  <c r="C34" i="68"/>
  <c r="C34" i="11"/>
  <c r="L16" i="1"/>
  <c r="N16" i="1"/>
  <c r="S21" i="6"/>
  <c r="H21" i="6"/>
  <c r="S6" i="1"/>
  <c r="K27" i="6"/>
  <c r="M19" i="6"/>
  <c r="P14" i="1"/>
  <c r="P16" i="1" s="1"/>
  <c r="C11" i="12" s="1"/>
  <c r="O16" i="1"/>
  <c r="C30" i="43"/>
  <c r="E30" i="43" s="1"/>
  <c r="C27" i="43" s="1"/>
  <c r="E29" i="43"/>
  <c r="C26" i="43" s="1"/>
  <c r="W7" i="34"/>
  <c r="AC7" i="34"/>
  <c r="V49" i="34" s="1"/>
  <c r="I49" i="34" s="1"/>
  <c r="G54" i="34" s="1"/>
  <c r="H54" i="34" s="1"/>
  <c r="E53" i="21"/>
  <c r="F53" i="21" s="1"/>
  <c r="H48" i="35"/>
  <c r="G46" i="36"/>
  <c r="G53" i="34"/>
  <c r="H53" i="34" s="1"/>
  <c r="G52" i="37"/>
  <c r="H52" i="37" s="1"/>
  <c r="I52" i="37" s="1"/>
  <c r="J52" i="37" s="1"/>
  <c r="K52" i="37" s="1"/>
  <c r="L52" i="37" s="1"/>
  <c r="M52" i="37" s="1"/>
  <c r="N52" i="37" s="1"/>
  <c r="O52" i="37" s="1"/>
  <c r="J7" i="37"/>
  <c r="F7" i="37"/>
  <c r="S7" i="34"/>
  <c r="AA7" i="34"/>
  <c r="R49" i="34" s="1"/>
  <c r="C60" i="67"/>
  <c r="C66" i="67"/>
  <c r="J26" i="15"/>
  <c r="J29" i="15" s="1"/>
  <c r="J24" i="15"/>
  <c r="C38" i="67"/>
  <c r="C23" i="15"/>
  <c r="C29" i="15" s="1"/>
  <c r="C38" i="15"/>
  <c r="C23" i="67"/>
  <c r="C29" i="67" s="1"/>
  <c r="C44" i="69"/>
  <c r="D41" i="69" s="1"/>
  <c r="C26" i="69"/>
  <c r="D22" i="69" s="1"/>
  <c r="C26" i="12"/>
  <c r="D25" i="12" s="1"/>
  <c r="J24" i="67"/>
  <c r="J26" i="67"/>
  <c r="J29" i="67" s="1"/>
  <c r="C44" i="68"/>
  <c r="D41" i="68" s="1"/>
  <c r="C26" i="68"/>
  <c r="D22" i="68" s="1"/>
  <c r="C23" i="68"/>
  <c r="C44" i="11"/>
  <c r="D41" i="11" s="1"/>
  <c r="C26" i="11"/>
  <c r="D22" i="11" s="1"/>
  <c r="C23" i="11"/>
  <c r="C25" i="11"/>
  <c r="C60" i="15"/>
  <c r="C66" i="15"/>
  <c r="E6" i="76"/>
  <c r="C48" i="21" l="1"/>
  <c r="I53" i="21"/>
  <c r="J53" i="21" s="1"/>
  <c r="J65" i="40"/>
  <c r="K63" i="40"/>
  <c r="D10" i="11"/>
  <c r="C10" i="11" s="1"/>
  <c r="D10" i="68"/>
  <c r="D20" i="12"/>
  <c r="C20" i="12" s="1"/>
  <c r="C18" i="12" s="1"/>
  <c r="D10" i="69"/>
  <c r="C24" i="11"/>
  <c r="D10" i="71"/>
  <c r="C9" i="71"/>
  <c r="D12" i="6"/>
  <c r="D6" i="6"/>
  <c r="D19" i="6"/>
  <c r="D21" i="6"/>
  <c r="R21" i="6" s="1"/>
  <c r="D11" i="6"/>
  <c r="D25" i="6"/>
  <c r="D24" i="6"/>
  <c r="D9" i="6"/>
  <c r="C18" i="4"/>
  <c r="D10" i="6"/>
  <c r="E61" i="40"/>
  <c r="D14" i="6"/>
  <c r="D26" i="6"/>
  <c r="H25" i="6"/>
  <c r="H24" i="6"/>
  <c r="D15" i="6"/>
  <c r="D20" i="6"/>
  <c r="D29" i="6"/>
  <c r="D22" i="6"/>
  <c r="D28" i="6"/>
  <c r="D30" i="6" s="1"/>
  <c r="D23" i="6"/>
  <c r="D5" i="6"/>
  <c r="H22" i="6"/>
  <c r="R22" i="6" s="1"/>
  <c r="D13" i="6"/>
  <c r="D8" i="6"/>
  <c r="D16" i="6" s="1"/>
  <c r="H23" i="6"/>
  <c r="H26" i="6"/>
  <c r="H20" i="6"/>
  <c r="D17" i="12"/>
  <c r="C17" i="12" s="1"/>
  <c r="C14" i="12"/>
  <c r="K70" i="39"/>
  <c r="L68" i="39"/>
  <c r="B2" i="21"/>
  <c r="K25" i="9"/>
  <c r="K26" i="9" s="1"/>
  <c r="C12" i="12"/>
  <c r="C15" i="12"/>
  <c r="F50" i="11"/>
  <c r="F50" i="69"/>
  <c r="F50" i="68"/>
  <c r="C38" i="11"/>
  <c r="C35" i="11"/>
  <c r="C33" i="11" s="1"/>
  <c r="M27" i="6"/>
  <c r="I19" i="6"/>
  <c r="S16" i="1"/>
  <c r="AQ6" i="1"/>
  <c r="AR6" i="1"/>
  <c r="T6" i="1"/>
  <c r="T16" i="1" s="1"/>
  <c r="C35" i="68"/>
  <c r="C38" i="68"/>
  <c r="E2" i="76"/>
  <c r="B2" i="43"/>
  <c r="B3" i="21"/>
  <c r="W7" i="37"/>
  <c r="AC7" i="37"/>
  <c r="V42" i="37" s="1"/>
  <c r="I42" i="37" s="1"/>
  <c r="I53" i="34"/>
  <c r="J53" i="34" s="1"/>
  <c r="H7" i="37"/>
  <c r="E49" i="34"/>
  <c r="I54" i="34" s="1"/>
  <c r="J54" i="34" s="1"/>
  <c r="R50" i="34"/>
  <c r="S7" i="37"/>
  <c r="AA7" i="37"/>
  <c r="R42" i="37" s="1"/>
  <c r="H46" i="36"/>
  <c r="I48" i="35"/>
  <c r="C22" i="11"/>
  <c r="C31" i="11" s="1"/>
  <c r="C22" i="68"/>
  <c r="J14" i="15"/>
  <c r="C33" i="15"/>
  <c r="C31" i="15" s="1"/>
  <c r="C57" i="15"/>
  <c r="C36" i="15"/>
  <c r="J19" i="15"/>
  <c r="J17" i="15" s="1"/>
  <c r="Q49" i="15"/>
  <c r="C13" i="15"/>
  <c r="J59" i="15"/>
  <c r="J60" i="15" s="1"/>
  <c r="C57" i="67"/>
  <c r="C36" i="67"/>
  <c r="J19" i="67"/>
  <c r="J17" i="67" s="1"/>
  <c r="C13" i="67"/>
  <c r="J14" i="67"/>
  <c r="Q49" i="67"/>
  <c r="C33" i="67"/>
  <c r="C31" i="67" s="1"/>
  <c r="J59" i="67"/>
  <c r="J60" i="67" s="1"/>
  <c r="C20" i="9"/>
  <c r="D19" i="9"/>
  <c r="C19" i="9"/>
  <c r="D20" i="9"/>
  <c r="B6" i="76"/>
  <c r="R24" i="6" l="1"/>
  <c r="R25" i="6"/>
  <c r="K65" i="40"/>
  <c r="L63" i="40"/>
  <c r="R26" i="6"/>
  <c r="A10" i="51"/>
  <c r="B9" i="72" s="1"/>
  <c r="A7" i="51"/>
  <c r="B7" i="72" s="1"/>
  <c r="C4" i="52"/>
  <c r="B45" i="72" s="1"/>
  <c r="D27" i="6"/>
  <c r="D31" i="6" s="1"/>
  <c r="M68" i="39"/>
  <c r="L70" i="39"/>
  <c r="R20" i="6"/>
  <c r="R23" i="6"/>
  <c r="C8" i="71"/>
  <c r="T9" i="71"/>
  <c r="D9" i="71"/>
  <c r="U9" i="71" s="1"/>
  <c r="D19" i="69"/>
  <c r="C10" i="69"/>
  <c r="C8" i="69" s="1"/>
  <c r="C5" i="69" s="1"/>
  <c r="D19" i="68"/>
  <c r="C10" i="68"/>
  <c r="D102" i="9"/>
  <c r="D21" i="9"/>
  <c r="D22" i="9"/>
  <c r="G19" i="9"/>
  <c r="G21" i="9" s="1"/>
  <c r="C102" i="9"/>
  <c r="C21" i="9"/>
  <c r="D103" i="9"/>
  <c r="C16" i="12"/>
  <c r="C21" i="12" s="1"/>
  <c r="C22" i="12" s="1"/>
  <c r="C27" i="12" s="1"/>
  <c r="C25" i="12" s="1"/>
  <c r="I27" i="6"/>
  <c r="H19" i="6"/>
  <c r="S19" i="6"/>
  <c r="S27" i="6" s="1"/>
  <c r="C39" i="11"/>
  <c r="C42" i="11"/>
  <c r="C41" i="11" s="1"/>
  <c r="B2" i="76"/>
  <c r="B3" i="76" s="1"/>
  <c r="B3" i="43"/>
  <c r="C103" i="9"/>
  <c r="G20" i="9"/>
  <c r="C49" i="34"/>
  <c r="C50" i="34"/>
  <c r="B2" i="34" s="1"/>
  <c r="B3" i="34" s="1"/>
  <c r="I46" i="37"/>
  <c r="J46" i="37" s="1"/>
  <c r="J48" i="35"/>
  <c r="I46" i="36"/>
  <c r="R43" i="37"/>
  <c r="E42" i="37"/>
  <c r="E54" i="34"/>
  <c r="F54" i="34" s="1"/>
  <c r="E53" i="34"/>
  <c r="F53" i="34" s="1"/>
  <c r="U7" i="37"/>
  <c r="AB7" i="37"/>
  <c r="T42" i="37" s="1"/>
  <c r="G42" i="37" s="1"/>
  <c r="Q48" i="67"/>
  <c r="L46" i="67"/>
  <c r="C56" i="67"/>
  <c r="C65" i="67" s="1"/>
  <c r="C37" i="67"/>
  <c r="C30" i="67" s="1"/>
  <c r="C39" i="67" s="1"/>
  <c r="Q70" i="67"/>
  <c r="C75" i="67"/>
  <c r="Q48" i="15"/>
  <c r="L46" i="15"/>
  <c r="J13" i="67"/>
  <c r="J23" i="67" s="1"/>
  <c r="J22" i="67"/>
  <c r="C61" i="67"/>
  <c r="C59" i="67" s="1"/>
  <c r="C64" i="67"/>
  <c r="C75" i="15"/>
  <c r="C56" i="15"/>
  <c r="C65" i="15" s="1"/>
  <c r="C37" i="15"/>
  <c r="C30" i="15" s="1"/>
  <c r="C39" i="15" s="1"/>
  <c r="Q70" i="15"/>
  <c r="C61" i="15"/>
  <c r="C59" i="15" s="1"/>
  <c r="C64" i="15"/>
  <c r="J22" i="15"/>
  <c r="J13" i="15"/>
  <c r="J23" i="15" s="1"/>
  <c r="L65" i="40" l="1"/>
  <c r="M63" i="40"/>
  <c r="C19" i="68"/>
  <c r="D37" i="68"/>
  <c r="C37" i="68" s="1"/>
  <c r="C33" i="68" s="1"/>
  <c r="C39" i="68" s="1"/>
  <c r="C43" i="68" s="1"/>
  <c r="D37" i="69"/>
  <c r="C37" i="69" s="1"/>
  <c r="C33" i="69" s="1"/>
  <c r="C19" i="69"/>
  <c r="C23" i="69"/>
  <c r="C22" i="69" s="1"/>
  <c r="C7" i="71"/>
  <c r="D8" i="71"/>
  <c r="M70" i="39"/>
  <c r="N68" i="39"/>
  <c r="I5" i="6"/>
  <c r="I6" i="6"/>
  <c r="C32" i="9"/>
  <c r="H118" i="9" s="1"/>
  <c r="C30" i="12"/>
  <c r="C28" i="12" s="1"/>
  <c r="C32" i="12" s="1"/>
  <c r="B2" i="12" s="1"/>
  <c r="B3" i="12" s="1"/>
  <c r="C46" i="11"/>
  <c r="C45" i="11" s="1"/>
  <c r="C49" i="11" s="1"/>
  <c r="C51" i="11" s="1"/>
  <c r="C43" i="11"/>
  <c r="R19" i="6"/>
  <c r="H27" i="6"/>
  <c r="J16" i="15"/>
  <c r="J25" i="15" s="1"/>
  <c r="C58" i="15"/>
  <c r="C67" i="15" s="1"/>
  <c r="C68" i="15" s="1"/>
  <c r="C71" i="15" s="1"/>
  <c r="C43" i="37"/>
  <c r="B2" i="37" s="1"/>
  <c r="B3" i="37" s="1"/>
  <c r="C42" i="37"/>
  <c r="J16" i="67"/>
  <c r="J25" i="67" s="1"/>
  <c r="G46" i="37"/>
  <c r="H46" i="37" s="1"/>
  <c r="G47" i="37"/>
  <c r="H47" i="37" s="1"/>
  <c r="E47" i="37"/>
  <c r="F47" i="37" s="1"/>
  <c r="E46" i="37"/>
  <c r="F46" i="37" s="1"/>
  <c r="J46" i="36"/>
  <c r="K48" i="35"/>
  <c r="I47" i="37"/>
  <c r="J47" i="37" s="1"/>
  <c r="Q69" i="15"/>
  <c r="Q68" i="15" s="1"/>
  <c r="C40" i="15"/>
  <c r="C80" i="67"/>
  <c r="C79" i="67" s="1"/>
  <c r="C80" i="15"/>
  <c r="C79" i="15" s="1"/>
  <c r="C58" i="67"/>
  <c r="C67" i="67" s="1"/>
  <c r="C68" i="67" s="1"/>
  <c r="Q69" i="67"/>
  <c r="Q68" i="67" s="1"/>
  <c r="C40" i="67"/>
  <c r="L51" i="15"/>
  <c r="L51" i="67"/>
  <c r="C46" i="68" l="1"/>
  <c r="C45" i="68" s="1"/>
  <c r="C42" i="68"/>
  <c r="C41" i="68" s="1"/>
  <c r="M65" i="40"/>
  <c r="N63" i="40"/>
  <c r="C42" i="69"/>
  <c r="C41" i="69" s="1"/>
  <c r="C39" i="69"/>
  <c r="C43" i="69" s="1"/>
  <c r="C20" i="68"/>
  <c r="C24" i="68"/>
  <c r="N70" i="39"/>
  <c r="H7" i="39" s="1"/>
  <c r="O68" i="39"/>
  <c r="O70" i="39" s="1"/>
  <c r="C6" i="71"/>
  <c r="D7" i="71"/>
  <c r="C20" i="69"/>
  <c r="C25" i="69" s="1"/>
  <c r="C24" i="69"/>
  <c r="C35" i="9"/>
  <c r="F118" i="9" s="1"/>
  <c r="F4" i="52" s="1"/>
  <c r="B51" i="72" s="1"/>
  <c r="C46" i="15"/>
  <c r="C52" i="11"/>
  <c r="B2" i="11" s="1"/>
  <c r="B3" i="11" s="1"/>
  <c r="R6" i="1"/>
  <c r="R16" i="1" s="1"/>
  <c r="R27" i="6"/>
  <c r="C104" i="9"/>
  <c r="H119" i="9"/>
  <c r="H5" i="52" s="1"/>
  <c r="H101" i="9"/>
  <c r="I118" i="9"/>
  <c r="H4" i="52"/>
  <c r="D14" i="74"/>
  <c r="L48" i="35"/>
  <c r="K46" i="36"/>
  <c r="Q67" i="67"/>
  <c r="L57" i="67"/>
  <c r="L60" i="67" s="1"/>
  <c r="Q67" i="15"/>
  <c r="L57" i="15"/>
  <c r="L60" i="15" s="1"/>
  <c r="C43" i="67"/>
  <c r="D2" i="67"/>
  <c r="Q56" i="67"/>
  <c r="Q47" i="67"/>
  <c r="Q53" i="67" s="1"/>
  <c r="Q65" i="67"/>
  <c r="C83" i="67"/>
  <c r="C82" i="67" s="1"/>
  <c r="C45" i="67"/>
  <c r="C46" i="67" s="1"/>
  <c r="C71" i="67"/>
  <c r="B2" i="15"/>
  <c r="B3" i="15" s="1"/>
  <c r="Q65" i="15"/>
  <c r="C43" i="15"/>
  <c r="Q47" i="15"/>
  <c r="Q53" i="15" s="1"/>
  <c r="Q56" i="15"/>
  <c r="C83" i="15"/>
  <c r="C82" i="15" s="1"/>
  <c r="C49" i="68" l="1"/>
  <c r="C51" i="68" s="1"/>
  <c r="N65" i="40"/>
  <c r="F7" i="40" s="1"/>
  <c r="AA7" i="40" s="1"/>
  <c r="R42" i="40" s="1"/>
  <c r="O63" i="40"/>
  <c r="O65" i="40" s="1"/>
  <c r="H7" i="40" s="1"/>
  <c r="J7" i="40"/>
  <c r="C46" i="69"/>
  <c r="C45" i="69" s="1"/>
  <c r="C49" i="69" s="1"/>
  <c r="C51" i="69" s="1"/>
  <c r="C5" i="71"/>
  <c r="D6" i="71"/>
  <c r="AB7" i="39"/>
  <c r="T47" i="39" s="1"/>
  <c r="G47" i="39" s="1"/>
  <c r="U7" i="39"/>
  <c r="J7" i="39"/>
  <c r="C28" i="68"/>
  <c r="C27" i="68" s="1"/>
  <c r="C31" i="68" s="1"/>
  <c r="C25" i="68"/>
  <c r="F7" i="39"/>
  <c r="C28" i="69"/>
  <c r="C27" i="69" s="1"/>
  <c r="C31" i="69" s="1"/>
  <c r="F119" i="9"/>
  <c r="F5" i="52" s="1"/>
  <c r="B53" i="72" s="1"/>
  <c r="G118" i="9"/>
  <c r="G4" i="52" s="1"/>
  <c r="B52" i="72" s="1"/>
  <c r="C34" i="9"/>
  <c r="D118" i="9" s="1"/>
  <c r="C56" i="11"/>
  <c r="C57" i="11" s="1"/>
  <c r="D45" i="9"/>
  <c r="M48" i="9"/>
  <c r="D5" i="53"/>
  <c r="H107" i="9"/>
  <c r="E14" i="74"/>
  <c r="F14" i="74"/>
  <c r="B5" i="74"/>
  <c r="H102" i="9"/>
  <c r="D7" i="53" s="1"/>
  <c r="B21" i="72" s="1"/>
  <c r="C105" i="9"/>
  <c r="I4" i="52"/>
  <c r="L46" i="36"/>
  <c r="M48" i="35"/>
  <c r="B2" i="67"/>
  <c r="B3" i="67"/>
  <c r="Q66" i="15"/>
  <c r="Q75" i="15" s="1"/>
  <c r="Q57" i="15"/>
  <c r="Q62" i="15" s="1"/>
  <c r="Q66" i="67"/>
  <c r="Q75" i="67" s="1"/>
  <c r="Q57" i="67"/>
  <c r="Q62" i="67" s="1"/>
  <c r="C52" i="68" l="1"/>
  <c r="B2" i="68" s="1"/>
  <c r="B3" i="68" s="1"/>
  <c r="S7" i="40"/>
  <c r="AC7" i="40"/>
  <c r="V42" i="40" s="1"/>
  <c r="I42" i="40" s="1"/>
  <c r="I46" i="40" s="1"/>
  <c r="J46" i="40" s="1"/>
  <c r="W7" i="40"/>
  <c r="AB7" i="40"/>
  <c r="T42" i="40" s="1"/>
  <c r="G42" i="40" s="1"/>
  <c r="U7" i="40"/>
  <c r="C52" i="69"/>
  <c r="C57" i="69" s="1"/>
  <c r="C56" i="69" s="1"/>
  <c r="AA7" i="39"/>
  <c r="R47" i="39" s="1"/>
  <c r="S7" i="39"/>
  <c r="E42" i="40"/>
  <c r="R43" i="40"/>
  <c r="AC7" i="39"/>
  <c r="V47" i="39" s="1"/>
  <c r="I47" i="39" s="1"/>
  <c r="G52" i="39" s="1"/>
  <c r="H52" i="39" s="1"/>
  <c r="W7" i="39"/>
  <c r="G51" i="39"/>
  <c r="H51" i="39" s="1"/>
  <c r="D5" i="71"/>
  <c r="M20" i="43"/>
  <c r="E118" i="9"/>
  <c r="E4" i="52" s="1"/>
  <c r="B48" i="72" s="1"/>
  <c r="D119" i="9"/>
  <c r="D5" i="52" s="1"/>
  <c r="B49" i="72" s="1"/>
  <c r="D4" i="52"/>
  <c r="B47" i="72" s="1"/>
  <c r="D122" i="9"/>
  <c r="D13" i="53"/>
  <c r="H108" i="9"/>
  <c r="D15" i="53" s="1"/>
  <c r="B31" i="72" s="1"/>
  <c r="C5" i="74"/>
  <c r="D5" i="74"/>
  <c r="D6" i="53"/>
  <c r="B22" i="72" s="1"/>
  <c r="B20" i="72"/>
  <c r="C85" i="9"/>
  <c r="D55" i="9"/>
  <c r="M53" i="9" s="1"/>
  <c r="D52" i="9"/>
  <c r="C72" i="9"/>
  <c r="C78" i="9"/>
  <c r="C73" i="9" s="1"/>
  <c r="D53" i="9"/>
  <c r="C93" i="9"/>
  <c r="C86" i="9" s="1"/>
  <c r="C64" i="9"/>
  <c r="C63" i="9" s="1"/>
  <c r="C67" i="9" s="1"/>
  <c r="C68" i="9" s="1"/>
  <c r="D54" i="9" s="1"/>
  <c r="N48" i="35"/>
  <c r="O48" i="35" s="1"/>
  <c r="H7" i="35"/>
  <c r="M46" i="36"/>
  <c r="N46" i="36" s="1"/>
  <c r="O46" i="36" s="1"/>
  <c r="H7" i="36" s="1"/>
  <c r="F7" i="36"/>
  <c r="J7" i="36"/>
  <c r="C57" i="68" l="1"/>
  <c r="C56" i="68" s="1"/>
  <c r="G47" i="40"/>
  <c r="H47" i="40" s="1"/>
  <c r="G46" i="40"/>
  <c r="H46" i="40" s="1"/>
  <c r="B2" i="69"/>
  <c r="B3" i="69" s="1"/>
  <c r="C42" i="40"/>
  <c r="C43" i="40"/>
  <c r="I51" i="39"/>
  <c r="J51" i="39" s="1"/>
  <c r="I47" i="40"/>
  <c r="J47" i="40" s="1"/>
  <c r="E47" i="40"/>
  <c r="F47" i="40" s="1"/>
  <c r="E46" i="40"/>
  <c r="F46" i="40" s="1"/>
  <c r="E47" i="39"/>
  <c r="R48" i="39"/>
  <c r="C95" i="9"/>
  <c r="D14" i="53"/>
  <c r="B32" i="72" s="1"/>
  <c r="B30" i="72"/>
  <c r="C79" i="9"/>
  <c r="G14" i="74"/>
  <c r="B6" i="74" s="1"/>
  <c r="D8" i="52"/>
  <c r="D123" i="9"/>
  <c r="D9" i="52" s="1"/>
  <c r="AA7" i="36"/>
  <c r="R36" i="36" s="1"/>
  <c r="S7" i="36"/>
  <c r="AB7" i="35"/>
  <c r="T38" i="35" s="1"/>
  <c r="G38" i="35" s="1"/>
  <c r="U7" i="35"/>
  <c r="W7" i="36"/>
  <c r="AC7" i="36"/>
  <c r="V36" i="36" s="1"/>
  <c r="I36" i="36" s="1"/>
  <c r="U7" i="36"/>
  <c r="AB7" i="36"/>
  <c r="T36" i="36" s="1"/>
  <c r="G36" i="36" s="1"/>
  <c r="F7" i="35"/>
  <c r="J7" i="35"/>
  <c r="E52" i="39" l="1"/>
  <c r="F52" i="39" s="1"/>
  <c r="E51" i="39"/>
  <c r="F51" i="39" s="1"/>
  <c r="I52" i="39"/>
  <c r="J52" i="39" s="1"/>
  <c r="B52" i="40"/>
  <c r="F52" i="40" s="1"/>
  <c r="B57" i="40"/>
  <c r="F57" i="40" s="1"/>
  <c r="B53" i="40"/>
  <c r="F53" i="40" s="1"/>
  <c r="B51" i="40"/>
  <c r="F51" i="40" s="1"/>
  <c r="B59" i="40"/>
  <c r="F59" i="40" s="1"/>
  <c r="F61" i="40"/>
  <c r="B2" i="40" s="1"/>
  <c r="B3" i="40" s="1"/>
  <c r="B55" i="40"/>
  <c r="F55" i="40" s="1"/>
  <c r="B56" i="40"/>
  <c r="F56" i="40" s="1"/>
  <c r="B58" i="40"/>
  <c r="F58" i="40" s="1"/>
  <c r="B60" i="40"/>
  <c r="F60" i="40" s="1"/>
  <c r="B54" i="40"/>
  <c r="F54" i="40" s="1"/>
  <c r="C48" i="39"/>
  <c r="C47" i="39"/>
  <c r="C80" i="9"/>
  <c r="E80" i="9" s="1"/>
  <c r="E81" i="9" s="1"/>
  <c r="C6" i="74"/>
  <c r="D6" i="74"/>
  <c r="C96" i="9"/>
  <c r="E96" i="9" s="1"/>
  <c r="E97" i="9" s="1"/>
  <c r="AC7" i="35"/>
  <c r="V38" i="35" s="1"/>
  <c r="I38" i="35" s="1"/>
  <c r="G43" i="35" s="1"/>
  <c r="H43" i="35" s="1"/>
  <c r="W7" i="35"/>
  <c r="G41" i="36"/>
  <c r="H41" i="36" s="1"/>
  <c r="G40" i="36"/>
  <c r="H40" i="36" s="1"/>
  <c r="I40" i="36"/>
  <c r="J40" i="36" s="1"/>
  <c r="AA7" i="35"/>
  <c r="R38" i="35" s="1"/>
  <c r="S7" i="35"/>
  <c r="G42" i="35"/>
  <c r="H42" i="35" s="1"/>
  <c r="R37" i="36"/>
  <c r="E36" i="36"/>
  <c r="B56" i="39" l="1"/>
  <c r="F56" i="39" s="1"/>
  <c r="F66" i="39" s="1"/>
  <c r="B2" i="39" s="1"/>
  <c r="B3" i="39" s="1"/>
  <c r="B65" i="39"/>
  <c r="F65" i="39" s="1"/>
  <c r="B60" i="39"/>
  <c r="F60" i="39" s="1"/>
  <c r="B64" i="39"/>
  <c r="F64" i="39" s="1"/>
  <c r="B62" i="39"/>
  <c r="F62" i="39" s="1"/>
  <c r="B61" i="39"/>
  <c r="F61" i="39" s="1"/>
  <c r="B59" i="39"/>
  <c r="F59" i="39" s="1"/>
  <c r="B63" i="39"/>
  <c r="F63" i="39" s="1"/>
  <c r="B58" i="39"/>
  <c r="F58" i="39" s="1"/>
  <c r="B57" i="39"/>
  <c r="F57" i="39" s="1"/>
  <c r="C97" i="9"/>
  <c r="D58" i="9" s="1"/>
  <c r="D56" i="9" s="1"/>
  <c r="M54" i="9" s="1"/>
  <c r="N57" i="9" s="1"/>
  <c r="P57" i="9" s="1"/>
  <c r="C81" i="9"/>
  <c r="C37" i="36"/>
  <c r="B2" i="36" s="1"/>
  <c r="B3" i="36" s="1"/>
  <c r="C36" i="36"/>
  <c r="E38" i="35"/>
  <c r="R39" i="35"/>
  <c r="E41" i="36"/>
  <c r="F41" i="36" s="1"/>
  <c r="E40" i="36"/>
  <c r="F40" i="36" s="1"/>
  <c r="I41" i="36"/>
  <c r="J41" i="36" s="1"/>
  <c r="I42" i="35"/>
  <c r="J42" i="35" s="1"/>
  <c r="I43" i="35"/>
  <c r="J43" i="35" s="1"/>
  <c r="N59" i="9" l="1"/>
  <c r="N60" i="9" s="1"/>
  <c r="N58" i="9"/>
  <c r="C38" i="35"/>
  <c r="C39" i="35"/>
  <c r="B2" i="35" s="1"/>
  <c r="B3" i="35" s="1"/>
  <c r="E43" i="35"/>
  <c r="F43" i="35" s="1"/>
  <c r="E42" i="35"/>
  <c r="F42" i="35"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在建项目均选择“是”</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500-000007000000}">
      <text>
        <r>
          <rPr>
            <sz val="10"/>
            <color indexed="81"/>
            <rFont val="宋体"/>
            <family val="3"/>
            <charset val="134"/>
          </rPr>
          <t xml:space="preserve">在建
</t>
        </r>
      </text>
    </comment>
    <comment ref="N59" authorId="1"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 xml:space="preserve">在建项目均选择“是”
</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3000000}">
      <text>
        <r>
          <rPr>
            <b/>
            <sz val="12"/>
            <color indexed="81"/>
            <rFont val="宋体"/>
            <family val="3"/>
            <charset val="134"/>
          </rPr>
          <t>所属项目品质或
物业管理</t>
        </r>
      </text>
    </comment>
    <comment ref="B90" authorId="0" shapeId="0" xr:uid="{00000000-0006-0000-1E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3000000}">
      <text>
        <r>
          <rPr>
            <b/>
            <sz val="12"/>
            <color indexed="81"/>
            <rFont val="宋体"/>
            <family val="3"/>
            <charset val="134"/>
          </rPr>
          <t>所属项目品质或
物业管理</t>
        </r>
      </text>
    </comment>
    <comment ref="B86" authorId="0" shapeId="0" xr:uid="{00000000-0006-0000-1F00-000004000000}">
      <text>
        <r>
          <rPr>
            <b/>
            <sz val="12"/>
            <color indexed="81"/>
            <rFont val="宋体"/>
            <family val="3"/>
            <charset val="134"/>
          </rPr>
          <t>所属项目品质</t>
        </r>
      </text>
    </comment>
    <comment ref="B89"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000-000002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1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1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2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<sst xmlns="http://schemas.openxmlformats.org/spreadsheetml/2006/main" count="11095" uniqueCount="3807">
  <si>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</si>
  <si>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</si>
  <si>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</si>
  <si>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</si>
  <si>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</si>
  <si>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</si>
  <si>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</si>
  <si>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</si>
  <si>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</si>
  <si>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</si>
  <si>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</si>
  <si>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</si>
  <si>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</si>
  <si>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</si>
  <si>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</si>
  <si>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</si>
  <si>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</si>
  <si>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</si>
  <si>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</si>
  <si>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</si>
  <si>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</si>
  <si>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</si>
  <si>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</si>
  <si>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</si>
  <si>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</si>
  <si>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</si>
  <si>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</si>
  <si>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</si>
  <si>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</si>
  <si>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</si>
  <si>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</si>
  <si>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</si>
  <si>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</si>
  <si>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</si>
  <si>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</si>
  <si>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</si>
  <si>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</si>
  <si>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</si>
  <si>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</si>
  <si>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</si>
  <si>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</si>
  <si>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</si>
  <si>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</si>
  <si>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</si>
  <si>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</si>
  <si>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</si>
  <si>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</si>
  <si>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</si>
  <si>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</si>
  <si>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</si>
  <si>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</si>
  <si>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</si>
  <si>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</si>
  <si>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</si>
  <si>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</si>
  <si>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</si>
  <si>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</si>
  <si>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</si>
  <si>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</si>
  <si>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</si>
  <si>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</si>
  <si>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</si>
  <si>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</si>
  <si>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</si>
  <si>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</si>
  <si>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</si>
  <si>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</si>
  <si>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</si>
  <si>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</si>
  <si>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</si>
  <si>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</si>
  <si>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</si>
  <si>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</si>
  <si>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</si>
  <si>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</si>
  <si>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</si>
  <si>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</si>
  <si>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</si>
  <si>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</si>
  <si>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</si>
  <si>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</si>
  <si>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</si>
  <si>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</si>
  <si>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</si>
  <si>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</si>
  <si>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</si>
  <si>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</si>
  <si>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</si>
  <si>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</si>
  <si>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</si>
  <si>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</si>
  <si>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</si>
  <si>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</si>
  <si>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</si>
  <si>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</si>
  <si>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</si>
  <si>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</si>
  <si>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</si>
  <si>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</si>
  <si>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</si>
  <si>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</si>
  <si>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</si>
  <si>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</si>
  <si>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</si>
  <si>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</si>
  <si>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</si>
  <si>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</si>
  <si>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</si>
  <si>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</si>
  <si>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</si>
  <si>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</si>
  <si>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</si>
  <si>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</si>
  <si>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</si>
  <si>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</si>
  <si>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</si>
  <si>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</si>
  <si>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</si>
  <si>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</si>
  <si>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</si>
  <si>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</si>
  <si>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</si>
  <si>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</si>
  <si>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</si>
  <si>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</si>
  <si>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</si>
  <si>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</si>
  <si>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</si>
  <si>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</si>
  <si>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</si>
  <si>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</si>
  <si>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</si>
  <si>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</si>
  <si>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</si>
  <si>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</si>
  <si>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</si>
  <si>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</si>
  <si>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</si>
  <si>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</si>
  <si>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</si>
  <si>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</si>
  <si>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</si>
  <si>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</si>
  <si>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</si>
  <si>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</si>
  <si>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</si>
  <si>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</si>
  <si>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</si>
  <si>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</si>
  <si>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</si>
  <si>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</si>
  <si>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</si>
  <si>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</si>
  <si>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</si>
  <si>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</si>
  <si>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</si>
  <si>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</si>
  <si>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</si>
  <si>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</si>
  <si>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</si>
  <si>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</si>
  <si>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</si>
  <si>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</si>
  <si>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</si>
  <si>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</si>
  <si>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</si>
  <si>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</si>
  <si>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</si>
  <si>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</si>
  <si>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</si>
  <si>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</si>
  <si>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</si>
  <si>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</si>
  <si>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</si>
  <si>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</si>
  <si>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</si>
  <si>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</si>
  <si>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</si>
  <si>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</si>
  <si>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</si>
  <si>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</si>
  <si>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</si>
  <si>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</si>
  <si>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</si>
  <si>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</si>
  <si>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</si>
  <si>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</si>
  <si>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</si>
  <si>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</si>
  <si>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</si>
  <si>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</si>
  <si>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</si>
  <si>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</si>
  <si>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</si>
  <si>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</si>
  <si>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</si>
  <si>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</si>
  <si>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</si>
  <si>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</si>
  <si>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</si>
  <si>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</si>
  <si>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</si>
  <si>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</si>
  <si>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</si>
  <si>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</si>
  <si>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</si>
  <si>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</si>
  <si>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</si>
  <si>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</si>
  <si>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</si>
  <si>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</si>
  <si>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</si>
  <si>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</si>
  <si>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</si>
  <si>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</si>
  <si>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</si>
  <si>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</si>
  <si>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</si>
  <si>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</si>
  <si>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</si>
  <si>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</si>
  <si>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</si>
  <si>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</si>
  <si>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</si>
  <si>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</si>
  <si>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</si>
  <si>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</si>
  <si>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</si>
  <si>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</si>
  <si>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</si>
  <si>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</si>
  <si>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</si>
  <si>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</si>
  <si>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</si>
  <si>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</si>
  <si>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</si>
  <si>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</si>
  <si>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</si>
  <si>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</si>
  <si>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</si>
  <si>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</si>
  <si>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</si>
  <si>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</si>
  <si>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</si>
  <si>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</si>
  <si>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</si>
  <si>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</si>
  <si>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</si>
  <si>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</si>
  <si>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</si>
  <si>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</si>
  <si>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</si>
  <si>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</si>
  <si>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</si>
  <si>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</si>
  <si>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</si>
  <si>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</si>
  <si>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</si>
  <si>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</si>
  <si>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</si>
  <si>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</si>
  <si>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</si>
  <si>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</si>
  <si>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</si>
  <si>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</si>
  <si>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</si>
  <si>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</si>
  <si>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</si>
  <si>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</si>
  <si>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</si>
  <si>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</si>
  <si>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</si>
  <si>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</si>
  <si>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</si>
  <si>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</si>
  <si>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</si>
  <si>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</si>
  <si>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</si>
  <si>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</si>
  <si>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</si>
  <si>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</si>
  <si>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</si>
  <si>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</si>
  <si>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</si>
  <si>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</si>
  <si>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</si>
  <si>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</si>
  <si>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</si>
  <si>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</si>
  <si>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</si>
  <si>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</si>
  <si>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</si>
  <si>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</si>
  <si>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</si>
  <si>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</si>
  <si>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</si>
  <si>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</si>
  <si>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</si>
  <si>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</si>
  <si>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</si>
  <si>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</si>
  <si>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</si>
  <si>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</si>
  <si>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</si>
  <si>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</si>
  <si>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</si>
  <si>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</si>
  <si>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</si>
  <si>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</si>
  <si>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</si>
  <si>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</si>
  <si>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</si>
  <si>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</si>
  <si>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</si>
  <si>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</si>
  <si>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</si>
  <si>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</si>
  <si>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</si>
  <si>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</si>
  <si>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</si>
  <si>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</si>
  <si>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</si>
  <si>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</si>
  <si>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</si>
  <si>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</si>
  <si>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</si>
  <si>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</si>
  <si>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</si>
  <si>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</si>
  <si>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</si>
  <si>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</si>
  <si>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</si>
  <si>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</si>
  <si>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</si>
  <si>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</si>
  <si>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</si>
  <si>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</si>
  <si>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</si>
  <si>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</si>
  <si>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</si>
  <si>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</si>
  <si>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</si>
  <si>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</si>
  <si>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</si>
  <si>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</si>
  <si>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</si>
  <si>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</si>
  <si>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</si>
  <si>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</si>
  <si>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</si>
  <si>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</si>
  <si>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</si>
  <si>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</si>
  <si>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</si>
  <si>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</si>
  <si>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</si>
  <si>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</si>
  <si>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</si>
  <si>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</si>
  <si>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</si>
  <si>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</si>
  <si>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</si>
  <si>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</si>
  <si>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</si>
  <si>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</si>
  <si>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</si>
  <si>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</si>
  <si>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</si>
  <si>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</si>
  <si>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</si>
  <si>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</si>
  <si>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</si>
  <si>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</si>
  <si>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</si>
  <si>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</si>
  <si>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</si>
  <si>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</si>
  <si>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</si>
  <si>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</si>
  <si>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</si>
  <si>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</si>
  <si>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</si>
  <si>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</si>
  <si>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</si>
  <si>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</si>
  <si>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</si>
  <si>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</si>
  <si>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</si>
  <si>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</si>
  <si>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</si>
  <si>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</si>
  <si>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</si>
  <si>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</si>
  <si>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</si>
  <si>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</si>
  <si>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</si>
  <si>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</si>
  <si>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</si>
  <si>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</si>
  <si>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</si>
  <si>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</si>
  <si>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</si>
  <si>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</si>
  <si>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</si>
  <si>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</si>
  <si>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</si>
  <si>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</si>
  <si>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</si>
  <si>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</si>
  <si>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</si>
  <si>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</si>
  <si>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</si>
  <si>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</si>
  <si>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</si>
  <si>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</si>
  <si>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</si>
  <si>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</si>
  <si>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</si>
  <si>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</si>
  <si>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</si>
  <si>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</si>
  <si>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</si>
  <si>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</si>
  <si>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</si>
  <si>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</si>
  <si>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</si>
  <si>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</si>
  <si>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</si>
  <si>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</si>
  <si>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</si>
  <si>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</si>
  <si>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</si>
  <si>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</si>
  <si>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</si>
  <si>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</si>
  <si>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</si>
  <si>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</si>
  <si>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</si>
  <si>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</si>
  <si>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</si>
  <si>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</si>
  <si>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</si>
  <si>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</si>
  <si>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</si>
  <si>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</si>
  <si>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</si>
  <si>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</si>
  <si>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</si>
  <si>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</si>
  <si>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</si>
  <si>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</si>
  <si>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</si>
  <si>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</si>
  <si>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</si>
  <si>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</si>
  <si>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</si>
  <si>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</si>
  <si>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</si>
  <si>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</si>
  <si>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</si>
  <si>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</si>
  <si>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</si>
  <si>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</si>
  <si>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</si>
  <si>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</si>
  <si>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</si>
  <si>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</si>
  <si>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</si>
  <si>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</si>
  <si>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</si>
  <si>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</si>
  <si>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</si>
  <si>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</si>
  <si>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</si>
  <si>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</si>
  <si>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</si>
  <si>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</si>
  <si>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</si>
  <si>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</si>
  <si>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</si>
  <si>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</si>
  <si>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</si>
  <si>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</si>
  <si>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</si>
  <si>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</si>
  <si>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</si>
  <si>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</si>
  <si>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</si>
  <si>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</si>
  <si>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</si>
  <si>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</si>
  <si>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</si>
  <si>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</si>
  <si>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</si>
  <si>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</si>
  <si>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</si>
  <si>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</si>
  <si>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</si>
  <si>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</si>
  <si>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</si>
  <si>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</si>
  <si>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</si>
  <si>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</si>
  <si>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</si>
  <si>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</si>
  <si>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</si>
  <si>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</si>
  <si>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</si>
  <si>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</si>
  <si>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</si>
  <si>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</si>
  <si>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</si>
  <si>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</si>
  <si>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</si>
  <si>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</si>
  <si>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</si>
  <si>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</si>
  <si>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</si>
  <si>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</si>
  <si>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</si>
  <si>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</si>
  <si>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</si>
  <si>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</si>
  <si>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</si>
  <si>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</si>
  <si>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</si>
  <si>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</si>
  <si>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</si>
  <si>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</si>
  <si>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</si>
  <si>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</si>
  <si>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</si>
  <si>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</si>
  <si>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</si>
  <si>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</si>
  <si>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</si>
  <si>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</si>
  <si>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</si>
  <si>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</si>
  <si>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</si>
  <si>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</si>
  <si>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</si>
  <si>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</si>
  <si>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</si>
  <si>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</si>
  <si>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</si>
  <si>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</si>
  <si>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</si>
  <si>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</si>
  <si>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</si>
  <si>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</si>
  <si>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</si>
  <si>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</si>
  <si>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</si>
  <si>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</si>
  <si>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</si>
  <si>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</si>
  <si>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</si>
  <si>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</si>
  <si>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</si>
  <si>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</si>
  <si>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</si>
  <si>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</si>
  <si>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</si>
  <si>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</si>
  <si>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</si>
  <si>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</si>
  <si>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</si>
  <si>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</si>
  <si>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</si>
  <si>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</si>
  <si>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</si>
  <si>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</si>
  <si>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</si>
  <si>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</si>
  <si>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</si>
  <si>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</si>
  <si>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</si>
  <si>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</si>
  <si>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</si>
  <si>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</si>
  <si>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</si>
  <si>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</si>
  <si>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</si>
  <si>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</si>
  <si>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</si>
  <si>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</si>
  <si>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</si>
  <si>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</si>
  <si>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</si>
  <si>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</si>
  <si>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</si>
  <si>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</si>
  <si>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</si>
  <si>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</si>
  <si>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</si>
  <si>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</si>
  <si>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</si>
  <si>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</si>
  <si>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</si>
  <si>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</si>
  <si>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</si>
  <si>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</si>
  <si>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</si>
  <si>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</si>
  <si>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</si>
  <si>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</si>
  <si>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</si>
  <si>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</si>
  <si>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</si>
  <si>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</si>
  <si>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</si>
  <si>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</si>
  <si>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</si>
  <si>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</si>
  <si>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</si>
  <si>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</si>
  <si>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</si>
  <si>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</si>
  <si>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</si>
  <si>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</si>
  <si>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</si>
  <si>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</si>
  <si>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</si>
  <si>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</si>
  <si>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</si>
  <si>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</si>
  <si>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</si>
  <si>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</si>
  <si>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</si>
  <si>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</si>
  <si>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</si>
  <si>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</si>
  <si>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</si>
  <si>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</si>
  <si>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</si>
  <si>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</si>
  <si>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</si>
  <si>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</si>
  <si>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</si>
  <si>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</si>
  <si>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</si>
  <si>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</si>
  <si>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</si>
  <si>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</si>
  <si>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</si>
  <si>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</si>
  <si>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</si>
  <si>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</si>
  <si>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</si>
  <si>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</si>
  <si>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</si>
  <si>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</si>
  <si>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</si>
  <si>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</si>
  <si>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</si>
  <si>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</si>
  <si>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</si>
  <si>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</si>
  <si>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</si>
  <si>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</si>
  <si>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</si>
  <si>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</si>
  <si>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</si>
  <si>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</si>
  <si>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</si>
  <si>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</si>
  <si>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</si>
  <si>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</si>
  <si>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</si>
  <si>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</si>
  <si>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</si>
  <si>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</si>
  <si>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</si>
  <si>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</si>
  <si>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</si>
  <si>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</si>
  <si>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</si>
  <si>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</si>
  <si>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</si>
  <si>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</si>
  <si>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</si>
  <si>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</si>
  <si>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</si>
  <si>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</si>
  <si>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</si>
  <si>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</si>
  <si>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</si>
  <si>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</si>
  <si>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</si>
  <si>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</si>
  <si>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</si>
  <si>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</si>
  <si>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</si>
  <si>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</si>
  <si>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</si>
  <si>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</si>
  <si>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</si>
  <si>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</si>
  <si>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</si>
  <si>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</si>
  <si>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</si>
  <si>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</si>
  <si>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</si>
  <si>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</si>
  <si>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</si>
  <si>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</si>
  <si>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</si>
  <si>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</si>
  <si>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</si>
  <si>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</si>
  <si>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</si>
  <si>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</si>
  <si>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</si>
  <si>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</si>
  <si>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</si>
  <si>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</si>
  <si>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</si>
  <si>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</si>
  <si>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</si>
  <si>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</si>
  <si>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</si>
  <si>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</si>
  <si>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</si>
  <si>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</si>
  <si>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</si>
  <si>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</si>
  <si>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</si>
  <si>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</si>
  <si>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</si>
  <si>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</si>
  <si>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</si>
  <si>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</si>
  <si>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</si>
  <si>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</si>
  <si>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</si>
  <si>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</si>
  <si>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</si>
  <si>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</si>
  <si>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</si>
  <si>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</si>
  <si>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</si>
  <si>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</si>
  <si>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</si>
  <si>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</si>
  <si>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</si>
  <si>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</si>
  <si>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</si>
  <si>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</si>
  <si>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</si>
  <si>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</si>
  <si>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</si>
  <si>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</si>
  <si>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</si>
  <si>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</si>
  <si>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</si>
  <si>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</si>
  <si>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</si>
  <si>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</si>
  <si>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</si>
  <si>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</si>
  <si>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</si>
  <si>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</si>
  <si>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</si>
  <si>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</si>
  <si>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</si>
  <si>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</si>
  <si>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</si>
  <si>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</si>
  <si>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</si>
  <si>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</si>
  <si>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</si>
  <si>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</si>
  <si>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</si>
  <si>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</si>
  <si>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</si>
  <si>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</si>
  <si>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</si>
  <si>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</si>
  <si>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</si>
  <si>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</si>
  <si>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</si>
  <si>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</si>
  <si>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</si>
  <si>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</si>
  <si>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</si>
  <si>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</si>
  <si>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</si>
  <si>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</si>
  <si>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</si>
  <si>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</si>
  <si>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</si>
  <si>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</si>
  <si>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</si>
  <si>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</si>
  <si>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</si>
  <si>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</si>
  <si>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</si>
  <si>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</si>
  <si>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</si>
  <si>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</si>
  <si>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</si>
  <si>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</si>
  <si>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</si>
  <si>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</si>
  <si>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</si>
  <si>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</si>
  <si>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</si>
  <si>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</si>
  <si>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</si>
  <si>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</si>
  <si>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</si>
  <si>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</si>
  <si>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</si>
  <si>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</si>
  <si>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</si>
  <si>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</si>
  <si>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</si>
  <si>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</si>
  <si>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</si>
  <si>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</si>
  <si>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</si>
  <si>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</si>
  <si>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</si>
  <si>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</si>
  <si>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</si>
  <si>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</si>
  <si>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</si>
  <si>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</si>
  <si>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</si>
  <si>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</si>
  <si>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</si>
  <si>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</si>
  <si>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</si>
  <si>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</si>
  <si>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</si>
  <si>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</si>
  <si>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</si>
  <si>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</si>
  <si>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</si>
  <si>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</si>
  <si>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</si>
  <si>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</si>
  <si>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</si>
  <si>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</si>
  <si>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</si>
  <si>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</si>
  <si>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</si>
  <si>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</si>
  <si>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</si>
  <si>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</si>
  <si>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</si>
  <si>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</si>
  <si>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</si>
  <si>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</si>
  <si>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</si>
  <si>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</si>
  <si>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</si>
  <si>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</si>
  <si>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</si>
  <si>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</si>
  <si>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</si>
  <si>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</si>
  <si>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</si>
  <si>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</si>
  <si>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</si>
  <si>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</si>
  <si>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</si>
  <si>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</si>
  <si>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</si>
  <si>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</si>
  <si>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</si>
  <si>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</si>
  <si>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</si>
  <si>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</si>
  <si>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</si>
  <si>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</si>
  <si>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</si>
  <si>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</si>
  <si>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</si>
  <si>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</si>
  <si>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</si>
  <si>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</si>
  <si>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</si>
  <si>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</si>
  <si>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</si>
  <si>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</si>
  <si>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</si>
  <si>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</si>
  <si>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</si>
  <si>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</si>
  <si>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</si>
  <si>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</si>
  <si>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</si>
  <si>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</si>
  <si>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</si>
  <si>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</si>
  <si>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</si>
  <si>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</si>
  <si>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</si>
  <si>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</si>
  <si>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</si>
  <si>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</si>
  <si>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</si>
  <si>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</si>
  <si>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</si>
  <si>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</si>
  <si>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</si>
  <si>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</si>
  <si>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</si>
  <si>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</si>
  <si>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</si>
  <si>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</si>
  <si>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</si>
  <si>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</si>
  <si>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</si>
  <si>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</si>
  <si>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</si>
  <si>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</si>
  <si>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</si>
  <si>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</si>
  <si>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</si>
  <si>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</si>
  <si>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</si>
  <si>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</si>
  <si>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</si>
  <si>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</si>
  <si>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</si>
  <si>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</si>
  <si>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</si>
  <si>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</si>
  <si>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</si>
  <si>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</si>
  <si>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</si>
  <si>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</si>
  <si>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</si>
  <si>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</si>
  <si>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</si>
  <si>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</si>
  <si>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</si>
  <si>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</si>
  <si>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</si>
  <si>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</si>
  <si>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</si>
  <si>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</si>
  <si>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</si>
  <si>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</si>
  <si>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</si>
  <si>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</si>
  <si>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</si>
  <si>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</si>
  <si>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</si>
  <si>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</si>
  <si>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</si>
  <si>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</si>
  <si>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</si>
  <si>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</si>
  <si>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</si>
  <si>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</si>
  <si>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</si>
  <si>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</si>
  <si>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</si>
  <si>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</si>
  <si>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</si>
  <si>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</si>
  <si>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</si>
  <si>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</si>
  <si>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</si>
  <si>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</si>
  <si>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</si>
  <si>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</si>
  <si>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</si>
  <si>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</si>
  <si>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</si>
  <si>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</si>
  <si>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</si>
  <si>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</si>
  <si>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</si>
  <si>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</si>
  <si>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</si>
  <si>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</si>
  <si>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</si>
  <si>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</si>
  <si>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</si>
  <si>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</si>
  <si>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</si>
  <si>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</si>
  <si>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</si>
  <si>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</si>
  <si>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</si>
  <si>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</si>
  <si>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</si>
  <si>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</si>
  <si>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</si>
  <si>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</si>
  <si>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</si>
  <si>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</si>
  <si>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</si>
  <si>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</si>
  <si>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</si>
  <si>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</si>
  <si>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</si>
  <si>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</si>
  <si>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</si>
  <si>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</si>
  <si>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</si>
  <si>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</si>
  <si>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</si>
  <si>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</si>
  <si>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</si>
  <si>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</si>
  <si>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</si>
  <si>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</si>
  <si>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</si>
  <si>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</si>
  <si>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</si>
  <si>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</si>
  <si>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</si>
  <si>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</si>
  <si>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</si>
  <si>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</si>
  <si>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</si>
  <si>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</si>
  <si>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</si>
  <si>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</si>
  <si>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</si>
  <si>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</si>
  <si>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</si>
  <si>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</si>
  <si>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</si>
  <si>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</si>
  <si>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</si>
  <si>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</si>
  <si>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</si>
  <si>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</si>
  <si>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</si>
  <si>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</si>
  <si>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</si>
  <si>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</si>
  <si>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</si>
  <si>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</si>
  <si>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</si>
  <si>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</si>
  <si>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</si>
  <si>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</si>
  <si>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</si>
  <si>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</si>
  <si>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</si>
  <si>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</si>
  <si>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</si>
  <si>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</si>
  <si>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</si>
  <si>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</si>
  <si>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</si>
  <si>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</si>
  <si>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</si>
  <si>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</si>
  <si>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</si>
  <si>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</si>
  <si>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</si>
  <si>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</si>
  <si>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</si>
  <si>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</si>
  <si>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</si>
  <si>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</si>
  <si>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</si>
  <si>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</si>
  <si>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</si>
  <si>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</si>
  <si>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</si>
  <si>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</si>
  <si>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</si>
  <si>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</si>
  <si>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</si>
  <si>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</si>
  <si>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</si>
  <si>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</si>
  <si>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</si>
  <si>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</si>
  <si>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</si>
  <si>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</si>
  <si>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</si>
  <si>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</si>
  <si>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</si>
  <si>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</si>
  <si>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</si>
  <si>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</si>
  <si>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</si>
  <si>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</si>
  <si>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</si>
  <si>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</si>
  <si>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</si>
  <si>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</si>
  <si>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</si>
  <si>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</si>
  <si>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</si>
  <si>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</si>
  <si>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</si>
  <si>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</si>
  <si>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</si>
  <si>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</si>
  <si>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</si>
  <si>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</si>
  <si>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</si>
  <si>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</si>
  <si>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</si>
  <si>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</si>
  <si>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</si>
  <si>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</si>
  <si>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</si>
  <si>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</si>
  <si>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</si>
  <si>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</si>
  <si>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</si>
  <si>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</si>
  <si>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</si>
  <si>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</si>
  <si>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</si>
  <si>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</si>
  <si>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</si>
  <si>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</si>
  <si>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</si>
  <si>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</si>
  <si>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</si>
  <si>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</si>
  <si>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</si>
  <si>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</si>
  <si>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</si>
  <si>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</si>
  <si>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</si>
  <si>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</si>
  <si>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</si>
  <si>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</si>
  <si>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</si>
  <si>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</si>
  <si>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</si>
  <si>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</si>
  <si>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</si>
  <si>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</si>
  <si>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</si>
  <si>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</si>
  <si>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</si>
  <si>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</si>
  <si>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</si>
  <si>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</si>
  <si>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</si>
  <si>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</si>
  <si>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</si>
  <si>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</si>
  <si>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</si>
  <si>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</si>
  <si>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</si>
  <si>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</si>
  <si>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</si>
  <si>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</si>
  <si>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</si>
  <si>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</si>
  <si>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</si>
  <si>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</si>
  <si>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</si>
  <si>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</si>
  <si>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</si>
  <si>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</si>
  <si>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</si>
  <si>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</si>
  <si>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</si>
  <si>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</si>
  <si>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</si>
  <si>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</si>
  <si>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</si>
  <si>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</si>
  <si>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</si>
  <si>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</si>
  <si>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</si>
  <si>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</si>
  <si>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</si>
  <si>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</si>
  <si>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</si>
  <si>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</si>
  <si>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</si>
  <si>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</si>
  <si>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</si>
  <si>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</si>
  <si>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</si>
  <si>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</si>
  <si>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</si>
  <si>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</si>
  <si>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</si>
  <si>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</si>
  <si>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</si>
  <si>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</si>
  <si>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</si>
  <si>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</si>
  <si>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</si>
  <si>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</si>
  <si>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</si>
  <si>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</si>
  <si>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</si>
  <si>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</si>
  <si>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</si>
  <si>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</si>
  <si>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</si>
  <si>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</si>
  <si>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</si>
  <si>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</si>
  <si>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</si>
  <si>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</si>
  <si>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</si>
  <si>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</si>
  <si>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</si>
  <si>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</si>
  <si>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</si>
  <si>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</si>
  <si>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</si>
  <si>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</si>
  <si>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</si>
  <si>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</si>
  <si>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</si>
  <si>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</si>
  <si>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</si>
  <si>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</si>
  <si>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</si>
  <si>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</si>
  <si>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</si>
  <si>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</si>
  <si>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</si>
  <si>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</si>
  <si>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</si>
  <si>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</si>
  <si>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</si>
  <si>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</si>
  <si>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</si>
  <si>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</si>
  <si>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</si>
  <si>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</si>
  <si>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</si>
  <si>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</si>
  <si>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</si>
  <si>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</si>
  <si>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</si>
  <si>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</si>
  <si>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</si>
  <si>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</si>
  <si>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</si>
  <si>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</si>
  <si>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</si>
  <si>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</si>
  <si>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</si>
  <si>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</si>
  <si>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</si>
  <si>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</si>
  <si>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</si>
  <si>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</si>
  <si>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</si>
  <si>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</si>
  <si>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</si>
  <si>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</si>
  <si>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</si>
  <si>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</si>
  <si>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</si>
  <si>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</si>
  <si>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</si>
  <si>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</si>
  <si>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</si>
  <si>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</si>
  <si>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</si>
  <si>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</si>
  <si>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</si>
  <si>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</si>
  <si>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</si>
  <si>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</si>
  <si>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</si>
  <si>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</si>
  <si>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</si>
  <si>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</si>
  <si>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</si>
  <si>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</si>
  <si>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</si>
  <si>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</si>
  <si>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</si>
  <si>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</si>
  <si>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</si>
  <si>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</si>
  <si>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</si>
  <si>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</si>
  <si>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</si>
  <si>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</si>
  <si>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</si>
  <si>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</si>
  <si>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</si>
  <si>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</si>
  <si>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</si>
  <si>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</si>
  <si>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</si>
  <si>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</si>
  <si>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</si>
  <si>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</si>
  <si>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</si>
  <si>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</si>
  <si>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</si>
  <si>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</si>
  <si>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</si>
  <si>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</si>
  <si>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</si>
  <si>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</si>
  <si>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</si>
  <si>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</si>
  <si>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</si>
  <si>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</si>
  <si>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</si>
  <si>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</si>
  <si>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</si>
  <si>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</si>
  <si>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</si>
  <si>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</si>
  <si>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</si>
  <si>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</si>
  <si>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</si>
  <si>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</si>
  <si>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</si>
  <si>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</si>
  <si>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</si>
  <si>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</si>
  <si>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</si>
  <si>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</si>
  <si>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</si>
  <si>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</si>
  <si>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</si>
  <si>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</si>
  <si>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</si>
  <si>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</si>
  <si>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</si>
  <si>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</si>
  <si>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</si>
  <si>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</si>
  <si>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</si>
  <si>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</si>
  <si>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</si>
  <si>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</si>
  <si>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</si>
  <si>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</si>
  <si>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</si>
  <si>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</si>
  <si>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</si>
  <si>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</si>
  <si>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</si>
  <si>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</si>
  <si>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</si>
  <si>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</si>
  <si>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</si>
  <si>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</si>
  <si>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</si>
  <si>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</si>
  <si>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</si>
  <si>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</si>
  <si>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</si>
  <si>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</si>
  <si>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</si>
  <si>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</si>
  <si>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</si>
  <si>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</si>
  <si>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</si>
  <si>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</si>
  <si>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</si>
  <si>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</si>
  <si>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</si>
  <si>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</si>
  <si>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</si>
  <si>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</si>
  <si>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</si>
  <si>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</si>
  <si>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</si>
  <si>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</si>
  <si>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</si>
  <si>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</si>
  <si>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</si>
  <si>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</si>
  <si>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</si>
  <si>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</si>
  <si>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</si>
  <si>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</si>
  <si>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</si>
  <si>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</si>
  <si>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</si>
  <si>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</si>
  <si>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</si>
  <si>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</si>
  <si>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</si>
  <si>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</si>
  <si>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</si>
  <si>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</si>
  <si>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</si>
  <si>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</si>
  <si>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</si>
  <si>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</si>
  <si>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</si>
  <si>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</si>
  <si>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</si>
  <si>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</si>
  <si>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</si>
  <si>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</si>
  <si>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</si>
  <si>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</si>
  <si>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</si>
  <si>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</si>
  <si>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</si>
  <si>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</si>
  <si>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</si>
  <si>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</si>
  <si>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</si>
  <si>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</si>
  <si>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</si>
  <si>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</si>
  <si>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</si>
  <si>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</si>
  <si>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</si>
  <si>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</si>
  <si>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</si>
  <si>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</si>
  <si>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</si>
  <si>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</si>
  <si>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</si>
  <si>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</si>
  <si>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</si>
  <si>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</si>
  <si>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</si>
  <si>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</si>
  <si>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</si>
  <si>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</si>
  <si>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</si>
  <si>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</si>
  <si>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</si>
  <si>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</si>
  <si>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</si>
  <si>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</si>
  <si>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</si>
  <si>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</si>
  <si>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</si>
  <si>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</si>
  <si>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</si>
  <si>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</si>
  <si>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</si>
  <si>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</si>
  <si>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</si>
  <si>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</si>
  <si>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</si>
  <si>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</si>
  <si>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</si>
  <si>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</si>
  <si>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</si>
  <si>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</si>
  <si>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</si>
  <si>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</si>
  <si>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</si>
  <si>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</si>
  <si>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</si>
  <si>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</si>
  <si>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</si>
  <si>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</si>
  <si>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</si>
  <si>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</si>
  <si>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</si>
  <si>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</si>
  <si>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</si>
  <si>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</si>
  <si>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</si>
  <si>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</si>
  <si>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</si>
  <si>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</si>
  <si>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</si>
  <si>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</si>
  <si>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</si>
  <si>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</si>
  <si>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</si>
  <si>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</si>
  <si>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</si>
  <si>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</si>
  <si>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</si>
  <si>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</si>
  <si>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</si>
  <si>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</si>
  <si>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</si>
  <si>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</si>
  <si>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</si>
  <si>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</si>
  <si>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</si>
  <si>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</si>
  <si>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</si>
  <si>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</si>
  <si>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</si>
  <si>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</si>
  <si>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</si>
  <si>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</si>
  <si>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</si>
  <si>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</si>
  <si>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</si>
  <si>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</si>
  <si>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</si>
  <si>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</si>
  <si>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</si>
  <si>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</si>
  <si>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</si>
  <si>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</si>
  <si>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</si>
  <si>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</si>
  <si>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</si>
  <si>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</si>
  <si>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</si>
  <si>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</si>
  <si>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</si>
  <si>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</si>
  <si>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</si>
  <si>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</si>
  <si>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</si>
  <si>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</si>
  <si>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</si>
  <si>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</si>
  <si>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</si>
  <si>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</si>
  <si>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</si>
  <si>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</si>
  <si>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</si>
  <si>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</si>
  <si>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</si>
  <si>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</si>
  <si>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</si>
  <si>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</si>
  <si>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</si>
  <si>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</si>
  <si>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</si>
  <si>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</si>
  <si>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</si>
  <si>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</si>
  <si>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</si>
  <si>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</si>
  <si>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</si>
  <si>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</si>
  <si>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</si>
  <si>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</si>
  <si>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</si>
  <si>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</si>
  <si>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</si>
  <si>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</si>
  <si>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</si>
  <si>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</si>
  <si>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</si>
  <si>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</si>
  <si>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</si>
  <si>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</si>
  <si>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</si>
  <si>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</si>
  <si>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</si>
  <si>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</si>
  <si>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</si>
  <si>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</si>
  <si>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</si>
  <si>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</si>
  <si>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</si>
  <si>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</si>
  <si>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</si>
  <si>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</si>
  <si>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</si>
  <si>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</si>
  <si>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</si>
  <si>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</si>
  <si>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</si>
  <si>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</si>
  <si>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</si>
  <si>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</si>
  <si>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</si>
  <si>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</si>
  <si>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</si>
  <si>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</si>
  <si>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</si>
  <si>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</si>
  <si>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</si>
  <si>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</si>
  <si>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</si>
  <si>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</si>
  <si>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</si>
  <si>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</si>
  <si>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</si>
  <si>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</si>
  <si>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</si>
  <si>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</si>
  <si>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</si>
  <si>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</si>
  <si>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</si>
  <si>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</si>
  <si>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</si>
  <si>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</si>
  <si>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</si>
  <si>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</si>
  <si>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</si>
  <si>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</si>
  <si>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</si>
  <si>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</si>
  <si>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</si>
  <si>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</si>
  <si>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</si>
  <si>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</si>
  <si>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</si>
  <si>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</si>
  <si>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</si>
  <si>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</si>
  <si>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</si>
  <si>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</si>
  <si>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</si>
  <si>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</si>
  <si>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</si>
  <si>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</si>
  <si>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</si>
  <si>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</si>
  <si>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</si>
  <si>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</si>
  <si>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</si>
  <si>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</si>
  <si>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</si>
  <si>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</si>
  <si>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</si>
  <si>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</si>
  <si>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</si>
  <si>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</si>
  <si>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</si>
  <si>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</si>
  <si>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</si>
  <si>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</si>
  <si>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</si>
  <si>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</si>
  <si>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</si>
  <si>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</si>
  <si>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</si>
  <si>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</si>
  <si>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</si>
  <si>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</si>
  <si>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</si>
  <si>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</si>
  <si>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</si>
  <si>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</si>
  <si>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</si>
  <si>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</si>
  <si>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</si>
  <si>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</si>
  <si>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</si>
  <si>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</si>
  <si>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</si>
  <si>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</si>
  <si>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</si>
  <si>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</si>
  <si>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</si>
  <si>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</si>
  <si>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</si>
  <si>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</si>
  <si>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</si>
  <si>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</si>
  <si>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</si>
  <si>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</si>
  <si>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</si>
  <si>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</si>
  <si>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</si>
  <si>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</si>
  <si>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</si>
  <si>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</si>
  <si>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</si>
  <si>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</si>
  <si>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</si>
  <si>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</si>
  <si>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</si>
  <si>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</si>
  <si>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</si>
  <si>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</si>
  <si>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</si>
  <si>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</si>
  <si>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</si>
  <si>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</si>
  <si>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</si>
  <si>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</si>
  <si>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</si>
  <si>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</si>
  <si>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</si>
  <si>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</si>
  <si>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</si>
  <si>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</si>
  <si>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</si>
  <si>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</si>
  <si>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</si>
  <si>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</si>
  <si>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</si>
  <si>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</si>
  <si>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</si>
  <si>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</si>
  <si>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</si>
  <si>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</si>
  <si>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</si>
  <si>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</si>
  <si>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</si>
  <si>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</si>
  <si>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</si>
  <si>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</si>
  <si>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</si>
  <si>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</si>
  <si>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</si>
  <si>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</si>
  <si>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</si>
  <si>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</si>
  <si>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</si>
  <si>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</si>
  <si>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</si>
  <si>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</si>
  <si>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</si>
  <si>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</si>
  <si>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</si>
  <si>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</si>
  <si>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</si>
  <si>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</si>
  <si>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</si>
  <si>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</si>
  <si>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</si>
  <si>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</si>
  <si>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</si>
  <si>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</si>
  <si>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</si>
  <si>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</si>
  <si>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</si>
  <si>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</si>
  <si>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</si>
  <si>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</si>
  <si>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</si>
  <si>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</si>
  <si>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</si>
  <si>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</si>
  <si>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</si>
  <si>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</si>
  <si>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</si>
  <si>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</si>
  <si>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</si>
  <si>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</si>
  <si>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</si>
  <si>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</si>
  <si>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</si>
  <si>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</si>
  <si>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</si>
  <si>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</si>
  <si>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</si>
  <si>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</si>
  <si>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</si>
  <si>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</si>
  <si>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</si>
  <si>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</si>
  <si>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</si>
  <si>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</si>
  <si>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</si>
  <si>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</si>
  <si>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</si>
  <si>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</si>
  <si>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</si>
  <si>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</si>
  <si>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</si>
  <si>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</si>
  <si>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</si>
  <si>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</si>
  <si>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</si>
  <si>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</si>
  <si>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</si>
  <si>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</si>
  <si>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</si>
  <si>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</si>
  <si>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</si>
  <si>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</si>
  <si>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</si>
  <si>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</si>
  <si>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</si>
  <si>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</si>
  <si>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</si>
  <si>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</si>
  <si>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</si>
  <si>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</si>
  <si>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</si>
  <si>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</si>
  <si>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</si>
  <si>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</si>
  <si>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</si>
  <si>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</si>
  <si>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</si>
  <si>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</si>
  <si>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</si>
  <si>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</si>
  <si>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</si>
  <si>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</si>
  <si>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</si>
  <si>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</si>
  <si>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</si>
  <si>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</si>
  <si>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</si>
  <si>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</si>
  <si>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</si>
  <si>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</si>
  <si>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</si>
  <si>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</si>
  <si>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</si>
  <si>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</si>
  <si>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</si>
  <si>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</si>
  <si>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</si>
  <si>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</si>
  <si>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</si>
  <si>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</si>
  <si>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</si>
  <si>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</si>
  <si>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</si>
  <si>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</si>
  <si>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</si>
  <si>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</si>
  <si>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</si>
  <si>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</si>
  <si>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</si>
  <si>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</si>
  <si>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</si>
  <si>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</si>
  <si>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</si>
  <si>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</si>
  <si>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</si>
  <si>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</si>
  <si>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</si>
  <si>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</si>
  <si>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</si>
  <si>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</si>
  <si>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</si>
  <si>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</si>
  <si>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</si>
  <si>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</si>
  <si>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</si>
  <si>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</si>
  <si>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</si>
  <si>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</si>
  <si>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</si>
  <si>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</si>
  <si>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</si>
  <si>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</si>
  <si>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</si>
  <si>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</si>
  <si>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</si>
  <si>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</si>
  <si>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</si>
  <si>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</si>
  <si>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</si>
  <si>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</si>
  <si>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</si>
  <si>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</si>
  <si>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</si>
  <si>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</si>
  <si>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</si>
  <si>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</si>
  <si>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</si>
  <si>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</si>
  <si>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</si>
  <si>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</si>
  <si>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</si>
  <si>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</si>
  <si>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</si>
  <si>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</si>
  <si>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</si>
  <si>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</si>
  <si>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</si>
  <si>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</si>
  <si>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</si>
  <si>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</si>
  <si>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</si>
  <si>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</si>
  <si>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</si>
  <si>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</si>
  <si>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</si>
  <si>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</si>
  <si>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</si>
  <si>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</si>
  <si>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</si>
  <si>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</si>
  <si>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</si>
  <si>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</si>
  <si>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</si>
  <si>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</si>
  <si>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</si>
  <si>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</si>
  <si>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</si>
  <si>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</si>
  <si>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</si>
  <si>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</si>
  <si>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</si>
  <si>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</si>
  <si>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</si>
  <si>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</si>
  <si>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</si>
  <si>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</si>
  <si>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</si>
  <si>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</si>
  <si>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</si>
  <si>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</si>
  <si>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</si>
  <si>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</si>
  <si>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</si>
  <si>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</si>
  <si>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</si>
  <si>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</si>
  <si>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</si>
  <si>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</si>
  <si>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</si>
  <si>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</si>
  <si>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</si>
  <si>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</si>
  <si>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</si>
  <si>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</si>
  <si>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</si>
  <si>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</si>
  <si>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</si>
  <si>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</si>
  <si>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</si>
  <si>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</si>
  <si>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</si>
  <si>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</si>
  <si>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</si>
  <si>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</si>
  <si>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</si>
  <si>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</si>
  <si>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</si>
  <si>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</si>
  <si>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</si>
  <si>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</si>
  <si>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</si>
  <si>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</si>
  <si>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</si>
  <si>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</si>
  <si>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</si>
  <si>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</si>
  <si>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</si>
  <si>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</si>
  <si>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</si>
  <si>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</si>
  <si>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</si>
  <si>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</si>
  <si>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</si>
  <si>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</si>
  <si>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</si>
  <si>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</si>
  <si>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</si>
  <si>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</si>
  <si>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</si>
  <si>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</si>
  <si>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</si>
  <si>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</si>
  <si>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</si>
  <si>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</si>
  <si>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</si>
  <si>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</si>
  <si>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</si>
  <si>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</si>
  <si>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</si>
  <si>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</si>
  <si>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</si>
  <si>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</si>
  <si>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</si>
  <si>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</si>
  <si>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</si>
  <si>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</si>
  <si>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</si>
  <si>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</si>
  <si>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</si>
  <si>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</si>
  <si>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</si>
  <si>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</si>
  <si>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</si>
  <si>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</si>
  <si>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</si>
  <si>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</si>
  <si>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</si>
  <si>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</si>
  <si>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</si>
  <si>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</si>
  <si>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</si>
  <si>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</si>
  <si>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</si>
  <si>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</si>
  <si>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</si>
  <si>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</si>
  <si>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</si>
  <si>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</si>
  <si>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</si>
  <si>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</si>
  <si>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</si>
  <si>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</si>
  <si>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</si>
  <si>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</si>
  <si>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</si>
  <si>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</si>
  <si>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</si>
  <si>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</si>
  <si>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</si>
  <si>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</si>
  <si>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</si>
  <si>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</si>
  <si>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</si>
  <si>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</si>
  <si>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</si>
  <si>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</si>
  <si>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</si>
  <si>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</si>
  <si>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</si>
  <si>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</si>
  <si>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</si>
  <si>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</si>
  <si>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</si>
  <si>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</si>
  <si>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</si>
  <si>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</si>
  <si>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</si>
  <si>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</si>
  <si>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</si>
  <si>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</si>
  <si>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</si>
  <si>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</si>
  <si>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</si>
  <si>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</si>
  <si>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</si>
  <si>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</si>
  <si>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</si>
  <si>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</si>
  <si>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</si>
  <si>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</si>
  <si>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</si>
  <si>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</si>
  <si>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</si>
  <si>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</si>
  <si>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</si>
  <si>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</si>
  <si>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</si>
  <si>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</si>
  <si>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</si>
  <si>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</si>
  <si>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</si>
  <si>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</si>
  <si>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</si>
  <si>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</si>
  <si>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</si>
  <si>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</si>
  <si>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</si>
  <si>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</si>
  <si>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</si>
  <si>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</si>
  <si>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</si>
  <si>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</si>
  <si>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</si>
  <si>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</si>
  <si>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</si>
  <si>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</si>
  <si>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</si>
  <si>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</si>
  <si>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</si>
  <si>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</si>
  <si>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</si>
  <si>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</si>
  <si>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</si>
  <si>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</si>
  <si>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</si>
  <si>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</si>
  <si>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</si>
  <si>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</si>
  <si>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</si>
  <si>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</si>
  <si>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</si>
  <si>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</si>
  <si>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</si>
  <si>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</si>
  <si>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</si>
  <si>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</si>
  <si>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</si>
  <si>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</si>
  <si>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</si>
  <si>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</si>
  <si>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</si>
  <si>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</si>
  <si>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</si>
  <si>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</si>
  <si>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</si>
  <si>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</si>
  <si>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</si>
  <si>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</si>
  <si>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</si>
  <si>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</si>
  <si>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</si>
  <si>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</si>
  <si>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</si>
  <si>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</si>
  <si>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</si>
  <si>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</si>
  <si>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</si>
  <si>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</si>
  <si>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</si>
  <si>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</si>
  <si>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</si>
  <si>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</si>
  <si>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</si>
  <si>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</si>
  <si>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</si>
  <si>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</si>
  <si>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</si>
  <si>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</si>
  <si>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</si>
  <si>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</si>
  <si>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</si>
  <si>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</si>
  <si>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</si>
  <si>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</si>
  <si>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</si>
  <si>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</si>
  <si>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</si>
  <si>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</si>
  <si>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</si>
  <si>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</si>
  <si>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</si>
  <si>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</si>
  <si>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</si>
  <si>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</si>
  <si>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</si>
  <si>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</si>
  <si>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</si>
  <si>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</si>
  <si>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</si>
  <si>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</si>
  <si>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</si>
  <si>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</si>
  <si>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</si>
  <si>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</si>
  <si>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</si>
  <si>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</si>
  <si>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</si>
  <si>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</si>
  <si>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</si>
  <si>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</si>
  <si>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</si>
  <si>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</si>
  <si>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</si>
  <si>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</si>
  <si>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</si>
  <si>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</si>
  <si>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</si>
  <si>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</si>
  <si>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</si>
  <si>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</si>
  <si>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</si>
  <si>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</si>
  <si>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</si>
  <si>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</si>
  <si>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</si>
  <si>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</si>
  <si>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</si>
  <si>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</si>
  <si>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</si>
  <si>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</si>
  <si>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</si>
  <si>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</si>
  <si>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</si>
  <si>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</si>
  <si>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</si>
  <si>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</si>
  <si>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</si>
  <si>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</si>
  <si>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</si>
  <si>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</si>
  <si>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</si>
  <si>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</si>
  <si>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</si>
  <si>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</si>
  <si>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</si>
  <si>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</si>
  <si>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</si>
  <si>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</si>
  <si>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</si>
  <si>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</si>
  <si>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</si>
  <si>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</si>
  <si>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</si>
  <si>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</si>
  <si>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</si>
  <si>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</si>
  <si>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</si>
  <si>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</si>
  <si>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</si>
  <si>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</si>
  <si>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</si>
  <si>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</si>
  <si>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</si>
  <si>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</si>
  <si>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</si>
  <si>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</si>
  <si>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</si>
  <si>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</si>
  <si>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</si>
  <si>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</si>
  <si>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</si>
  <si>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</si>
  <si>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</si>
  <si>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</si>
  <si>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</si>
  <si>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</si>
  <si>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</si>
  <si>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</si>
  <si>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</si>
  <si>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</si>
  <si>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</si>
  <si>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</si>
  <si>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</si>
  <si>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</si>
  <si>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</si>
  <si>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</si>
  <si>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</si>
  <si>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</si>
  <si>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</si>
  <si>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</si>
  <si>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</si>
  <si>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</si>
  <si>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</si>
  <si>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</si>
  <si>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</si>
  <si>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</si>
  <si>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</si>
  <si>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</si>
  <si>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</si>
  <si>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</si>
  <si>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</si>
  <si>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</si>
  <si>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</si>
  <si>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</si>
  <si>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</si>
  <si>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</si>
  <si>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</si>
  <si>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</si>
  <si>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</si>
  <si>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</si>
  <si>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</si>
  <si>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</si>
  <si>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</si>
  <si>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</si>
  <si>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</si>
  <si>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</si>
  <si>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</si>
  <si>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</si>
  <si>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</si>
  <si>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</si>
  <si>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</si>
  <si>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</si>
  <si>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</si>
  <si>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</si>
  <si>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</si>
  <si>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</si>
  <si>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</si>
  <si>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</si>
  <si>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</si>
  <si>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</si>
  <si>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</si>
  <si>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</si>
  <si>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</si>
  <si>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</si>
  <si>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</si>
  <si>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</si>
  <si>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</si>
  <si>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</si>
  <si>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</si>
  <si>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</si>
  <si>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</si>
  <si>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</si>
  <si>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</si>
  <si>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</si>
  <si>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</si>
  <si>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</si>
  <si>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</si>
  <si>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</si>
  <si>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</si>
  <si>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</si>
  <si>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</si>
  <si>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</si>
  <si>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</si>
  <si>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</si>
  <si>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</si>
  <si>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</si>
  <si>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</si>
  <si>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</si>
  <si>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</si>
  <si>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</si>
  <si>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</si>
  <si>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</si>
  <si>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</si>
  <si>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</si>
  <si>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</si>
  <si>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</si>
  <si>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</si>
  <si>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</si>
  <si>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</si>
  <si>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</si>
  <si>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</si>
  <si>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</si>
  <si>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</si>
  <si>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</si>
  <si>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</si>
  <si>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</si>
  <si>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</si>
  <si>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</si>
  <si>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</si>
  <si>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</si>
  <si>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</si>
  <si>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</si>
  <si>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</si>
  <si>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</si>
  <si>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</si>
  <si>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</si>
  <si>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</si>
  <si>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</si>
  <si>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</si>
  <si>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</si>
  <si>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</si>
  <si>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</si>
  <si>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</si>
  <si>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</si>
  <si>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</si>
  <si>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</si>
  <si>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</si>
  <si>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</si>
  <si>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</si>
  <si>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</si>
  <si>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</si>
  <si>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</si>
  <si>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</si>
  <si>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</si>
  <si>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</si>
  <si>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</si>
  <si>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</si>
  <si>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</si>
  <si>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</si>
  <si>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</si>
  <si>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</si>
  <si>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</si>
  <si>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</si>
  <si>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</si>
  <si>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</si>
  <si>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</si>
  <si>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</si>
  <si>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</si>
  <si>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</si>
  <si>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</si>
  <si>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</si>
  <si>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</si>
  <si>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</si>
  <si>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</si>
  <si>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</si>
  <si>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</si>
  <si>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</si>
  <si>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</si>
  <si>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</si>
  <si>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</si>
  <si>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</si>
  <si>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</si>
  <si>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</si>
  <si>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</si>
  <si>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</si>
  <si>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</si>
  <si>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</si>
  <si>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</si>
  <si>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</si>
  <si>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</si>
  <si>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</si>
  <si>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</si>
  <si>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</si>
  <si>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</si>
  <si>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</si>
  <si>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</si>
  <si>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</si>
  <si>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</si>
  <si>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</si>
  <si>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</si>
  <si>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</si>
  <si>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</si>
  <si>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</si>
  <si>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</si>
  <si>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</si>
  <si>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</si>
  <si>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</si>
  <si>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</si>
  <si>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</si>
  <si>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</si>
  <si>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</si>
  <si>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</si>
  <si>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</si>
  <si>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</si>
  <si>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</si>
  <si>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</si>
  <si>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</si>
  <si>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</si>
  <si>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</si>
  <si>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</si>
  <si>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</si>
  <si>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</si>
  <si>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</si>
  <si>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</si>
  <si>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</si>
  <si>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</si>
  <si>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</si>
  <si>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</si>
  <si>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</si>
  <si>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</si>
  <si>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</si>
  <si>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</si>
  <si>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</si>
  <si>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</si>
  <si>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</si>
  <si>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</si>
  <si>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</si>
  <si>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</si>
  <si>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</si>
  <si>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</si>
  <si>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</si>
  <si>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</si>
  <si>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</si>
  <si>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</si>
  <si>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</si>
  <si>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</si>
  <si>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</si>
  <si>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</si>
  <si>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</si>
  <si>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</si>
  <si>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</si>
  <si>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</si>
  <si>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</si>
  <si>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</si>
  <si>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</si>
  <si>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</si>
  <si>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</si>
  <si>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</si>
  <si>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</si>
  <si>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</si>
  <si>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</si>
  <si>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</si>
  <si>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</si>
  <si>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</si>
  <si>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</si>
  <si>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</si>
  <si>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</si>
  <si>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</si>
  <si>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</si>
  <si>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</si>
  <si>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</si>
  <si>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</si>
  <si>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</si>
  <si>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</si>
  <si>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</si>
  <si>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</si>
  <si>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</si>
  <si>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</si>
  <si>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</si>
  <si>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</si>
  <si>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</si>
  <si>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</si>
  <si>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</si>
  <si>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</si>
  <si>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</si>
  <si>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</si>
  <si>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</si>
  <si>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</si>
  <si>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</si>
  <si>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</si>
  <si>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</si>
  <si>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</si>
  <si>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</si>
  <si>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</si>
  <si>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</si>
  <si>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</si>
  <si>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</si>
  <si>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</si>
  <si>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</si>
  <si>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</si>
  <si>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</si>
  <si>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</si>
  <si>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</si>
  <si>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</si>
  <si>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</si>
  <si>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</si>
  <si>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</si>
  <si>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</si>
  <si>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</si>
  <si>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</si>
  <si>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</si>
  <si>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</si>
  <si>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</si>
  <si>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</si>
  <si>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</si>
  <si>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</si>
  <si>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</si>
  <si>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</si>
  <si>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</si>
  <si>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</si>
  <si>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</si>
  <si>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</si>
  <si>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</si>
  <si>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</si>
  <si>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</si>
  <si>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</si>
  <si>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</si>
  <si>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</si>
  <si>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</si>
  <si>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</si>
  <si>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</si>
  <si>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</si>
  <si>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</si>
  <si>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</si>
  <si>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</si>
  <si>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</si>
  <si>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</si>
  <si>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</si>
  <si>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</si>
  <si>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</si>
  <si>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</si>
  <si>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</si>
  <si>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</si>
  <si>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</si>
  <si>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</si>
  <si>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</si>
  <si>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</si>
  <si>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</si>
  <si>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</si>
  <si>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</si>
  <si>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</si>
  <si>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</si>
  <si>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</si>
  <si>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</si>
  <si>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</si>
  <si>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</si>
  <si>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</si>
  <si>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</si>
  <si>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</si>
  <si>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</si>
  <si>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</si>
  <si>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</si>
  <si>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</si>
  <si>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</si>
  <si>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</si>
  <si>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</si>
  <si>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</si>
  <si>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</si>
  <si>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</si>
  <si>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</si>
  <si>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</si>
  <si>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</si>
  <si>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</si>
  <si>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</si>
  <si>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</si>
  <si>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</si>
  <si>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</si>
  <si>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</si>
  <si>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</si>
  <si>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</si>
  <si>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</si>
  <si>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</si>
  <si>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</si>
  <si>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</si>
  <si>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</si>
  <si>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</si>
  <si>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</si>
  <si>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</si>
  <si>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</si>
  <si>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</si>
  <si>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</si>
  <si>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</si>
  <si>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</si>
  <si>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</si>
  <si>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</si>
  <si>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</si>
  <si>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</si>
  <si>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</si>
  <si>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</si>
  <si>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</si>
  <si>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</si>
  <si>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</si>
  <si>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</si>
  <si>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</si>
  <si>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</si>
  <si>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</si>
  <si>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</si>
  <si>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</si>
  <si>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</si>
  <si>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</si>
  <si>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</si>
  <si>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</si>
  <si>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</si>
  <si>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</si>
  <si>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</si>
  <si>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</si>
  <si>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</si>
  <si>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</si>
  <si>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</si>
  <si>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</si>
  <si>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</si>
  <si>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</si>
  <si>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</si>
  <si>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</si>
  <si>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</si>
  <si>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</si>
  <si>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</si>
  <si>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</si>
  <si>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</si>
  <si>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</si>
  <si>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</si>
  <si>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</si>
  <si>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</si>
  <si>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</si>
  <si>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</si>
  <si>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</si>
  <si>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</si>
  <si>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</si>
  <si>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</si>
  <si>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</si>
  <si>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</si>
  <si>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</si>
  <si>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</si>
  <si>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</si>
  <si>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</si>
  <si>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</si>
  <si>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</si>
  <si>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</si>
  <si>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</si>
  <si>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</si>
  <si>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</si>
  <si>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</si>
  <si>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</si>
  <si>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</si>
  <si>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</si>
  <si>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</si>
  <si>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</si>
  <si>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</si>
  <si>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</si>
  <si>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</si>
  <si>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</si>
  <si>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</si>
  <si>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</si>
  <si>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</si>
  <si>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</si>
  <si>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</si>
  <si>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</si>
  <si>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</si>
  <si>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</si>
  <si>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</si>
  <si>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</si>
  <si>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</si>
  <si>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</si>
  <si>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</si>
  <si>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</si>
  <si>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</si>
  <si>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</si>
  <si>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</si>
  <si>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</si>
  <si>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</si>
  <si>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</si>
  <si>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</si>
  <si>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</si>
  <si>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</si>
  <si>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</si>
  <si>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</si>
  <si>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</si>
  <si>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</si>
  <si>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</si>
  <si>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</si>
  <si>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</si>
  <si>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</si>
  <si>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</si>
  <si>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</si>
  <si>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</si>
  <si>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</si>
  <si>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</si>
  <si>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</si>
  <si>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</si>
  <si>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</si>
  <si>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</si>
  <si>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</si>
  <si>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</si>
  <si>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</si>
  <si>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</si>
  <si>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</si>
  <si>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</si>
  <si>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</si>
  <si>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</si>
  <si>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</si>
  <si>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</si>
  <si>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</si>
  <si>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</si>
  <si>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</si>
  <si>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</si>
  <si>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</si>
  <si>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</si>
  <si>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</si>
  <si>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</si>
  <si>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</si>
  <si>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</si>
  <si>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</si>
  <si>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</si>
  <si>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</si>
  <si>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</si>
  <si>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</si>
  <si>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</si>
  <si>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</si>
  <si>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</si>
  <si>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</si>
  <si>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</si>
  <si>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</si>
  <si>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</si>
  <si>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</si>
  <si>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</si>
  <si>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</si>
  <si>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</si>
  <si>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</si>
  <si>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</si>
  <si>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</si>
  <si>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</si>
  <si>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</si>
  <si>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</si>
  <si>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</si>
  <si>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</si>
  <si>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</si>
  <si>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</si>
  <si>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</si>
  <si>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</si>
  <si>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</si>
  <si>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</si>
  <si>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</si>
  <si>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</si>
  <si>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</si>
  <si>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</si>
  <si>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</si>
  <si>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</si>
  <si>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</si>
  <si>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</si>
  <si>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</si>
  <si>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</si>
  <si>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</si>
  <si>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</si>
  <si>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</si>
  <si>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</si>
  <si>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</si>
  <si>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</si>
  <si>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</si>
  <si>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</si>
  <si>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</si>
  <si>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</si>
  <si>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</si>
  <si>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</si>
  <si>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</si>
  <si>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</si>
  <si>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</si>
  <si>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</si>
  <si>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</si>
  <si>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</si>
  <si>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</si>
  <si>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</si>
  <si>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</si>
  <si>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</si>
  <si>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</si>
  <si>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</si>
  <si>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</si>
  <si>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</si>
  <si>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</si>
  <si>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</si>
  <si>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</si>
  <si>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</si>
  <si>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</si>
  <si>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</si>
  <si>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</si>
  <si>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</si>
  <si>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</si>
  <si>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</si>
  <si>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</si>
  <si>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</si>
  <si>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</si>
  <si>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</si>
  <si>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</si>
  <si>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</si>
  <si>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</si>
  <si>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</si>
  <si>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</si>
  <si>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</si>
  <si>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</si>
  <si>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</si>
  <si>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</si>
  <si>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</si>
  <si>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</si>
  <si>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</si>
  <si>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</si>
  <si>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</si>
  <si>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</si>
  <si>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</si>
  <si>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</si>
  <si>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</si>
  <si>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</si>
  <si>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</si>
  <si>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</si>
  <si>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</si>
  <si>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</si>
  <si>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</si>
  <si>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</si>
  <si>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</si>
  <si>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</si>
  <si>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</si>
  <si>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</si>
  <si>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</si>
  <si>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</si>
  <si>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</si>
  <si>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</si>
  <si>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</si>
  <si>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</si>
  <si>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</si>
  <si>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</si>
  <si>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</si>
  <si>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</si>
  <si>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</si>
  <si>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</si>
  <si>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</si>
  <si>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</si>
  <si>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</si>
  <si>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</si>
  <si>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</si>
  <si>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</si>
  <si>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</si>
  <si>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</si>
  <si>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</si>
  <si>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</si>
  <si>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</si>
  <si>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</si>
  <si>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</si>
  <si>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</si>
  <si>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</si>
  <si>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</si>
  <si>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</si>
  <si>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</si>
  <si>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</si>
  <si>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</si>
  <si>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</si>
  <si>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</si>
  <si>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</si>
  <si>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</si>
  <si>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</si>
  <si>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</si>
  <si>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</si>
  <si>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</si>
  <si>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</si>
  <si>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</si>
  <si>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</si>
  <si>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</si>
  <si>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</si>
  <si>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</si>
  <si>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</si>
  <si>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</si>
  <si>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</si>
  <si>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</si>
  <si>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</si>
  <si>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</si>
  <si>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</si>
  <si>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</si>
  <si>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</si>
  <si>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</si>
  <si>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</si>
  <si>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</si>
  <si>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</si>
  <si>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</si>
  <si>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</si>
  <si>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</si>
  <si>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</si>
  <si>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</si>
  <si>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</si>
  <si>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</si>
  <si>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</si>
  <si>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</si>
  <si>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</si>
  <si>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</si>
  <si>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</si>
  <si>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</si>
  <si>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</si>
  <si>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</si>
  <si>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</si>
  <si>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</si>
  <si>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</si>
  <si>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</si>
  <si>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</si>
  <si>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</si>
  <si>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</si>
  <si>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</si>
  <si>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</si>
  <si>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</si>
  <si>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</si>
  <si>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</si>
  <si>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</si>
  <si>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</si>
  <si>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</si>
  <si>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</si>
  <si>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</si>
  <si>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</si>
  <si>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</si>
  <si>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</si>
  <si>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</si>
  <si>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</si>
  <si>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</si>
  <si>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</si>
  <si>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</si>
  <si>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</si>
  <si>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</si>
  <si>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</si>
  <si>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</si>
  <si>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</si>
  <si>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</si>
  <si>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</si>
  <si>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</si>
  <si>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</si>
  <si>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</si>
  <si>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</si>
  <si>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</si>
  <si>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</si>
  <si>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</si>
  <si>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</si>
  <si>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</si>
  <si>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</si>
  <si>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</si>
  <si>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</si>
  <si>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</si>
  <si>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</si>
  <si>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</si>
  <si>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</si>
  <si>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</si>
  <si>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</si>
  <si>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</si>
  <si>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</si>
  <si>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</si>
  <si>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</si>
  <si>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</si>
  <si>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</si>
  <si>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</si>
  <si>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</si>
  <si>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</si>
  <si>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</si>
  <si>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</si>
  <si>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</si>
  <si>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</si>
  <si>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</si>
  <si>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</si>
  <si>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</si>
  <si>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</si>
  <si>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</si>
  <si>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</si>
  <si>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</si>
  <si>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</si>
  <si>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</si>
  <si>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</si>
  <si>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</si>
  <si>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</si>
  <si>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</si>
  <si>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</si>
  <si>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</si>
  <si>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</si>
  <si>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</si>
  <si>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</si>
  <si>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</si>
  <si>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</si>
  <si>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</si>
  <si>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</si>
  <si>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</si>
  <si>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</si>
  <si>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</si>
  <si>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</si>
  <si>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</si>
  <si>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</si>
  <si>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</si>
  <si>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</si>
  <si>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</si>
  <si>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</si>
  <si>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</si>
  <si>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</si>
  <si>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</si>
  <si>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</si>
  <si>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</si>
  <si>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</si>
  <si>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</si>
  <si>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</si>
  <si>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</si>
  <si>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</si>
  <si>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</si>
  <si>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</si>
  <si>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</si>
  <si>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</si>
  <si>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</si>
  <si>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</si>
  <si>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</si>
  <si>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</si>
  <si>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</si>
  <si>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</si>
  <si>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</si>
  <si>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</si>
  <si>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</si>
  <si>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</si>
  <si>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</si>
  <si>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</si>
  <si>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</si>
  <si>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</si>
  <si>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</si>
  <si>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</si>
  <si>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</si>
  <si>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</si>
  <si>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</si>
  <si>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</si>
  <si>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</si>
  <si>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</si>
  <si>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</si>
  <si>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</si>
  <si>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</si>
  <si>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</si>
  <si>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</si>
  <si>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</si>
  <si>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</si>
  <si>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</si>
  <si>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</si>
  <si>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</si>
  <si>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</si>
  <si>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</si>
  <si>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</si>
  <si>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</si>
  <si>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</si>
  <si>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</si>
  <si>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</si>
  <si>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</si>
  <si>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</si>
  <si>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</si>
  <si>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</si>
  <si>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</si>
  <si>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</si>
  <si>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</si>
  <si>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</si>
  <si>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</si>
  <si>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</si>
  <si>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</si>
  <si>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</si>
  <si>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</si>
  <si>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</si>
  <si>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</si>
  <si>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</si>
  <si>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</si>
  <si>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</si>
  <si>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</si>
  <si>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</si>
  <si>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</si>
  <si>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</si>
  <si>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</si>
  <si>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</si>
  <si>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</si>
  <si>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</si>
  <si>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</si>
  <si>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北京市</t>
  </si>
  <si>
    <t>叶凌</t>
  </si>
  <si>
    <t>陈颖</t>
  </si>
  <si>
    <t>核定资产</t>
  </si>
  <si>
    <t>房地产市场价值</t>
  </si>
  <si>
    <t>北京博大新元房地产开发有限公司</t>
    <phoneticPr fontId="7" type="noConversion"/>
  </si>
  <si>
    <t>企业</t>
  </si>
  <si>
    <t>出让</t>
  </si>
  <si>
    <t>住宅</t>
  </si>
  <si>
    <t>住宅</t>
    <phoneticPr fontId="26" type="noConversion"/>
  </si>
  <si>
    <t>60-70（含）</t>
  </si>
  <si>
    <t>一般</t>
  </si>
  <si>
    <t>七通</t>
  </si>
  <si>
    <t>高层板楼</t>
  </si>
  <si>
    <t>小高层板楼</t>
  </si>
  <si>
    <t>80-90</t>
    <phoneticPr fontId="26" type="noConversion"/>
  </si>
  <si>
    <t>普通装修</t>
  </si>
  <si>
    <t>半装修</t>
  </si>
  <si>
    <t>半装修</t>
    <phoneticPr fontId="26" type="noConversion"/>
  </si>
  <si>
    <t>全装修</t>
  </si>
  <si>
    <t>全装修</t>
    <phoneticPr fontId="26" type="noConversion"/>
  </si>
  <si>
    <t>毛坯</t>
    <phoneticPr fontId="26" type="noConversion"/>
  </si>
  <si>
    <t>交房时间</t>
    <phoneticPr fontId="26" type="noConversion"/>
  </si>
  <si>
    <r>
      <rPr>
        <sz val="12"/>
        <color theme="9" tint="-0.249977111117893"/>
        <rFont val="宋体"/>
        <family val="3"/>
        <charset val="134"/>
      </rPr>
      <t>北京经济技术开发区河西区</t>
    </r>
    <r>
      <rPr>
        <sz val="12"/>
        <color theme="9" tint="-0.249977111117893"/>
        <rFont val="Arial"/>
        <family val="2"/>
      </rPr>
      <t>X90R1</t>
    </r>
    <r>
      <rPr>
        <sz val="12"/>
        <color theme="9" tint="-0.249977111117893"/>
        <rFont val="宋体"/>
        <family val="3"/>
        <charset val="134"/>
      </rPr>
      <t>、</t>
    </r>
    <r>
      <rPr>
        <sz val="12"/>
        <color theme="9" tint="-0.249977111117893"/>
        <rFont val="Arial"/>
        <family val="2"/>
      </rPr>
      <t>X90S1</t>
    </r>
    <r>
      <rPr>
        <sz val="12"/>
        <color theme="9" tint="-0.249977111117893"/>
        <rFont val="宋体"/>
        <family val="3"/>
        <charset val="134"/>
      </rPr>
      <t>地块</t>
    </r>
    <phoneticPr fontId="7" type="noConversion"/>
  </si>
  <si>
    <t>估价对象周边居住用地比例较高、居住小区规模较大但大部分社区正在发展完善中，周边已建成项目有南海家园社区、金茂悦、海梓府等，在建项目有金隅学府、和悦华锦、中铁国际公馆等，综合评价居住社区成熟度较好。</t>
    <phoneticPr fontId="42" type="noConversion"/>
  </si>
  <si>
    <t>估价对象所在区域公共配套设施齐备情况一般</t>
    <phoneticPr fontId="42" type="noConversion"/>
  </si>
  <si>
    <t>七通</t>
    <phoneticPr fontId="26" type="noConversion"/>
  </si>
  <si>
    <t>城市次干道——兴海路</t>
    <phoneticPr fontId="26" type="noConversion"/>
  </si>
  <si>
    <t>项目类型</t>
  </si>
  <si>
    <t>比较法-住宅</t>
  </si>
  <si>
    <t>钢混</t>
  </si>
  <si>
    <t>钢混</t>
    <phoneticPr fontId="26" type="noConversion"/>
  </si>
  <si>
    <t>梯户比</t>
    <phoneticPr fontId="26" type="noConversion"/>
  </si>
  <si>
    <t>南北</t>
  </si>
  <si>
    <t>南北</t>
    <phoneticPr fontId="26" type="noConversion"/>
  </si>
  <si>
    <t>临路状况</t>
    <phoneticPr fontId="26" type="noConversion"/>
  </si>
  <si>
    <t>城市次干道——兴海路</t>
    <phoneticPr fontId="26" type="noConversion"/>
  </si>
  <si>
    <t>城市次干道——博兴八路</t>
    <phoneticPr fontId="26" type="noConversion"/>
  </si>
  <si>
    <t>普通装修</t>
    <phoneticPr fontId="26" type="noConversion"/>
  </si>
  <si>
    <t>物业公司管理</t>
  </si>
  <si>
    <t>物业公司管理</t>
    <phoneticPr fontId="26" type="noConversion"/>
  </si>
  <si>
    <t>七通</t>
    <phoneticPr fontId="26" type="noConversion"/>
  </si>
  <si>
    <t>平层</t>
  </si>
  <si>
    <t>平层</t>
    <phoneticPr fontId="26" type="noConversion"/>
  </si>
  <si>
    <t>一梯多户</t>
    <phoneticPr fontId="26" type="noConversion"/>
  </si>
  <si>
    <t>正常</t>
  </si>
  <si>
    <t xml:space="preserve"> </t>
    <phoneticPr fontId="144" type="noConversion"/>
  </si>
  <si>
    <t>小高层板楼</t>
    <phoneticPr fontId="26" type="noConversion"/>
  </si>
  <si>
    <t>高层板楼</t>
    <phoneticPr fontId="26" type="noConversion"/>
  </si>
  <si>
    <t>一梯多户</t>
    <phoneticPr fontId="26" type="noConversion"/>
  </si>
  <si>
    <t>名称</t>
    <phoneticPr fontId="4" type="noConversion"/>
  </si>
  <si>
    <r>
      <t>X</t>
    </r>
    <r>
      <rPr>
        <sz val="10"/>
        <rFont val="宋体"/>
        <family val="3"/>
        <charset val="134"/>
      </rPr>
      <t>90</t>
    </r>
    <r>
      <rPr>
        <sz val="10"/>
        <rFont val="宋体"/>
        <family val="3"/>
        <charset val="134"/>
      </rPr>
      <t>地块</t>
    </r>
    <phoneticPr fontId="4" type="noConversion"/>
  </si>
  <si>
    <t>销售均价</t>
    <phoneticPr fontId="4" type="noConversion"/>
  </si>
  <si>
    <t>元/㎡</t>
    <phoneticPr fontId="4" type="noConversion"/>
  </si>
  <si>
    <t>价值时点</t>
    <phoneticPr fontId="4" type="noConversion"/>
  </si>
  <si>
    <t>评估单价</t>
    <phoneticPr fontId="4" type="noConversion"/>
  </si>
  <si>
    <t>份额</t>
    <phoneticPr fontId="4" type="noConversion"/>
  </si>
  <si>
    <t>否</t>
  </si>
  <si>
    <t>地上</t>
  </si>
  <si>
    <t>平层住宅</t>
  </si>
  <si>
    <t>住宅</t>
    <phoneticPr fontId="8" type="noConversion"/>
  </si>
  <si>
    <t>是</t>
  </si>
  <si>
    <t>亦城亦禧</t>
    <phoneticPr fontId="4" type="noConversion"/>
  </si>
  <si>
    <t>和悦华锦</t>
    <phoneticPr fontId="4" type="noConversion"/>
  </si>
  <si>
    <t>预售</t>
    <phoneticPr fontId="26" type="noConversion"/>
  </si>
  <si>
    <t>估价对象周边有开发区3路、快速直达专线181路、578路多条公交线路，距地铁8号线（瀛海站）约4公里，综合评价交通便捷度一般。</t>
    <phoneticPr fontId="42" type="noConversion"/>
  </si>
  <si>
    <t>区域自然环境：体育公园、南海子公园、凉水河；人文环境：北京电子科技职业学院(亦庄校区)；综合评价环境状况一般</t>
    <phoneticPr fontId="42" type="noConversion"/>
  </si>
  <si>
    <t>城市支路</t>
    <phoneticPr fontId="26"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</si>
  <si>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</si>
  <si>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时间</t>
  </si>
  <si>
    <t>成交套数(套)</t>
  </si>
  <si>
    <t>成交面积(㎡)</t>
  </si>
  <si>
    <t>成交价格(元)</t>
  </si>
  <si>
    <t>成交金额(万元)</t>
  </si>
  <si>
    <t>批准上市套数(套)</t>
  </si>
  <si>
    <t>批准上市面积(㎡)</t>
  </si>
  <si>
    <t>2020-08</t>
  </si>
  <si>
    <t>2020-07</t>
  </si>
  <si>
    <t>2020-06</t>
  </si>
  <si>
    <t>2020-05</t>
  </si>
  <si>
    <t>2020-04</t>
  </si>
  <si>
    <t>2020-03</t>
  </si>
  <si>
    <t>2020-01</t>
  </si>
  <si>
    <t>2019-12</t>
  </si>
  <si>
    <t>2019-11</t>
  </si>
  <si>
    <t>2019-10</t>
  </si>
  <si>
    <t>2019-09</t>
  </si>
  <si>
    <t>2019-08</t>
  </si>
  <si>
    <t>2019-07</t>
  </si>
  <si>
    <t>2019-06</t>
  </si>
  <si>
    <t>2019-05</t>
  </si>
  <si>
    <t>2019-04</t>
  </si>
  <si>
    <t>2019-03</t>
  </si>
  <si>
    <t>2019-01</t>
  </si>
  <si>
    <t>当页汇总</t>
  </si>
  <si>
    <r>
      <rPr>
        <sz val="10"/>
        <rFont val="宋体"/>
        <family val="3"/>
        <charset val="134"/>
      </rPr>
      <t>截至</t>
    </r>
    <r>
      <rPr>
        <sz val="10"/>
        <rFont val="Arial"/>
        <family val="2"/>
      </rPr>
      <t>2019.12</t>
    </r>
    <phoneticPr fontId="4" type="noConversion"/>
  </si>
  <si>
    <t>金麟府</t>
    <phoneticPr fontId="4" type="noConversion"/>
  </si>
  <si>
    <t>毛坯</t>
  </si>
  <si>
    <t>中国铁建·国际公馆</t>
    <phoneticPr fontId="4" type="noConversion"/>
  </si>
  <si>
    <t>楼栋号</t>
  </si>
  <si>
    <t>单元号</t>
  </si>
  <si>
    <t>房间号</t>
  </si>
  <si>
    <t>许可证号</t>
  </si>
  <si>
    <t>物业类型</t>
  </si>
  <si>
    <t>户型</t>
  </si>
  <si>
    <t>成交单价(元 /㎡)</t>
  </si>
  <si>
    <t>2019-12-19</t>
  </si>
  <si>
    <t>6#住宅楼</t>
  </si>
  <si>
    <t>3单元-1702</t>
  </si>
  <si>
    <t>京房售证字( 2019 ) 开6号</t>
  </si>
  <si>
    <t>普通住宅</t>
  </si>
  <si>
    <t>二房</t>
  </si>
  <si>
    <t>80</t>
  </si>
  <si>
    <t>344.11</t>
  </si>
  <si>
    <t>43213</t>
  </si>
  <si>
    <t>5#住宅楼</t>
  </si>
  <si>
    <t>9单元-502</t>
  </si>
  <si>
    <t>81</t>
  </si>
  <si>
    <t>370.43</t>
  </si>
  <si>
    <t>45987</t>
  </si>
  <si>
    <t>2019-12-16</t>
  </si>
  <si>
    <t>9单元-802</t>
  </si>
  <si>
    <t>370.74</t>
  </si>
  <si>
    <t>46026</t>
  </si>
  <si>
    <t>2019-12-12</t>
  </si>
  <si>
    <t>3单元-301</t>
  </si>
  <si>
    <t>三房</t>
  </si>
  <si>
    <t>89</t>
  </si>
  <si>
    <t>381.72</t>
  </si>
  <si>
    <t>42890</t>
  </si>
  <si>
    <t>9单元-602</t>
  </si>
  <si>
    <t>2019-12-11</t>
  </si>
  <si>
    <t>3单元-401</t>
  </si>
  <si>
    <t>381.86</t>
  </si>
  <si>
    <t>42906</t>
  </si>
  <si>
    <t>2019-12-10</t>
  </si>
  <si>
    <t>9单元-601</t>
  </si>
  <si>
    <t>368.5</t>
  </si>
  <si>
    <t>46028</t>
  </si>
  <si>
    <t>6单元-701</t>
  </si>
  <si>
    <t>339.25</t>
  </si>
  <si>
    <t>42106</t>
  </si>
  <si>
    <t>2019-12-09</t>
  </si>
  <si>
    <t>6单元-201</t>
  </si>
  <si>
    <t>337.82</t>
  </si>
  <si>
    <t>41928</t>
  </si>
  <si>
    <t>3单元-1601</t>
  </si>
  <si>
    <t>383.62</t>
  </si>
  <si>
    <t>43104</t>
  </si>
  <si>
    <t>2019-12-03</t>
  </si>
  <si>
    <t>2单元-1701</t>
  </si>
  <si>
    <t>417.25</t>
  </si>
  <si>
    <t>46867</t>
  </si>
  <si>
    <t>2019-12-01</t>
  </si>
  <si>
    <t>1单元-1301</t>
  </si>
  <si>
    <t>90</t>
  </si>
  <si>
    <t>418.84</t>
  </si>
  <si>
    <t>46792</t>
  </si>
  <si>
    <t>2019-11-28</t>
  </si>
  <si>
    <t>8单元-502</t>
  </si>
  <si>
    <t>368.1</t>
  </si>
  <si>
    <t>45990</t>
  </si>
  <si>
    <t>1单元-1101</t>
  </si>
  <si>
    <t>418.5</t>
  </si>
  <si>
    <t>46755</t>
  </si>
  <si>
    <t>2019-12-30</t>
  </si>
  <si>
    <t>3#住宅楼</t>
  </si>
  <si>
    <t>4单元-401</t>
  </si>
  <si>
    <t>京房售证字( 2018 )开10号</t>
  </si>
  <si>
    <t>436.09</t>
  </si>
  <si>
    <t>49137</t>
  </si>
  <si>
    <t>4单元-501</t>
  </si>
  <si>
    <t>436.26</t>
  </si>
  <si>
    <t>49156</t>
  </si>
  <si>
    <t>2#住宅楼</t>
  </si>
  <si>
    <t>1单元-601</t>
  </si>
  <si>
    <t>438.5</t>
  </si>
  <si>
    <t>49176</t>
  </si>
  <si>
    <t>2019-12-29</t>
  </si>
  <si>
    <t>3单元-402</t>
  </si>
  <si>
    <t>1单元-401</t>
  </si>
  <si>
    <t>438.16</t>
  </si>
  <si>
    <t>8#住宅楼</t>
  </si>
  <si>
    <t>2单元-302</t>
  </si>
  <si>
    <t>458.55</t>
  </si>
  <si>
    <t>51540</t>
  </si>
  <si>
    <t>2019-12-26</t>
  </si>
  <si>
    <t>1#住宅楼</t>
  </si>
  <si>
    <t>3单元-702</t>
  </si>
  <si>
    <t>437.96</t>
  </si>
  <si>
    <t>49099</t>
  </si>
  <si>
    <t>2019-12-25</t>
  </si>
  <si>
    <t>115</t>
  </si>
  <si>
    <t>613.44</t>
  </si>
  <si>
    <t>53543</t>
  </si>
  <si>
    <t>2019-12-23</t>
  </si>
  <si>
    <t>4#住宅楼</t>
  </si>
  <si>
    <t>1单元-901</t>
  </si>
  <si>
    <t>83</t>
  </si>
  <si>
    <t>374</t>
  </si>
  <si>
    <t>45207</t>
  </si>
  <si>
    <t>2019-12-22</t>
  </si>
  <si>
    <t>459.99</t>
  </si>
  <si>
    <t>51562</t>
  </si>
  <si>
    <t>7#住宅楼</t>
  </si>
  <si>
    <t>460.35</t>
  </si>
  <si>
    <t>51563</t>
  </si>
  <si>
    <t>1单元-201</t>
  </si>
  <si>
    <t>45115</t>
  </si>
  <si>
    <t>2019-12-18</t>
  </si>
  <si>
    <t>1单元-801</t>
  </si>
  <si>
    <t>86</t>
  </si>
  <si>
    <t>420</t>
  </si>
  <si>
    <t>49123</t>
  </si>
  <si>
    <t>2019-12-17</t>
  </si>
  <si>
    <t>1单元-501</t>
  </si>
  <si>
    <t>438.33</t>
  </si>
  <si>
    <t>2单元-701</t>
  </si>
  <si>
    <t>465.03</t>
  </si>
  <si>
    <t>52357</t>
  </si>
  <si>
    <t>2019-12-05</t>
  </si>
  <si>
    <t>1单元-602</t>
  </si>
  <si>
    <t>一房</t>
  </si>
  <si>
    <t>57</t>
  </si>
  <si>
    <t>303.89</t>
  </si>
  <si>
    <t>53748</t>
  </si>
  <si>
    <t>3单元-701</t>
  </si>
  <si>
    <t>437.74</t>
  </si>
  <si>
    <t>49195</t>
  </si>
  <si>
    <t>3单元-302</t>
  </si>
  <si>
    <t>459.81</t>
  </si>
  <si>
    <t>51542</t>
  </si>
  <si>
    <t>2019-12-04</t>
  </si>
  <si>
    <t>1单元-302</t>
  </si>
  <si>
    <t>613.21</t>
  </si>
  <si>
    <t>53523</t>
  </si>
  <si>
    <t>4单元-902</t>
  </si>
  <si>
    <t>435.92</t>
  </si>
  <si>
    <t>49118</t>
  </si>
  <si>
    <t>四房</t>
  </si>
  <si>
    <t>142</t>
  </si>
  <si>
    <t>771.29</t>
  </si>
  <si>
    <t>54286</t>
  </si>
  <si>
    <t>438.3</t>
  </si>
  <si>
    <t>4单元-601</t>
  </si>
  <si>
    <t>438.65</t>
  </si>
  <si>
    <t>2019-11-27</t>
  </si>
  <si>
    <t>2单元-403</t>
  </si>
  <si>
    <t>74</t>
  </si>
  <si>
    <t>360</t>
  </si>
  <si>
    <t>48886</t>
  </si>
  <si>
    <t>465.39</t>
  </si>
  <si>
    <t>52397</t>
  </si>
  <si>
    <t>4单元-702</t>
  </si>
  <si>
    <t>436.6</t>
  </si>
  <si>
    <t>2019-11-21</t>
  </si>
  <si>
    <t>3单元-802</t>
  </si>
  <si>
    <t>614.36</t>
  </si>
  <si>
    <t>53623</t>
  </si>
  <si>
    <t>2单元-503</t>
  </si>
  <si>
    <t>2019-11-17</t>
  </si>
  <si>
    <t>764.8</t>
  </si>
  <si>
    <t>53791</t>
  </si>
  <si>
    <t>1单元-301</t>
  </si>
  <si>
    <t>445.57</t>
  </si>
  <si>
    <t>49790</t>
  </si>
  <si>
    <t>2019-11-13</t>
  </si>
  <si>
    <t>2单元-802</t>
  </si>
  <si>
    <t>444.03</t>
  </si>
  <si>
    <t>49579</t>
  </si>
  <si>
    <t>2019-11-11</t>
  </si>
  <si>
    <t>2单元-501</t>
  </si>
  <si>
    <t>464.68</t>
  </si>
  <si>
    <t>52317</t>
  </si>
  <si>
    <t>2019-11-10</t>
  </si>
  <si>
    <t>5单元-502</t>
  </si>
  <si>
    <t>770.98</t>
  </si>
  <si>
    <t>54264</t>
  </si>
  <si>
    <t>2019-11-07</t>
  </si>
  <si>
    <t>436.27</t>
  </si>
  <si>
    <t>2019-11-06</t>
  </si>
  <si>
    <t>2单元-204</t>
  </si>
  <si>
    <t>440.86</t>
  </si>
  <si>
    <t>1单元-1001</t>
  </si>
  <si>
    <t>2单元-401</t>
  </si>
  <si>
    <t>2019-11-05</t>
  </si>
  <si>
    <t>437.22</t>
  </si>
  <si>
    <t>5单元-501</t>
  </si>
  <si>
    <t>435.41</t>
  </si>
  <si>
    <t>49060</t>
  </si>
  <si>
    <t>2019-11-04</t>
  </si>
  <si>
    <t>5单元-302</t>
  </si>
  <si>
    <t>441.34</t>
  </si>
  <si>
    <t>49406</t>
  </si>
  <si>
    <t>2019-11-03</t>
  </si>
  <si>
    <t>1单元-502</t>
  </si>
  <si>
    <t>436.61</t>
  </si>
  <si>
    <t>615.7</t>
  </si>
  <si>
    <t>2单元-702</t>
  </si>
  <si>
    <t>2019-10-30</t>
  </si>
  <si>
    <t>614.13</t>
  </si>
  <si>
    <t>53603</t>
  </si>
  <si>
    <t>2019-10-28</t>
  </si>
  <si>
    <t>437.99</t>
  </si>
  <si>
    <t>2019-10-22</t>
  </si>
  <si>
    <t>2019-10-21</t>
  </si>
  <si>
    <t>611.38</t>
  </si>
  <si>
    <t>53363</t>
  </si>
  <si>
    <t>2019-10-16</t>
  </si>
  <si>
    <t>84</t>
  </si>
  <si>
    <t>441.44</t>
  </si>
  <si>
    <t>52359</t>
  </si>
  <si>
    <t>2019-10-15</t>
  </si>
  <si>
    <t>619.85</t>
  </si>
  <si>
    <t>53713</t>
  </si>
  <si>
    <t>2019-10-14</t>
  </si>
  <si>
    <t>437.79</t>
  </si>
  <si>
    <t>49080</t>
  </si>
  <si>
    <t>2019-10-13</t>
  </si>
  <si>
    <t>615.93</t>
  </si>
  <si>
    <t>53643</t>
  </si>
  <si>
    <t>464.5</t>
  </si>
  <si>
    <t>52297</t>
  </si>
  <si>
    <t>437.57</t>
  </si>
  <si>
    <t>441.86</t>
  </si>
  <si>
    <t>49464</t>
  </si>
  <si>
    <t>2019-10-11</t>
  </si>
  <si>
    <t>442.21</t>
  </si>
  <si>
    <t>49771</t>
  </si>
  <si>
    <t>437.39</t>
  </si>
  <si>
    <t>445.92</t>
  </si>
  <si>
    <t>49828</t>
  </si>
  <si>
    <t>2019-10-10</t>
  </si>
  <si>
    <t>2019-10-08</t>
  </si>
  <si>
    <t>437.91</t>
  </si>
  <si>
    <t>49214</t>
  </si>
  <si>
    <t>2019-10-07</t>
  </si>
  <si>
    <t>458.91</t>
  </si>
  <si>
    <t>51580</t>
  </si>
  <si>
    <t>2019-10-02</t>
  </si>
  <si>
    <t>2019-09-26</t>
  </si>
  <si>
    <t>615.47</t>
  </si>
  <si>
    <t>441.77</t>
  </si>
  <si>
    <t>52399</t>
  </si>
  <si>
    <t>437.05</t>
  </si>
  <si>
    <t>2019-09-25</t>
  </si>
  <si>
    <t>464.91</t>
  </si>
  <si>
    <t>51668</t>
  </si>
  <si>
    <t>772.5</t>
  </si>
  <si>
    <t>54333</t>
  </si>
  <si>
    <t>2019-09-24</t>
  </si>
  <si>
    <t>465.84</t>
  </si>
  <si>
    <t>52318</t>
  </si>
  <si>
    <t>85</t>
  </si>
  <si>
    <t>434.11</t>
  </si>
  <si>
    <t>51270</t>
  </si>
  <si>
    <t>2019-09-22</t>
  </si>
  <si>
    <t>447.12</t>
  </si>
  <si>
    <t>49963</t>
  </si>
  <si>
    <t>2019-09-18</t>
  </si>
  <si>
    <t>611.61</t>
  </si>
  <si>
    <t>53383</t>
  </si>
  <si>
    <t>435.75</t>
  </si>
  <si>
    <t>2019-09-15</t>
  </si>
  <si>
    <t>621.37</t>
  </si>
  <si>
    <t>53845</t>
  </si>
  <si>
    <t>2019-09-11</t>
  </si>
  <si>
    <t>619.5</t>
  </si>
  <si>
    <t>53673</t>
  </si>
  <si>
    <t>44974</t>
  </si>
  <si>
    <t>2019-09-10</t>
  </si>
  <si>
    <t>2019-09-09</t>
  </si>
  <si>
    <t>2019-09-05</t>
  </si>
  <si>
    <t>2019-09-04</t>
  </si>
  <si>
    <t>436.77</t>
  </si>
  <si>
    <t>2019-09-03</t>
  </si>
  <si>
    <t>59</t>
  </si>
  <si>
    <t>319.89</t>
  </si>
  <si>
    <t>53899</t>
  </si>
  <si>
    <t>464.32</t>
  </si>
  <si>
    <t>52277</t>
  </si>
  <si>
    <t>2019-09-02</t>
  </si>
  <si>
    <t>440.47</t>
  </si>
  <si>
    <t>620.68</t>
  </si>
  <si>
    <t>53785</t>
  </si>
  <si>
    <t>2019-09-01</t>
  </si>
  <si>
    <t>620.91</t>
  </si>
  <si>
    <t>53805</t>
  </si>
  <si>
    <t>2019-08-29</t>
  </si>
  <si>
    <t>2019-08-28</t>
  </si>
  <si>
    <t>58</t>
  </si>
  <si>
    <t>311.66</t>
  </si>
  <si>
    <t>53995</t>
  </si>
  <si>
    <t>2019-08-27</t>
  </si>
  <si>
    <t>2019-08-25</t>
  </si>
  <si>
    <t>441.69</t>
  </si>
  <si>
    <t>49444</t>
  </si>
  <si>
    <t>2019-08-21</t>
  </si>
  <si>
    <t>2019-08-19</t>
  </si>
  <si>
    <t>464.86</t>
  </si>
  <si>
    <t>52337</t>
  </si>
  <si>
    <t>2019-08-18</t>
  </si>
  <si>
    <t>2019-08-14</t>
  </si>
  <si>
    <t>2019-08-13</t>
  </si>
  <si>
    <t>614.59</t>
  </si>
  <si>
    <t>436.43</t>
  </si>
  <si>
    <t>2019-08-12</t>
  </si>
  <si>
    <t>2019-08-11</t>
  </si>
  <si>
    <t>437.46</t>
  </si>
  <si>
    <t>49291</t>
  </si>
  <si>
    <t>447.29</t>
  </si>
  <si>
    <t>49982</t>
  </si>
  <si>
    <t>2019-08-08</t>
  </si>
  <si>
    <t>624.41</t>
  </si>
  <si>
    <t>54109</t>
  </si>
  <si>
    <t>2019-08-07</t>
  </si>
  <si>
    <t>2019-08-05</t>
  </si>
  <si>
    <t>767.61</t>
  </si>
  <si>
    <t>53989</t>
  </si>
  <si>
    <t>469.34</t>
  </si>
  <si>
    <t>52300</t>
  </si>
  <si>
    <t>2019-07-30</t>
  </si>
  <si>
    <t>5单元-402</t>
  </si>
  <si>
    <t>441.52</t>
  </si>
  <si>
    <t>49425</t>
  </si>
  <si>
    <t>5单元-1001</t>
  </si>
  <si>
    <t>446.09</t>
  </si>
  <si>
    <t>49848</t>
  </si>
  <si>
    <t>2单元-803</t>
  </si>
  <si>
    <t>2019-07-29</t>
  </si>
  <si>
    <t>437.8</t>
  </si>
  <si>
    <t>2单元-1003</t>
  </si>
  <si>
    <t>1单元-304</t>
  </si>
  <si>
    <t>2019-07-28</t>
  </si>
  <si>
    <t>1单元-204</t>
  </si>
  <si>
    <t>82</t>
  </si>
  <si>
    <t>45366</t>
  </si>
  <si>
    <t>2019-07-25</t>
  </si>
  <si>
    <t>2019-07-23</t>
  </si>
  <si>
    <t>2单元-801</t>
  </si>
  <si>
    <t>62</t>
  </si>
  <si>
    <t>332.77</t>
  </si>
  <si>
    <t>53916</t>
  </si>
  <si>
    <t>2019-07-22</t>
  </si>
  <si>
    <t>608.98</t>
  </si>
  <si>
    <t>53153</t>
  </si>
  <si>
    <t>465.09</t>
  </si>
  <si>
    <t>51688</t>
  </si>
  <si>
    <t>2019-07-21</t>
  </si>
  <si>
    <t>2单元-901</t>
  </si>
  <si>
    <t>332.89</t>
  </si>
  <si>
    <t>53936</t>
  </si>
  <si>
    <t>3单元-601</t>
  </si>
  <si>
    <t>1单元-101</t>
  </si>
  <si>
    <t>2019-07-18</t>
  </si>
  <si>
    <t>2019-07-17</t>
  </si>
  <si>
    <t>5单元-802</t>
  </si>
  <si>
    <t>442.2</t>
  </si>
  <si>
    <t>49502</t>
  </si>
  <si>
    <t>2019-07-15</t>
  </si>
  <si>
    <t>5单元-902</t>
  </si>
  <si>
    <t>620.18</t>
  </si>
  <si>
    <t>53733</t>
  </si>
  <si>
    <t>2019-07-11</t>
  </si>
  <si>
    <t>2单元-601</t>
  </si>
  <si>
    <t>613.9</t>
  </si>
  <si>
    <t>53583</t>
  </si>
  <si>
    <t>5单元-701</t>
  </si>
  <si>
    <t>466.17</t>
  </si>
  <si>
    <t>51947</t>
  </si>
  <si>
    <t>2019-07-10</t>
  </si>
  <si>
    <t>4单元-701</t>
  </si>
  <si>
    <t>5单元-1002</t>
  </si>
  <si>
    <t>624.29</t>
  </si>
  <si>
    <t>54089</t>
  </si>
  <si>
    <t>2019-07-09</t>
  </si>
  <si>
    <t>4单元-901</t>
  </si>
  <si>
    <t>612.29</t>
  </si>
  <si>
    <t>53443</t>
  </si>
  <si>
    <t>2019-07-08</t>
  </si>
  <si>
    <t>3单元-1001</t>
  </si>
  <si>
    <t>4单元-802</t>
  </si>
  <si>
    <t>465.21</t>
  </si>
  <si>
    <t>52377</t>
  </si>
  <si>
    <t>2019-07-07</t>
  </si>
  <si>
    <t>466.37</t>
  </si>
  <si>
    <t>52378</t>
  </si>
  <si>
    <t>2019-07-04</t>
  </si>
  <si>
    <t>611.84</t>
  </si>
  <si>
    <t>53403</t>
  </si>
  <si>
    <t>461.37</t>
  </si>
  <si>
    <t>51945</t>
  </si>
  <si>
    <t>2019-07-03</t>
  </si>
  <si>
    <t>445.74</t>
  </si>
  <si>
    <t>49809</t>
  </si>
  <si>
    <t>1单元-802</t>
  </si>
  <si>
    <t>437.63</t>
  </si>
  <si>
    <t>49310</t>
  </si>
  <si>
    <t>2019-06-27</t>
  </si>
  <si>
    <t>433.6</t>
  </si>
  <si>
    <t>51210</t>
  </si>
  <si>
    <t>4单元-801</t>
  </si>
  <si>
    <t>2019-06-24</t>
  </si>
  <si>
    <t>2019-06-23</t>
  </si>
  <si>
    <t>3单元-801</t>
  </si>
  <si>
    <t>3单元-501</t>
  </si>
  <si>
    <t>2019-06-20</t>
  </si>
  <si>
    <t>613.67</t>
  </si>
  <si>
    <t>53563</t>
  </si>
  <si>
    <t>2019-06-19</t>
  </si>
  <si>
    <t>465.48</t>
  </si>
  <si>
    <t>52278</t>
  </si>
  <si>
    <t>2019-06-18</t>
  </si>
  <si>
    <t>462.52</t>
  </si>
  <si>
    <t>2019-06-17</t>
  </si>
  <si>
    <t>2单元-502</t>
  </si>
  <si>
    <t>458.28</t>
  </si>
  <si>
    <t>51510</t>
  </si>
  <si>
    <t>2019-06-16</t>
  </si>
  <si>
    <t>2单元-101</t>
  </si>
  <si>
    <t>61</t>
  </si>
  <si>
    <t>331.27</t>
  </si>
  <si>
    <t>54165</t>
  </si>
  <si>
    <t>2019-06-13</t>
  </si>
  <si>
    <t>1单元-1003</t>
  </si>
  <si>
    <t>2019-06-12</t>
  </si>
  <si>
    <t>304.12</t>
  </si>
  <si>
    <t>53788</t>
  </si>
  <si>
    <t>2019-06-11</t>
  </si>
  <si>
    <t>2019-06-10</t>
  </si>
  <si>
    <t>624.65</t>
  </si>
  <si>
    <t>54129</t>
  </si>
  <si>
    <t>2019-06-05</t>
  </si>
  <si>
    <t>615.01</t>
  </si>
  <si>
    <t>2019-06-04</t>
  </si>
  <si>
    <t>1单元-1002</t>
  </si>
  <si>
    <t>305.73</t>
  </si>
  <si>
    <t>54074</t>
  </si>
  <si>
    <t>2019-06-02</t>
  </si>
  <si>
    <t>5单元-901</t>
  </si>
  <si>
    <t>466.53</t>
  </si>
  <si>
    <t>51987</t>
  </si>
  <si>
    <t>2019-05-29</t>
  </si>
  <si>
    <t>461.55</t>
  </si>
  <si>
    <t>51965</t>
  </si>
  <si>
    <t>2019-05-28</t>
  </si>
  <si>
    <t>462.17</t>
  </si>
  <si>
    <t>51906</t>
  </si>
  <si>
    <t>1单元-202</t>
  </si>
  <si>
    <t>312.97</t>
  </si>
  <si>
    <t>54515</t>
  </si>
  <si>
    <t>2019-05-27</t>
  </si>
  <si>
    <t>770.69</t>
  </si>
  <si>
    <t>54244</t>
  </si>
  <si>
    <t>2019-05-26</t>
  </si>
  <si>
    <t>465.28</t>
  </si>
  <si>
    <t>52255</t>
  </si>
  <si>
    <t>1单元-102</t>
  </si>
  <si>
    <t>56</t>
  </si>
  <si>
    <t>304.17</t>
  </si>
  <si>
    <t>54065</t>
  </si>
  <si>
    <t>5单元-801</t>
  </si>
  <si>
    <t>470.06</t>
  </si>
  <si>
    <t>52380</t>
  </si>
  <si>
    <t>334.64</t>
  </si>
  <si>
    <t>54219</t>
  </si>
  <si>
    <t>2019-05-23</t>
  </si>
  <si>
    <t>453.15</t>
  </si>
  <si>
    <t>50928</t>
  </si>
  <si>
    <t>2019-05-22</t>
  </si>
  <si>
    <t>2单元-902</t>
  </si>
  <si>
    <t>323.49</t>
  </si>
  <si>
    <t>54505</t>
  </si>
  <si>
    <t>2019-05-21</t>
  </si>
  <si>
    <t>2单元-102</t>
  </si>
  <si>
    <t>317.16</t>
  </si>
  <si>
    <t>53865</t>
  </si>
  <si>
    <t>2019-05-20</t>
  </si>
  <si>
    <t>1单元-403</t>
  </si>
  <si>
    <t>309.76</t>
  </si>
  <si>
    <t>53666</t>
  </si>
  <si>
    <t>3单元-602</t>
  </si>
  <si>
    <t>462.35</t>
  </si>
  <si>
    <t>51926</t>
  </si>
  <si>
    <t>2019-05-19</t>
  </si>
  <si>
    <t>2单元-201</t>
  </si>
  <si>
    <t>334.55</t>
  </si>
  <si>
    <t>54665</t>
  </si>
  <si>
    <t>1单元-402</t>
  </si>
  <si>
    <t>2019-05-16</t>
  </si>
  <si>
    <t>3单元-502</t>
  </si>
  <si>
    <t>463.53</t>
  </si>
  <si>
    <t>51919</t>
  </si>
  <si>
    <t>2019-05-15</t>
  </si>
  <si>
    <t>466.02</t>
  </si>
  <si>
    <t>52338</t>
  </si>
  <si>
    <t>615.24</t>
  </si>
  <si>
    <t>2019-05-14</t>
  </si>
  <si>
    <t>334.76</t>
  </si>
  <si>
    <t>54239</t>
  </si>
  <si>
    <t>2019-05-13</t>
  </si>
  <si>
    <t>2019-05-12</t>
  </si>
  <si>
    <t>448.09</t>
  </si>
  <si>
    <t>50489</t>
  </si>
  <si>
    <t>2019-05-09</t>
  </si>
  <si>
    <t>5单元-702</t>
  </si>
  <si>
    <t>624.98</t>
  </si>
  <si>
    <t>54149</t>
  </si>
  <si>
    <t>2019-04-29</t>
  </si>
  <si>
    <t>308.62</t>
  </si>
  <si>
    <t>54585</t>
  </si>
  <si>
    <t>465.82</t>
  </si>
  <si>
    <t>51907</t>
  </si>
  <si>
    <t>393.22</t>
  </si>
  <si>
    <t>53397</t>
  </si>
  <si>
    <t>2019-04-28</t>
  </si>
  <si>
    <t>465.66</t>
  </si>
  <si>
    <t>52298</t>
  </si>
  <si>
    <t>309.88</t>
  </si>
  <si>
    <t>53686</t>
  </si>
  <si>
    <t>2019-04-27</t>
  </si>
  <si>
    <t>322.89</t>
  </si>
  <si>
    <t>54405</t>
  </si>
  <si>
    <t>2019-04-25</t>
  </si>
  <si>
    <t>441.61</t>
  </si>
  <si>
    <t>52379</t>
  </si>
  <si>
    <t>337.88</t>
  </si>
  <si>
    <t>54745</t>
  </si>
  <si>
    <t>2019-04-24</t>
  </si>
  <si>
    <t>776.66</t>
  </si>
  <si>
    <t>54664</t>
  </si>
  <si>
    <t>2019-04-22</t>
  </si>
  <si>
    <t>461.2</t>
  </si>
  <si>
    <t>51925</t>
  </si>
  <si>
    <t>2019-04-18</t>
  </si>
  <si>
    <t>337.51</t>
  </si>
  <si>
    <t>54685</t>
  </si>
  <si>
    <t>2019-04-11</t>
  </si>
  <si>
    <t>338.25</t>
  </si>
  <si>
    <t>54805</t>
  </si>
  <si>
    <t>2019-04-10</t>
  </si>
  <si>
    <t>620.07</t>
  </si>
  <si>
    <t>2019-04-09</t>
  </si>
  <si>
    <t>304</t>
  </si>
  <si>
    <t>53768</t>
  </si>
  <si>
    <t>2019-04-08</t>
  </si>
  <si>
    <t>452.98</t>
  </si>
  <si>
    <t>50908</t>
  </si>
  <si>
    <t>2019-04-07</t>
  </si>
  <si>
    <t>317.8</t>
  </si>
  <si>
    <t>53547</t>
  </si>
  <si>
    <t>2019-04-03</t>
  </si>
  <si>
    <t>335.13</t>
  </si>
  <si>
    <t>54299</t>
  </si>
  <si>
    <t>456.73</t>
  </si>
  <si>
    <t>51129</t>
  </si>
  <si>
    <t>2019-04-02</t>
  </si>
  <si>
    <t>335.38</t>
  </si>
  <si>
    <t>54339</t>
  </si>
  <si>
    <t>462.87</t>
  </si>
  <si>
    <t>51985</t>
  </si>
  <si>
    <t>317.92</t>
  </si>
  <si>
    <t>53567</t>
  </si>
  <si>
    <t>2019-04-01</t>
  </si>
  <si>
    <t>453.86</t>
  </si>
  <si>
    <t>50808</t>
  </si>
  <si>
    <t>335.16</t>
  </si>
  <si>
    <t>54765</t>
  </si>
  <si>
    <t>307.1</t>
  </si>
  <si>
    <t>53492</t>
  </si>
  <si>
    <t>333.38</t>
  </si>
  <si>
    <t>54015</t>
  </si>
  <si>
    <t>2019-03-27</t>
  </si>
  <si>
    <t>438.85</t>
  </si>
  <si>
    <t>52052</t>
  </si>
  <si>
    <t>2019-03-21</t>
  </si>
  <si>
    <t>1单元-902</t>
  </si>
  <si>
    <t>306.3</t>
  </si>
  <si>
    <t>54174</t>
  </si>
  <si>
    <t>2019-03-20</t>
  </si>
  <si>
    <t>1单元-203</t>
  </si>
  <si>
    <t>309.97</t>
  </si>
  <si>
    <t>53992</t>
  </si>
  <si>
    <t>2019-03-19</t>
  </si>
  <si>
    <t>4单元-502</t>
  </si>
  <si>
    <t>2019-03-18</t>
  </si>
  <si>
    <t>319.77</t>
  </si>
  <si>
    <t>53879</t>
  </si>
  <si>
    <t>2019-03-17</t>
  </si>
  <si>
    <t>2单元-202</t>
  </si>
  <si>
    <t>317.1</t>
  </si>
  <si>
    <t>53855</t>
  </si>
  <si>
    <t>1单元-703</t>
  </si>
  <si>
    <t>333.26</t>
  </si>
  <si>
    <t>2019-03-14</t>
  </si>
  <si>
    <t>309.65</t>
  </si>
  <si>
    <t>53646</t>
  </si>
  <si>
    <t>2019-03-13</t>
  </si>
  <si>
    <t>439.01</t>
  </si>
  <si>
    <t>52071</t>
  </si>
  <si>
    <t>1单元-303</t>
  </si>
  <si>
    <t>311.77</t>
  </si>
  <si>
    <t>441.94</t>
  </si>
  <si>
    <t>52419</t>
  </si>
  <si>
    <t>2单元-1001</t>
  </si>
  <si>
    <t>2019-03-12</t>
  </si>
  <si>
    <t>1单元-603</t>
  </si>
  <si>
    <t>333.14</t>
  </si>
  <si>
    <t>53975</t>
  </si>
  <si>
    <t>2019-03-11</t>
  </si>
  <si>
    <t>335.01</t>
  </si>
  <si>
    <t>54279</t>
  </si>
  <si>
    <t>309.99</t>
  </si>
  <si>
    <t>53706</t>
  </si>
  <si>
    <t>303.98</t>
  </si>
  <si>
    <t>54031</t>
  </si>
  <si>
    <t>452.51</t>
  </si>
  <si>
    <t>50987</t>
  </si>
  <si>
    <t>318.04</t>
  </si>
  <si>
    <t>53586</t>
  </si>
  <si>
    <t>2019-03-10</t>
  </si>
  <si>
    <t>447.57</t>
  </si>
  <si>
    <t>50430</t>
  </si>
  <si>
    <t>1单元-803</t>
  </si>
  <si>
    <t>1单元-903</t>
  </si>
  <si>
    <t>333.5</t>
  </si>
  <si>
    <t>54035</t>
  </si>
  <si>
    <t>3单元-901</t>
  </si>
  <si>
    <t>461.73</t>
  </si>
  <si>
    <t>51984</t>
  </si>
  <si>
    <t>2019-01-30</t>
  </si>
  <si>
    <t>1单元-701</t>
  </si>
  <si>
    <t>619.62</t>
  </si>
  <si>
    <t>53693</t>
  </si>
  <si>
    <t>2019-01-29</t>
  </si>
  <si>
    <t>1单元-702</t>
  </si>
  <si>
    <t>310.1</t>
  </si>
  <si>
    <t>53725</t>
  </si>
  <si>
    <t>2019-01-28</t>
  </si>
  <si>
    <t>318.15</t>
  </si>
  <si>
    <t>53606</t>
  </si>
  <si>
    <t>2019-01-27</t>
  </si>
  <si>
    <t>303.78</t>
  </si>
  <si>
    <t>53728</t>
  </si>
  <si>
    <t>2单元-703</t>
  </si>
  <si>
    <t>389.98</t>
  </si>
  <si>
    <t>52958</t>
  </si>
  <si>
    <t>平均值</t>
    <phoneticPr fontId="144" type="noConversion"/>
  </si>
  <si>
    <t>合计</t>
    <phoneticPr fontId="144" type="noConversion"/>
  </si>
  <si>
    <t>2021.9</t>
    <phoneticPr fontId="26" type="noConversion"/>
  </si>
  <si>
    <t>2022.10</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</si>
</sst>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0" tint="-0.149998474074526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57" fillId="0" borderId="0"/>
    <xf numFmtId="0" fontId="1" fillId="0" borderId="0">
      <alignment vertical="center"/>
    </xf>
  </cellStyleXfs>
  <cellXfs count="333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4" xfId="0" applyFont="1" applyFill="1" applyBorder="1" applyAlignment="1" applyProtection="1">
      <alignment vertical="center" wrapText="1"/>
      <protection locked="0"/>
    </xf>
    <xf numFmtId="0" fontId="138" fillId="0" borderId="51" xfId="0" applyNumberFormat="1" applyFont="1" applyFill="1" applyBorder="1" applyAlignment="1" applyProtection="1">
      <alignment horizontal="center" vertical="center" wrapText="1"/>
      <protection locked="0"/>
    </xf>
    <xf numFmtId="197" fontId="48" fillId="0" borderId="23"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99" fillId="0" borderId="44" xfId="0" applyNumberFormat="1" applyFont="1" applyFill="1" applyBorder="1" applyAlignment="1" applyProtection="1">
      <alignment horizontal="center" vertical="center" wrapText="1"/>
      <protection locked="0"/>
    </xf>
    <xf numFmtId="0" fontId="138" fillId="0" borderId="78" xfId="0" applyNumberFormat="1" applyFont="1" applyFill="1" applyBorder="1" applyAlignment="1" applyProtection="1">
      <alignment horizontal="center" vertical="center" wrapText="1"/>
      <protection locked="0"/>
    </xf>
    <xf numFmtId="2" fontId="48" fillId="0" borderId="37" xfId="0" applyNumberFormat="1" applyFont="1" applyFill="1" applyBorder="1" applyAlignment="1" applyProtection="1">
      <alignment horizontal="center" vertical="center" wrapText="1"/>
      <protection locked="0"/>
    </xf>
    <xf numFmtId="0" fontId="100" fillId="0" borderId="0" xfId="0" applyFont="1">
      <alignment vertical="center"/>
    </xf>
    <xf numFmtId="0" fontId="99" fillId="0" borderId="37" xfId="0" applyNumberFormat="1" applyFont="1" applyFill="1" applyBorder="1" applyAlignment="1" applyProtection="1">
      <alignment horizontal="center" vertical="center" wrapText="1"/>
      <protection locked="0"/>
    </xf>
    <xf numFmtId="0" fontId="85" fillId="0" borderId="1" xfId="0" applyFont="1" applyBorder="1" applyAlignment="1" applyProtection="1">
      <alignment horizontal="left" vertical="center"/>
      <protection locked="0"/>
    </xf>
    <xf numFmtId="0" fontId="20" fillId="2" borderId="5" xfId="0" applyFont="1" applyFill="1" applyBorder="1" applyAlignment="1" applyProtection="1">
      <alignment vertical="center"/>
      <protection locked="0"/>
    </xf>
    <xf numFmtId="0" fontId="20" fillId="2" borderId="54" xfId="0" applyFont="1" applyFill="1" applyBorder="1" applyAlignment="1" applyProtection="1">
      <alignment vertical="center"/>
      <protection locked="0"/>
    </xf>
    <xf numFmtId="0" fontId="20" fillId="2" borderId="3" xfId="0" applyFont="1" applyFill="1" applyBorder="1" applyAlignment="1" applyProtection="1">
      <alignment vertical="center"/>
      <protection locked="0"/>
    </xf>
    <xf numFmtId="0" fontId="20" fillId="2" borderId="1" xfId="0" applyFont="1" applyFill="1" applyBorder="1" applyAlignment="1" applyProtection="1">
      <alignment horizontal="center" vertical="center"/>
      <protection locked="0"/>
    </xf>
    <xf numFmtId="0" fontId="85" fillId="0" borderId="1" xfId="0" applyFont="1" applyFill="1" applyBorder="1" applyAlignment="1" applyProtection="1">
      <alignment horizontal="left" vertical="center"/>
      <protection locked="0"/>
    </xf>
    <xf numFmtId="0" fontId="20" fillId="0" borderId="5" xfId="0" applyFont="1" applyFill="1" applyBorder="1" applyAlignment="1" applyProtection="1">
      <alignment vertical="center"/>
      <protection locked="0"/>
    </xf>
    <xf numFmtId="0" fontId="20" fillId="0" borderId="54" xfId="0" applyFont="1" applyFill="1" applyBorder="1" applyAlignment="1" applyProtection="1">
      <alignment vertical="center"/>
      <protection locked="0"/>
    </xf>
    <xf numFmtId="0" fontId="20" fillId="0" borderId="3" xfId="0"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0" fontId="138" fillId="0" borderId="2" xfId="0" applyNumberFormat="1" applyFont="1" applyFill="1" applyBorder="1" applyAlignment="1" applyProtection="1">
      <alignment horizontal="center" vertical="center" wrapText="1"/>
      <protection locked="0"/>
    </xf>
    <xf numFmtId="0" fontId="62" fillId="17" borderId="48" xfId="0" applyNumberFormat="1" applyFont="1" applyFill="1" applyBorder="1" applyAlignment="1" applyProtection="1">
      <alignment horizontal="center" vertical="center" wrapText="1"/>
      <protection locked="0"/>
    </xf>
    <xf numFmtId="0" fontId="57" fillId="0" borderId="0" xfId="17"/>
    <xf numFmtId="0" fontId="57" fillId="0" borderId="0" xfId="17" applyFont="1"/>
    <xf numFmtId="1" fontId="57" fillId="0" borderId="0" xfId="17" applyNumberFormat="1"/>
    <xf numFmtId="1" fontId="74" fillId="3" borderId="51" xfId="0" applyNumberFormat="1" applyFont="1" applyFill="1" applyBorder="1" applyAlignment="1" applyProtection="1">
      <alignment vertical="center" wrapText="1"/>
      <protection locked="0"/>
    </xf>
    <xf numFmtId="0" fontId="57" fillId="0" borderId="0" xfId="17" applyNumberFormat="1"/>
    <xf numFmtId="0" fontId="20" fillId="5" borderId="0" xfId="17" applyFont="1" applyFill="1"/>
    <xf numFmtId="0" fontId="57" fillId="5" borderId="0" xfId="17" applyFill="1"/>
    <xf numFmtId="0" fontId="57" fillId="5" borderId="0" xfId="17" applyNumberFormat="1" applyFill="1"/>
    <xf numFmtId="0" fontId="57" fillId="15" borderId="0" xfId="17" applyFill="1"/>
    <xf numFmtId="0" fontId="57" fillId="15" borderId="0" xfId="17" applyNumberFormat="1" applyFill="1"/>
    <xf numFmtId="49" fontId="48" fillId="0" borderId="44" xfId="0" applyNumberFormat="1" applyFont="1" applyFill="1" applyBorder="1" applyAlignment="1" applyProtection="1">
      <alignment horizontal="center" vertical="center" wrapText="1"/>
      <protection locked="0"/>
    </xf>
    <xf numFmtId="0" fontId="1" fillId="0" borderId="0" xfId="18">
      <alignment vertical="center"/>
    </xf>
    <xf numFmtId="190" fontId="1" fillId="0" borderId="0" xfId="18" applyNumberFormat="1">
      <alignment vertical="center"/>
    </xf>
    <xf numFmtId="0" fontId="1" fillId="5" borderId="0" xfId="18" applyFill="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201" fillId="2" borderId="5" xfId="0" applyFont="1" applyFill="1" applyBorder="1" applyAlignment="1" applyProtection="1">
      <alignment horizontal="center" vertical="center"/>
      <protection locked="0"/>
    </xf>
    <xf numFmtId="0" fontId="201" fillId="2" borderId="54" xfId="0" applyFont="1" applyFill="1" applyBorder="1" applyAlignment="1" applyProtection="1">
      <alignment horizontal="center" vertical="center"/>
      <protection locked="0"/>
    </xf>
    <xf numFmtId="10" fontId="68" fillId="0" borderId="5" xfId="0" applyNumberFormat="1" applyFont="1" applyBorder="1" applyAlignment="1" applyProtection="1">
      <alignment horizontal="center" vertical="center"/>
      <protection locked="0"/>
    </xf>
    <xf numFmtId="10" fontId="68" fillId="0" borderId="54" xfId="0" applyNumberFormat="1" applyFont="1" applyBorder="1" applyAlignment="1" applyProtection="1">
      <alignment horizontal="center" vertical="center"/>
      <protection locked="0"/>
    </xf>
    <xf numFmtId="10" fontId="68" fillId="0" borderId="3" xfId="0" applyNumberFormat="1" applyFont="1" applyBorder="1" applyAlignment="1" applyProtection="1">
      <alignment horizontal="center" vertical="center"/>
      <protection locked="0"/>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18" borderId="23" xfId="0" applyFont="1" applyFill="1" applyBorder="1" applyAlignment="1" applyProtection="1">
      <alignment horizontal="center" vertical="center" wrapText="1"/>
      <protection locked="0"/>
    </xf>
    <xf numFmtId="0" fontId="179" fillId="18"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49" fontId="179" fillId="0" borderId="11" xfId="0" applyNumberFormat="1"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84601</xdr:colOff>
      <xdr:row>9</xdr:row>
      <xdr:rowOff>161712</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9000001" cy="1704762"/>
        </a:xfrm>
        <a:prstGeom prst="rect">
          <a:avLst/>
        </a:prstGeom>
      </xdr:spPr>
    </xdr:pic>
    <xdr:clientData/>
  </xdr:twoCellAnchor>
  <xdr:twoCellAnchor editAs="oneCell">
    <xdr:from>
      <xdr:col>0</xdr:col>
      <xdr:colOff>0</xdr:colOff>
      <xdr:row>10</xdr:row>
      <xdr:rowOff>0</xdr:rowOff>
    </xdr:from>
    <xdr:to>
      <xdr:col>16</xdr:col>
      <xdr:colOff>379582</xdr:colOff>
      <xdr:row>21</xdr:row>
      <xdr:rowOff>18812</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1714500"/>
          <a:ext cx="11352382" cy="1904762"/>
        </a:xfrm>
        <a:prstGeom prst="rect">
          <a:avLst/>
        </a:prstGeom>
      </xdr:spPr>
    </xdr:pic>
    <xdr:clientData/>
  </xdr:twoCellAnchor>
  <xdr:twoCellAnchor editAs="oneCell">
    <xdr:from>
      <xdr:col>0</xdr:col>
      <xdr:colOff>0</xdr:colOff>
      <xdr:row>22</xdr:row>
      <xdr:rowOff>0</xdr:rowOff>
    </xdr:from>
    <xdr:to>
      <xdr:col>12</xdr:col>
      <xdr:colOff>170401</xdr:colOff>
      <xdr:row>31</xdr:row>
      <xdr:rowOff>171236</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3771900"/>
          <a:ext cx="8400001" cy="1714286"/>
        </a:xfrm>
        <a:prstGeom prst="rect">
          <a:avLst/>
        </a:prstGeom>
      </xdr:spPr>
    </xdr:pic>
    <xdr:clientData/>
  </xdr:twoCellAnchor>
  <xdr:twoCellAnchor editAs="oneCell">
    <xdr:from>
      <xdr:col>0</xdr:col>
      <xdr:colOff>0</xdr:colOff>
      <xdr:row>32</xdr:row>
      <xdr:rowOff>0</xdr:rowOff>
    </xdr:from>
    <xdr:to>
      <xdr:col>15</xdr:col>
      <xdr:colOff>617763</xdr:colOff>
      <xdr:row>42</xdr:row>
      <xdr:rowOff>142643</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0" y="5486400"/>
          <a:ext cx="10904763" cy="1857143"/>
        </a:xfrm>
        <a:prstGeom prst="rect">
          <a:avLst/>
        </a:prstGeom>
      </xdr:spPr>
    </xdr:pic>
    <xdr:clientData/>
  </xdr:twoCellAnchor>
  <xdr:twoCellAnchor editAs="oneCell">
    <xdr:from>
      <xdr:col>0</xdr:col>
      <xdr:colOff>0</xdr:colOff>
      <xdr:row>43</xdr:row>
      <xdr:rowOff>0</xdr:rowOff>
    </xdr:from>
    <xdr:to>
      <xdr:col>12</xdr:col>
      <xdr:colOff>237067</xdr:colOff>
      <xdr:row>52</xdr:row>
      <xdr:rowOff>85522</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0" y="7372350"/>
          <a:ext cx="8466667" cy="1628572"/>
        </a:xfrm>
        <a:prstGeom prst="rect">
          <a:avLst/>
        </a:prstGeom>
      </xdr:spPr>
    </xdr:pic>
    <xdr:clientData/>
  </xdr:twoCellAnchor>
  <xdr:twoCellAnchor editAs="oneCell">
    <xdr:from>
      <xdr:col>0</xdr:col>
      <xdr:colOff>0</xdr:colOff>
      <xdr:row>53</xdr:row>
      <xdr:rowOff>0</xdr:rowOff>
    </xdr:from>
    <xdr:to>
      <xdr:col>16</xdr:col>
      <xdr:colOff>341486</xdr:colOff>
      <xdr:row>84</xdr:row>
      <xdr:rowOff>85050</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0" y="9086850"/>
          <a:ext cx="11314286" cy="5400000"/>
        </a:xfrm>
        <a:prstGeom prst="rect">
          <a:avLst/>
        </a:prstGeom>
      </xdr:spPr>
    </xdr:pic>
    <xdr:clientData/>
  </xdr:twoCellAnchor>
  <xdr:twoCellAnchor editAs="oneCell">
    <xdr:from>
      <xdr:col>0</xdr:col>
      <xdr:colOff>0</xdr:colOff>
      <xdr:row>84</xdr:row>
      <xdr:rowOff>95250</xdr:rowOff>
    </xdr:from>
    <xdr:to>
      <xdr:col>16</xdr:col>
      <xdr:colOff>379582</xdr:colOff>
      <xdr:row>97</xdr:row>
      <xdr:rowOff>75924</xdr:rowOff>
    </xdr:to>
    <xdr:pic>
      <xdr:nvPicPr>
        <xdr:cNvPr id="8" name="图片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7"/>
        <a:stretch>
          <a:fillRect/>
        </a:stretch>
      </xdr:blipFill>
      <xdr:spPr>
        <a:xfrm>
          <a:off x="0" y="14497050"/>
          <a:ext cx="11352382" cy="2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C15" sqref="C15"/>
    </sheetView>
  </sheetViews>
  <sheetFormatPr baseColWidth="10" defaultColWidth="9" defaultRowHeight="15"/>
  <cols>
    <col min="1" max="1" width="35.6640625" style="1584" customWidth="1"/>
    <col min="2" max="2" width="81" style="1601" customWidth="1"/>
    <col min="3" max="16384" width="9" style="1599"/>
  </cols>
  <sheetData>
    <row r="1" spans="1:2" s="1587" customFormat="1" ht="17" thickBot="1">
      <c r="A1" s="1586" t="s">
        <v>1214</v>
      </c>
      <c r="B1" s="1585" t="s">
        <v>1293</v>
      </c>
    </row>
    <row r="2" spans="1:2" s="1590" customFormat="1" ht="17" thickTop="1">
      <c r="A2" s="1588" t="s">
        <v>1215</v>
      </c>
      <c r="B2" s="1589" t="str">
        <f>'预评函-封皮'!B37:I37</f>
        <v>北京市北京经济技术开发区河西区X90R1、X90S1地块出让国有建设用地使用权及在建建筑物房地产市场价值预评估</v>
      </c>
    </row>
    <row r="3" spans="1:2" s="1593" customFormat="1" ht="16">
      <c r="A3" s="1591" t="s">
        <v>1216</v>
      </c>
      <c r="B3" s="1592" t="str">
        <f>'预评函-封皮'!B40</f>
        <v>北京博大新元房地产开发有限公司</v>
      </c>
    </row>
    <row r="4" spans="1:2" s="1593" customFormat="1" ht="16">
      <c r="A4" s="1591" t="s">
        <v>1217</v>
      </c>
      <c r="B4" s="1592" t="str">
        <f ca="1">'预评函-封皮'!B46</f>
        <v>叶凌（注册号：1119970111)、陈颖（注册号：1120060040)</v>
      </c>
    </row>
    <row r="5" spans="1:2" s="1587" customFormat="1" ht="17" thickBot="1">
      <c r="A5" s="1594" t="s">
        <v>1218</v>
      </c>
      <c r="B5" s="1595" t="str">
        <f>'预评函-封皮'!B49</f>
        <v>康正预评字号</v>
      </c>
    </row>
    <row r="6" spans="1:2" s="1590" customFormat="1" ht="17" thickTop="1">
      <c r="A6" s="1588" t="s">
        <v>1219</v>
      </c>
      <c r="B6" s="1589" t="str">
        <f>'预评函-1'!A4</f>
        <v>受贵公司委托，我公司对北京市北京经济技术开发区河西区X90R1、X90S1地块出让国有建设用地使用权及在建建筑物房地产抵押价值进行了预评估。</v>
      </c>
    </row>
    <row r="7" spans="1:2" s="1593" customFormat="1" ht="16">
      <c r="A7" s="1591" t="s">
        <v>1259</v>
      </c>
      <c r="B7" s="1592" t="str">
        <f>'预评函-1'!A7</f>
        <v>估价对象为北京市北京经济技术开发区河西区X90R1、X90S1地块出让国有建设用地使用权及在建建筑物房地产，为北京博大新元房地产开发有限公司所有。根据《国有土地使用证》[]，估价对象（分摊）出让国有建设用地使用权面积为43648.1平方米，建筑面积为86971.4平方米。</v>
      </c>
    </row>
    <row r="8" spans="1:2" s="1593" customFormat="1" ht="16">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ht="16">
      <c r="A9" s="1591" t="s">
        <v>1261</v>
      </c>
      <c r="B9" s="1592" t="str">
        <f>'预评函-1'!A10</f>
        <v>估价对象为北京市北京经济技术开发区河西区X90R1、X90S1地块出让国有建设用地使用权及在建建筑物房地产,属北京博大新元房地产开发有限公司开发建设的，该项目尚在开发建设中。根据《国有土地使用证》[]，估价对象（分摊）出让国有建设用地使用权面积为43648.1平方米，规划建筑面积为86971.4平方米。</v>
      </c>
    </row>
    <row r="10" spans="1:2" s="1593" customFormat="1" ht="16">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ht="16">
      <c r="A11" s="1591" t="s">
        <v>1220</v>
      </c>
      <c r="B11" s="1592" t="str">
        <f>'预评函-1'!A13</f>
        <v>为估价委托人了解估价对象房地产市场价值提供参考依据。</v>
      </c>
    </row>
    <row r="12" spans="1:2" s="1593" customFormat="1" ht="16">
      <c r="A12" s="1591" t="s">
        <v>1221</v>
      </c>
      <c r="B12" s="1592" t="str">
        <f>'预评函-1'!A15</f>
        <v>2020年1月17日（评估专业人员实地查勘之日）</v>
      </c>
    </row>
    <row r="13" spans="1:2" s="1593" customFormat="1" ht="16">
      <c r="A13" s="1591" t="s">
        <v>1222</v>
      </c>
      <c r="B13" s="1592" t="str">
        <f>'预评函-1'!A18</f>
        <v>本次估价的“房地产价值”是指在正常市场情况下，在价值时点2020年1月17日，估价对象规划用途为，土地取得方式为出让，出让国有建设用地使用权剩余土地使用年限为，假定未设立法定优先受偿款下的房地产市场价值。</v>
      </c>
    </row>
    <row r="14" spans="1:2" s="1593" customFormat="1" ht="16">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ht="16">
      <c r="A15" s="1591" t="s">
        <v>1224</v>
      </c>
      <c r="B15" s="1592" t="str">
        <f>'预评函-1'!A20</f>
        <v>——</v>
      </c>
    </row>
    <row r="16" spans="1:2" s="1593" customFormat="1" ht="16">
      <c r="A16" s="1591" t="s">
        <v>1225</v>
      </c>
      <c r="B16" s="1592" t="str">
        <f>'预评函-1'!A21</f>
        <v>——</v>
      </c>
    </row>
    <row r="17" spans="1:2" s="1593" customFormat="1" ht="16">
      <c r="A17" s="1591" t="s">
        <v>1226</v>
      </c>
      <c r="B17" s="1592" t="str">
        <f>'预评函-1'!A22</f>
        <v>——</v>
      </c>
    </row>
    <row r="18" spans="1:2" s="1587" customFormat="1" ht="17" thickBot="1">
      <c r="A18" s="1594" t="s">
        <v>1227</v>
      </c>
      <c r="B18" s="1595" t="str">
        <f>'预评函-1'!A24</f>
        <v>本次评估采用的主估价方法为比较法和比较法。</v>
      </c>
    </row>
    <row r="19" spans="1:2" s="1590" customFormat="1" ht="17"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ht="16">
      <c r="A20" s="1591" t="s">
        <v>1229</v>
      </c>
      <c r="B20" s="1592">
        <f ca="1">'预评函-2'!D5</f>
        <v>453051</v>
      </c>
    </row>
    <row r="21" spans="1:2" s="1593" customFormat="1" ht="16">
      <c r="A21" s="1591" t="s">
        <v>1230</v>
      </c>
      <c r="B21" s="1592" t="e">
        <f ca="1">'预评函-2'!D7</f>
        <v>#DIV/0!</v>
      </c>
    </row>
    <row r="22" spans="1:2" s="1593" customFormat="1" ht="16">
      <c r="A22" s="1591" t="s">
        <v>1231</v>
      </c>
      <c r="B22" s="1592" t="str">
        <f ca="1">'预评函-2'!D6</f>
        <v>肆拾伍亿叁仟零伍拾壹万元整</v>
      </c>
    </row>
    <row r="23" spans="1:2" s="1593" customFormat="1" ht="16">
      <c r="A23" s="1591" t="s">
        <v>1282</v>
      </c>
      <c r="B23" s="1592" t="str">
        <f>'预评函-2'!B8</f>
        <v>2.估价师知悉的法定优先受偿款</v>
      </c>
    </row>
    <row r="24" spans="1:2" s="1593" customFormat="1" ht="16">
      <c r="A24" s="1591" t="s">
        <v>1288</v>
      </c>
      <c r="B24" s="1592">
        <f>'预评函-2'!D8</f>
        <v>0</v>
      </c>
    </row>
    <row r="25" spans="1:2" s="1593" customFormat="1" ht="16">
      <c r="A25" s="1591" t="s">
        <v>1232</v>
      </c>
      <c r="B25" s="1592" t="str">
        <f>'预评函-2'!D9</f>
        <v>零元整</v>
      </c>
    </row>
    <row r="26" spans="1:2" s="1593" customFormat="1" ht="16">
      <c r="A26" s="1591" t="s">
        <v>1233</v>
      </c>
      <c r="B26" s="1592">
        <f>'预评函-2'!D10</f>
        <v>0</v>
      </c>
    </row>
    <row r="27" spans="1:2" s="1593" customFormat="1" ht="16">
      <c r="A27" s="1591" t="s">
        <v>1234</v>
      </c>
      <c r="B27" s="1592">
        <f>'预评函-2'!D11</f>
        <v>0</v>
      </c>
    </row>
    <row r="28" spans="1:2" s="1593" customFormat="1" ht="16">
      <c r="A28" s="1591" t="s">
        <v>1235</v>
      </c>
      <c r="B28" s="1592">
        <f>'预评函-2'!D12</f>
        <v>0</v>
      </c>
    </row>
    <row r="29" spans="1:2" s="1593" customFormat="1" ht="16">
      <c r="A29" s="1591" t="s">
        <v>1286</v>
      </c>
      <c r="B29" s="1592" t="str">
        <f>'预评函-2'!B13</f>
        <v>3.房地产抵押价值</v>
      </c>
    </row>
    <row r="30" spans="1:2" s="1593" customFormat="1" ht="16">
      <c r="A30" s="1591" t="s">
        <v>1287</v>
      </c>
      <c r="B30" s="1592">
        <f ca="1">'预评函-2'!D13</f>
        <v>453051</v>
      </c>
    </row>
    <row r="31" spans="1:2" s="1593" customFormat="1" ht="16">
      <c r="A31" s="1591" t="s">
        <v>1269</v>
      </c>
      <c r="B31" s="1592">
        <f ca="1">'预评函-2'!D15</f>
        <v>52092</v>
      </c>
    </row>
    <row r="32" spans="1:2" s="1593" customFormat="1" ht="16">
      <c r="A32" s="1591" t="s">
        <v>1236</v>
      </c>
      <c r="B32" s="1592" t="str">
        <f ca="1">'预评函-2'!D14</f>
        <v>肆拾伍亿叁仟零伍拾壹万元整</v>
      </c>
    </row>
    <row r="33" spans="1:2" s="1593" customFormat="1" ht="16">
      <c r="A33" s="1591" t="s">
        <v>1271</v>
      </c>
      <c r="B33" s="1592" t="str">
        <f>'预评函-2'!B16</f>
        <v>——</v>
      </c>
    </row>
    <row r="34" spans="1:2" s="1593" customFormat="1" ht="16">
      <c r="A34" s="1591" t="s">
        <v>1289</v>
      </c>
      <c r="B34" s="1592" t="str">
        <f>'预评函-2'!D16</f>
        <v>——</v>
      </c>
    </row>
    <row r="35" spans="1:2" s="1593" customFormat="1" ht="16">
      <c r="A35" s="1591" t="s">
        <v>1270</v>
      </c>
      <c r="B35" s="1592" t="str">
        <f>'预评函-2'!D18</f>
        <v>——</v>
      </c>
    </row>
    <row r="36" spans="1:2" s="1593" customFormat="1" ht="16">
      <c r="A36" s="1591" t="s">
        <v>1237</v>
      </c>
      <c r="B36" s="1592" t="e">
        <f>'预评函-2'!D17</f>
        <v>#VALUE!</v>
      </c>
    </row>
    <row r="37" spans="1:2" s="1593" customFormat="1" ht="16">
      <c r="A37" s="1591" t="s">
        <v>1272</v>
      </c>
      <c r="B37" s="1592" t="str">
        <f>'预评函-2'!B19</f>
        <v>——</v>
      </c>
    </row>
    <row r="38" spans="1:2" s="1593" customFormat="1" ht="16">
      <c r="A38" s="1591" t="s">
        <v>1290</v>
      </c>
      <c r="B38" s="1592" t="str">
        <f>'预评函-2'!D19</f>
        <v>——</v>
      </c>
    </row>
    <row r="39" spans="1:2" s="1593" customFormat="1" ht="16">
      <c r="A39" s="1591" t="s">
        <v>1238</v>
      </c>
      <c r="B39" s="1592" t="str">
        <f>'预评函-2'!D21</f>
        <v>——</v>
      </c>
    </row>
    <row r="40" spans="1:2" s="1593" customFormat="1" ht="16">
      <c r="A40" s="1591" t="s">
        <v>1239</v>
      </c>
      <c r="B40" s="1592" t="e">
        <f>'预评函-2'!D20</f>
        <v>#VALUE!</v>
      </c>
    </row>
    <row r="41" spans="1:2" s="1593" customFormat="1" ht="16">
      <c r="A41" s="1591" t="s">
        <v>1285</v>
      </c>
      <c r="B41" s="1592" t="str">
        <f>'预评函-3'!A4</f>
        <v>北京市北京经济技术开发区河西区X90R1、X90S1地块出让国有建设用地使用权及在建建筑物房地产</v>
      </c>
    </row>
    <row r="42" spans="1:2" s="1593" customFormat="1" ht="16">
      <c r="A42" s="1591" t="s">
        <v>1283</v>
      </c>
      <c r="B42" s="1592" t="str">
        <f>'预评函-3'!B2</f>
        <v>建筑面积</v>
      </c>
    </row>
    <row r="43" spans="1:2" s="1593" customFormat="1" ht="16">
      <c r="A43" s="1591" t="s">
        <v>1284</v>
      </c>
      <c r="B43" s="1592">
        <f>'预评函-3'!B4</f>
        <v>86971.4</v>
      </c>
    </row>
    <row r="44" spans="1:2" s="1593" customFormat="1" ht="16">
      <c r="A44" s="1591" t="s">
        <v>1268</v>
      </c>
      <c r="B44" s="1592" t="str">
        <f>'预评函-3'!C2</f>
        <v>(分摊)土地面积</v>
      </c>
    </row>
    <row r="45" spans="1:2" s="1593" customFormat="1" ht="16">
      <c r="A45" s="1591" t="s">
        <v>1240</v>
      </c>
      <c r="B45" s="1592">
        <f>'预评函-3'!C4</f>
        <v>43648.1</v>
      </c>
    </row>
    <row r="46" spans="1:2" s="1593" customFormat="1" ht="16">
      <c r="A46" s="1591" t="s">
        <v>1266</v>
      </c>
      <c r="B46" s="1592" t="str">
        <f>'预评函-3'!D2</f>
        <v>出让国有建设用地使用权价值</v>
      </c>
    </row>
    <row r="47" spans="1:2" s="1593" customFormat="1" ht="16">
      <c r="A47" s="1591" t="s">
        <v>1241</v>
      </c>
      <c r="B47" s="1592" t="e">
        <f ca="1">'预评函-3'!D4</f>
        <v>#REF!</v>
      </c>
    </row>
    <row r="48" spans="1:2" s="1593" customFormat="1" ht="16">
      <c r="A48" s="1591" t="s">
        <v>1242</v>
      </c>
      <c r="B48" s="1592" t="e">
        <f ca="1">'预评函-3'!E4</f>
        <v>#DIV/0!</v>
      </c>
    </row>
    <row r="49" spans="1:2" s="1593" customFormat="1" ht="16">
      <c r="A49" s="1591" t="s">
        <v>1243</v>
      </c>
      <c r="B49" s="1592" t="e">
        <f ca="1">'预评函-3'!D5</f>
        <v>#REF!</v>
      </c>
    </row>
    <row r="50" spans="1:2" s="1593" customFormat="1" ht="16">
      <c r="A50" s="1591" t="s">
        <v>1267</v>
      </c>
      <c r="B50" s="1592" t="str">
        <f>'预评函-3'!F2</f>
        <v>在建建筑物价值</v>
      </c>
    </row>
    <row r="51" spans="1:2" s="1593" customFormat="1" ht="16">
      <c r="A51" s="1591" t="s">
        <v>1244</v>
      </c>
      <c r="B51" s="1592" t="e">
        <f ca="1">'预评函-3'!F4</f>
        <v>#REF!</v>
      </c>
    </row>
    <row r="52" spans="1:2" s="1593" customFormat="1" ht="16">
      <c r="A52" s="1591" t="s">
        <v>1245</v>
      </c>
      <c r="B52" s="1592" t="e">
        <f ca="1">'预评函-3'!G4</f>
        <v>#REF!</v>
      </c>
    </row>
    <row r="53" spans="1:2" s="1593" customFormat="1" ht="16">
      <c r="A53" s="1591" t="s">
        <v>1273</v>
      </c>
      <c r="B53" s="1592" t="e">
        <f ca="1">'预评函-3'!F5</f>
        <v>#REF!</v>
      </c>
    </row>
    <row r="54" spans="1:2" s="1593" customFormat="1" ht="16">
      <c r="A54" s="1591" t="s">
        <v>1291</v>
      </c>
      <c r="B54" s="1592" t="str">
        <f>'预评函-3'!A8</f>
        <v/>
      </c>
    </row>
    <row r="55" spans="1:2" s="1593" customFormat="1" ht="16">
      <c r="A55" s="1591" t="s">
        <v>1274</v>
      </c>
      <c r="B55" s="1592" t="str">
        <f>'预评函-3'!A10</f>
        <v/>
      </c>
    </row>
    <row r="56" spans="1:2" s="1593" customFormat="1" ht="16">
      <c r="A56" s="1591" t="s">
        <v>1275</v>
      </c>
      <c r="B56" s="1592" t="str">
        <f>'预评函-3'!A12</f>
        <v/>
      </c>
    </row>
    <row r="57" spans="1:2" s="1587" customFormat="1" ht="17" thickBot="1">
      <c r="A57" s="1594" t="s">
        <v>1292</v>
      </c>
      <c r="B57" s="1595" t="str">
        <f>'预评函-3'!A6</f>
        <v/>
      </c>
    </row>
    <row r="58" spans="1:2" s="1590" customFormat="1" ht="17"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ht="16">
      <c r="A59" s="1591" t="s">
        <v>1247</v>
      </c>
      <c r="B59" s="1592" t="str">
        <f>'预评函-4'!A13</f>
        <v>——</v>
      </c>
    </row>
    <row r="60" spans="1:2" s="1593" customFormat="1" ht="16">
      <c r="A60" s="1591" t="s">
        <v>1248</v>
      </c>
      <c r="B60" s="1592" t="str">
        <f>'预评函-4'!A14</f>
        <v>——</v>
      </c>
    </row>
    <row r="61" spans="1:2" s="1593" customFormat="1" ht="16">
      <c r="A61" s="1591" t="s">
        <v>1249</v>
      </c>
      <c r="B61" s="1592" t="str">
        <f>'预评函-4'!A15</f>
        <v>——</v>
      </c>
    </row>
    <row r="62" spans="1:2" s="1593" customFormat="1" ht="16">
      <c r="A62" s="1591" t="s">
        <v>1250</v>
      </c>
      <c r="B62" s="1592" t="str">
        <f>'预评函-4'!A16</f>
        <v>（2）根据《工程款支付情况说明》，截至价值时点，估价对象不存在应付未付工程款项。（只要没有施工方盖章的，均“设定”进行表述）</v>
      </c>
    </row>
    <row r="63" spans="1:2" s="1593" customFormat="1" ht="16">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ht="16">
      <c r="A64" s="1591" t="s">
        <v>1263</v>
      </c>
      <c r="B64" s="1592" t="str">
        <f>'预评函-4'!A18</f>
        <v>——</v>
      </c>
    </row>
    <row r="65" spans="1:2" s="1593" customFormat="1" ht="16">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ht="16">
      <c r="A66" s="1591" t="s">
        <v>1253</v>
      </c>
      <c r="B66" s="15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ht="16">
      <c r="A67" s="1591" t="s">
        <v>1264</v>
      </c>
      <c r="B67" s="15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ht="16">
      <c r="A68" s="1591" t="s">
        <v>1265</v>
      </c>
      <c r="B68" s="1592" t="str">
        <f>'预评函-4'!A22</f>
        <v>8.其他需特殊说明事项：无（注意调整序号）</v>
      </c>
    </row>
    <row r="69" spans="1:2" s="1587" customFormat="1" ht="17" thickBot="1">
      <c r="A69" s="1594" t="s">
        <v>1254</v>
      </c>
      <c r="B69" s="1596">
        <f>'预评函-4'!C31</f>
        <v>42551</v>
      </c>
    </row>
    <row r="70" spans="1:2" ht="17" thickTop="1">
      <c r="A70" s="1597" t="s">
        <v>1255</v>
      </c>
      <c r="B70" s="1598" t="str">
        <f>'预评函-4'!A4</f>
        <v>叶凌</v>
      </c>
    </row>
    <row r="71" spans="1:2" ht="16">
      <c r="A71" s="1591" t="s">
        <v>1256</v>
      </c>
      <c r="B71" s="1592">
        <f ca="1">'预评函-4'!B4</f>
        <v>1119970111</v>
      </c>
    </row>
    <row r="72" spans="1:2" ht="16">
      <c r="A72" s="1591" t="s">
        <v>1257</v>
      </c>
      <c r="B72" s="1600" t="str">
        <f>'预评函-4'!A5</f>
        <v>陈颖</v>
      </c>
    </row>
    <row r="73" spans="1:2" s="1587" customFormat="1" ht="17" thickBot="1">
      <c r="A73" s="1594" t="s">
        <v>1258</v>
      </c>
      <c r="B73" s="1595">
        <f ca="1">'预评函-4'!B5</f>
        <v>1120060040</v>
      </c>
    </row>
    <row r="74" spans="1:2" ht="17" thickTop="1">
      <c r="A74" s="1584" t="s">
        <v>1294</v>
      </c>
      <c r="B74" s="160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13" sqref="D13"/>
    </sheetView>
  </sheetViews>
  <sheetFormatPr baseColWidth="10" defaultColWidth="9" defaultRowHeight="14"/>
  <cols>
    <col min="1" max="1" width="13.5" style="2023" customWidth="1"/>
    <col min="2" max="2" width="23.1640625" style="1974" customWidth="1"/>
    <col min="3" max="3" width="13" style="2018" customWidth="1"/>
    <col min="4" max="4" width="5.6640625" style="2015" customWidth="1"/>
    <col min="5" max="5" width="7.1640625" style="2015" customWidth="1"/>
    <col min="6" max="6" width="10.6640625" style="2015" customWidth="1"/>
    <col min="7" max="7" width="7.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640625" style="1974" customWidth="1"/>
    <col min="25" max="16384" width="9" style="1974"/>
  </cols>
  <sheetData>
    <row r="1" spans="1:23" s="2012" customFormat="1" ht="30">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河西区X90R1、X90S1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36"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6"/>
      <c r="B54" s="2021" t="s">
        <v>860</v>
      </c>
      <c r="C54" s="2018" t="s">
        <v>1276</v>
      </c>
    </row>
    <row r="55" spans="1:4">
      <c r="A55" s="3036"/>
      <c r="B55" s="2021" t="s">
        <v>861</v>
      </c>
      <c r="C55" s="2018" t="s">
        <v>1277</v>
      </c>
    </row>
    <row r="56" spans="1:4">
      <c r="A56" s="3036"/>
      <c r="B56" s="2021" t="s">
        <v>862</v>
      </c>
      <c r="C56" s="2018" t="s">
        <v>1281</v>
      </c>
    </row>
    <row r="57" spans="1:4">
      <c r="A57" s="3036"/>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topLeftCell="A10" zoomScale="90" zoomScaleNormal="100" zoomScaleSheetLayoutView="90" workbookViewId="0">
      <selection activeCell="C18" sqref="C18"/>
    </sheetView>
  </sheetViews>
  <sheetFormatPr baseColWidth="10" defaultColWidth="10" defaultRowHeight="18" customHeight="1"/>
  <cols>
    <col min="1" max="1" width="14.83203125" style="2031" customWidth="1"/>
    <col min="2" max="2" width="10" style="2031" customWidth="1"/>
    <col min="3" max="3" width="11.5" style="2031" customWidth="1"/>
    <col min="4" max="6" width="10" style="2031" customWidth="1"/>
    <col min="7" max="7" width="10.6640625" style="2031" customWidth="1"/>
    <col min="8" max="8" width="10" style="2031" customWidth="1"/>
    <col min="9" max="9" width="11.16406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1770</v>
      </c>
      <c r="B1" s="3045" t="str">
        <f>IF(B10="北京市","北京市",C10)&amp;F10&amp;IF(结果表!G1="在建","出让国有建设用地使用权及在建建筑物",IF(结果表!G1="土地","出让国有建设用地使用权",))&amp;B9&amp;"预评估"</f>
        <v>北京市北京经济技术开发区河西区X90R1、X90S1地块出让国有建设用地使用权及在建建筑物房地产市场价值预评估</v>
      </c>
      <c r="C1" s="3046"/>
      <c r="D1" s="3046"/>
      <c r="E1" s="3046"/>
      <c r="F1" s="3046"/>
      <c r="G1" s="3046"/>
      <c r="H1" s="3046"/>
      <c r="I1" s="304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北京市北京经济技术开发区河西区X90R1、X90S1地块出让国有建设用地使用权及在建建筑物房地产抵押价值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北京市北京经济技术开发区河西区X90R1、X90S1地块出让国有建设用地使用权及在建建筑物房地产</v>
      </c>
    </row>
    <row r="3" spans="1:19" ht="18" customHeight="1">
      <c r="A3" s="2034" t="s">
        <v>1772</v>
      </c>
      <c r="B3" s="2035">
        <v>43847</v>
      </c>
      <c r="C3" s="2036" t="s">
        <v>1773</v>
      </c>
      <c r="D3" s="2035">
        <f>B3</f>
        <v>43847</v>
      </c>
      <c r="E3" s="2025"/>
      <c r="F3" s="2025"/>
      <c r="G3" s="2025"/>
      <c r="H3" s="2025"/>
      <c r="I3" s="2025"/>
      <c r="J3" s="2025"/>
      <c r="K3" s="2026"/>
      <c r="L3" s="2027"/>
      <c r="M3" s="2027"/>
      <c r="N3" s="2028"/>
      <c r="O3" s="2029"/>
      <c r="P3" s="2028"/>
      <c r="Q3" s="2028"/>
      <c r="R3" s="2028"/>
      <c r="S3" s="2030"/>
    </row>
    <row r="4" spans="1:19" ht="18" customHeight="1" thickBot="1">
      <c r="A4" s="2037" t="s">
        <v>1774</v>
      </c>
      <c r="B4" s="2038" t="s">
        <v>3057</v>
      </c>
      <c r="C4" s="1037">
        <f ca="1">SUMIF(注册房地产估价师,B4,估价师及机构信息!B3:B24)</f>
        <v>1119970111</v>
      </c>
      <c r="D4" s="2038" t="s">
        <v>3058</v>
      </c>
      <c r="E4" s="1038">
        <f ca="1">SUMIF(注册房地产估价师,D4,估价师及机构信息!B3:B24)</f>
        <v>1120060040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叶凌（注册号：1119970111)、陈颖（注册号：1120060040)</v>
      </c>
      <c r="L4" s="2027"/>
      <c r="M4" s="2027"/>
      <c r="N4" s="2028"/>
      <c r="O4" s="2029"/>
      <c r="P4" s="2028"/>
      <c r="Q4" s="2028"/>
      <c r="R4" s="2028"/>
      <c r="S4" s="2030"/>
    </row>
    <row r="5" spans="1:19" ht="18" customHeight="1" thickTop="1">
      <c r="A5" s="2043" t="s">
        <v>1775</v>
      </c>
      <c r="B5" s="2951" t="s">
        <v>3061</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1777</v>
      </c>
      <c r="B7" s="2051"/>
      <c r="C7" s="2048"/>
      <c r="D7" s="2049"/>
      <c r="E7" s="2033"/>
      <c r="F7" s="2041"/>
      <c r="G7" s="2041"/>
      <c r="H7" s="2041"/>
      <c r="I7" s="2041"/>
      <c r="J7" s="2041"/>
      <c r="K7" s="2052"/>
      <c r="L7" s="2027"/>
      <c r="M7" s="2027"/>
      <c r="N7" s="2028"/>
      <c r="O7" s="2029"/>
      <c r="P7" s="2028"/>
      <c r="Q7" s="2028"/>
      <c r="R7" s="2028"/>
    </row>
    <row r="8" spans="1:19" ht="18" customHeight="1">
      <c r="A8" s="2046" t="s">
        <v>1778</v>
      </c>
      <c r="B8" s="2053" t="s">
        <v>3059</v>
      </c>
      <c r="C8" s="2054"/>
      <c r="D8" s="3048" t="s">
        <v>1779</v>
      </c>
      <c r="E8" s="2055"/>
      <c r="F8" s="2056"/>
      <c r="G8" s="2025"/>
      <c r="H8" s="2025"/>
      <c r="I8" s="2025"/>
      <c r="J8" s="2041"/>
      <c r="K8" s="2042"/>
      <c r="L8" s="2027"/>
      <c r="M8" s="2027"/>
      <c r="N8" s="2028"/>
      <c r="O8" s="2029"/>
      <c r="P8" s="2028"/>
      <c r="Q8" s="2028"/>
      <c r="R8" s="2028"/>
    </row>
    <row r="9" spans="1:19" ht="18" customHeight="1" thickBot="1">
      <c r="A9" s="2039" t="s">
        <v>1780</v>
      </c>
      <c r="B9" s="2057" t="s">
        <v>3060</v>
      </c>
      <c r="C9" s="2058"/>
      <c r="D9" s="3049"/>
      <c r="E9" s="2057"/>
      <c r="F9" s="2059"/>
      <c r="G9" s="2060"/>
      <c r="H9" s="2060"/>
      <c r="I9" s="2060"/>
      <c r="J9" s="2041"/>
      <c r="K9" s="2052"/>
      <c r="L9" s="2027"/>
      <c r="M9" s="2027"/>
      <c r="N9" s="2028"/>
      <c r="O9" s="2029"/>
      <c r="P9" s="2028"/>
      <c r="Q9" s="2028"/>
      <c r="R9" s="2028"/>
    </row>
    <row r="10" spans="1:19" ht="18" customHeight="1" thickTop="1">
      <c r="A10" s="2061" t="s">
        <v>1781</v>
      </c>
      <c r="B10" s="2062" t="s">
        <v>3056</v>
      </c>
      <c r="C10" s="2063"/>
      <c r="D10" s="2045"/>
      <c r="E10" s="2064" t="s">
        <v>1782</v>
      </c>
      <c r="F10" s="2065" t="s">
        <v>3079</v>
      </c>
      <c r="G10" s="2066"/>
      <c r="H10" s="2067"/>
      <c r="I10" s="2045"/>
      <c r="J10" s="2041"/>
      <c r="K10" s="2052"/>
      <c r="L10" s="2027"/>
      <c r="M10" s="2027"/>
      <c r="N10" s="2028"/>
      <c r="O10" s="2029"/>
      <c r="P10" s="2028"/>
      <c r="Q10" s="2028"/>
      <c r="R10" s="2028"/>
    </row>
    <row r="11" spans="1:19" ht="18" customHeight="1">
      <c r="A11" s="2068" t="s">
        <v>1783</v>
      </c>
      <c r="B11" s="2069" t="s">
        <v>3062</v>
      </c>
      <c r="C11" s="2952" t="s">
        <v>3061</v>
      </c>
      <c r="D11" s="2070"/>
      <c r="E11" s="2041"/>
      <c r="F11" s="2041"/>
      <c r="G11" s="2041"/>
      <c r="H11" s="2041"/>
      <c r="I11" s="2041"/>
      <c r="J11" s="2041"/>
      <c r="K11" s="2052"/>
      <c r="L11" s="2027"/>
      <c r="M11" s="2027"/>
      <c r="N11" s="2028"/>
      <c r="O11" s="2029"/>
      <c r="P11" s="2028"/>
      <c r="Q11" s="2028"/>
      <c r="R11" s="2028"/>
    </row>
    <row r="12" spans="1:19" ht="18" customHeight="1">
      <c r="A12" s="2071" t="s">
        <v>1784</v>
      </c>
      <c r="B12" s="2069" t="s">
        <v>3063</v>
      </c>
      <c r="C12" s="2072" t="s">
        <v>1785</v>
      </c>
      <c r="D12" s="2073" t="s">
        <v>1786</v>
      </c>
      <c r="E12" s="2073" t="s">
        <v>1787</v>
      </c>
      <c r="F12" s="2073" t="s">
        <v>1788</v>
      </c>
      <c r="G12" s="2073" t="s">
        <v>1789</v>
      </c>
      <c r="H12" s="2073" t="s">
        <v>1790</v>
      </c>
      <c r="I12" s="2073" t="s">
        <v>1791</v>
      </c>
      <c r="J12" s="2041"/>
      <c r="K12" s="2052"/>
      <c r="L12" s="2027"/>
      <c r="M12" s="2027"/>
      <c r="N12" s="2028"/>
      <c r="O12" s="2029"/>
      <c r="P12" s="2028"/>
      <c r="Q12" s="2028"/>
      <c r="R12" s="2028"/>
    </row>
    <row r="13" spans="1:19" ht="18" customHeight="1">
      <c r="A13" s="2074"/>
      <c r="B13" s="2075"/>
      <c r="C13" s="2076" t="s">
        <v>1792</v>
      </c>
      <c r="D13" s="2077">
        <v>68613</v>
      </c>
      <c r="E13" s="2077"/>
      <c r="F13" s="2077"/>
      <c r="G13" s="2077"/>
      <c r="H13" s="2077"/>
      <c r="I13" s="1047"/>
      <c r="J13" s="2041"/>
      <c r="K13" s="2052"/>
      <c r="L13" s="2027"/>
      <c r="M13" s="2027"/>
      <c r="N13" s="2028"/>
      <c r="O13" s="2029"/>
      <c r="P13" s="2028"/>
      <c r="Q13" s="2028"/>
      <c r="R13" s="2028"/>
    </row>
    <row r="14" spans="1:19" ht="18" customHeight="1">
      <c r="A14" s="2074"/>
      <c r="B14" s="2075"/>
      <c r="C14" s="2076" t="s">
        <v>1793</v>
      </c>
      <c r="D14" s="1050">
        <v>70</v>
      </c>
      <c r="E14" s="1050"/>
      <c r="F14" s="1050"/>
      <c r="G14" s="1050"/>
      <c r="H14" s="1050"/>
      <c r="I14" s="1050"/>
      <c r="J14" s="2041"/>
      <c r="K14" s="2078"/>
      <c r="L14" s="2027"/>
      <c r="M14" s="2027"/>
      <c r="N14" s="2028"/>
      <c r="O14" s="2029"/>
      <c r="P14" s="2028"/>
      <c r="Q14" s="2028"/>
      <c r="R14" s="2028"/>
    </row>
    <row r="15" spans="1:19" ht="18" customHeight="1">
      <c r="A15" s="2061"/>
      <c r="B15" s="2079"/>
      <c r="C15" s="2076" t="s">
        <v>1794</v>
      </c>
      <c r="D15" s="1049">
        <f>IF(B12="出让",IF(D13="","",ROUNDDOWN(MIN((D13-$D$3)/365,D14),2)),D14)</f>
        <v>67.849999999999994</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1795</v>
      </c>
      <c r="B16" s="3055"/>
      <c r="C16" s="3056"/>
      <c r="D16" s="3057"/>
      <c r="E16" s="2083" t="s">
        <v>1796</v>
      </c>
      <c r="F16" s="3058"/>
      <c r="G16" s="3059"/>
      <c r="H16" s="3059"/>
      <c r="I16" s="3060"/>
      <c r="J16" s="2028"/>
      <c r="K16" s="2080"/>
      <c r="L16" s="2081"/>
      <c r="M16" s="2081"/>
      <c r="N16" s="2082"/>
      <c r="O16" s="2081"/>
      <c r="P16" s="2082"/>
      <c r="Q16" s="2028"/>
      <c r="R16" s="2028"/>
    </row>
    <row r="17" spans="1:22" ht="18" customHeight="1">
      <c r="A17" s="2084" t="s">
        <v>1797</v>
      </c>
      <c r="B17" s="2034" t="s">
        <v>1798</v>
      </c>
      <c r="C17" s="1054">
        <f>'数据-汇总表'!E3</f>
        <v>86971.4</v>
      </c>
      <c r="D17" s="2085" t="s">
        <v>1799</v>
      </c>
      <c r="E17" s="3061" t="s">
        <v>1800</v>
      </c>
      <c r="F17" s="3062"/>
      <c r="G17" s="3062"/>
      <c r="H17" s="3062"/>
      <c r="I17" s="3063"/>
      <c r="J17" s="2028"/>
      <c r="K17" s="2086"/>
      <c r="L17" s="2081"/>
      <c r="M17" s="2081"/>
      <c r="N17" s="2082"/>
      <c r="O17" s="2081"/>
      <c r="P17" s="2082"/>
      <c r="Q17" s="2028"/>
      <c r="R17" s="2028"/>
      <c r="S17" s="2028"/>
      <c r="T17" s="2028"/>
      <c r="U17" s="2028"/>
      <c r="V17" s="2028"/>
    </row>
    <row r="18" spans="1:22" ht="36" customHeight="1" thickBot="1">
      <c r="A18" s="2087" t="s">
        <v>1801</v>
      </c>
      <c r="B18" s="2037" t="s">
        <v>1802</v>
      </c>
      <c r="C18" s="1444">
        <f>'数据-汇总表'!D3</f>
        <v>43648.1</v>
      </c>
      <c r="D18" s="2088" t="s">
        <v>1799</v>
      </c>
      <c r="E18" s="3064" t="s">
        <v>1803</v>
      </c>
      <c r="F18" s="3065"/>
      <c r="G18" s="3065"/>
      <c r="H18" s="3065"/>
      <c r="I18" s="3066"/>
      <c r="J18" s="2028"/>
      <c r="K18" s="2086"/>
      <c r="L18" s="2081"/>
      <c r="M18" s="2081"/>
      <c r="N18" s="2082"/>
      <c r="O18" s="2081"/>
      <c r="P18" s="2082"/>
      <c r="Q18" s="2028"/>
      <c r="R18" s="2028"/>
      <c r="S18" s="2028"/>
      <c r="T18" s="2028"/>
      <c r="U18" s="2028"/>
      <c r="V18" s="2028"/>
    </row>
    <row r="19" spans="1:22" ht="37.5" customHeight="1" thickTop="1" thickBot="1">
      <c r="A19" s="373" t="s">
        <v>1804</v>
      </c>
      <c r="B19" s="352" t="s">
        <v>1805</v>
      </c>
      <c r="C19" s="2089" t="s">
        <v>3113</v>
      </c>
      <c r="D19" s="2090" t="s">
        <v>1806</v>
      </c>
      <c r="E19" s="2091"/>
      <c r="F19" s="2092" t="str">
        <f>IF(AND(C19="是",E19="否"),"是否提供他项权证或相关说明","")</f>
        <v/>
      </c>
      <c r="G19" s="2093"/>
      <c r="H19" s="2041"/>
      <c r="I19" s="2041"/>
      <c r="J19" s="2041"/>
      <c r="K19" s="2052"/>
      <c r="L19" s="2027"/>
      <c r="M19" s="2027"/>
      <c r="N19" s="2082"/>
      <c r="O19" s="2081"/>
      <c r="P19" s="2082"/>
      <c r="Q19" s="2028"/>
      <c r="R19" s="2028"/>
      <c r="S19" s="2028"/>
      <c r="T19" s="2028"/>
      <c r="U19" s="2028"/>
      <c r="V19" s="2028"/>
    </row>
    <row r="20" spans="1:22" ht="18" customHeight="1">
      <c r="A20" s="2094" t="s">
        <v>1807</v>
      </c>
      <c r="B20" s="3051" t="s">
        <v>1808</v>
      </c>
      <c r="C20" s="3052"/>
      <c r="D20" s="3053" t="s">
        <v>1809</v>
      </c>
      <c r="E20" s="3054"/>
      <c r="F20" s="2095" t="s">
        <v>1810</v>
      </c>
      <c r="G20" s="2041"/>
      <c r="H20" s="2041"/>
      <c r="I20" s="2041"/>
      <c r="J20" s="2041"/>
      <c r="K20" s="305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1812</v>
      </c>
      <c r="C21" s="2097" t="s">
        <v>1813</v>
      </c>
      <c r="D21" s="2098" t="s">
        <v>1814</v>
      </c>
      <c r="E21" s="2099" t="s">
        <v>1813</v>
      </c>
      <c r="F21" s="2100"/>
      <c r="G21" s="2041"/>
      <c r="H21" s="2041"/>
      <c r="I21" s="2041"/>
      <c r="J21" s="2041"/>
      <c r="K21" s="305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1815</v>
      </c>
      <c r="C22" s="2097" t="s">
        <v>1816</v>
      </c>
      <c r="D22" s="2025"/>
      <c r="E22" s="2025"/>
      <c r="F22" s="2102"/>
      <c r="G22" s="2041"/>
      <c r="H22" s="2041"/>
      <c r="I22" s="2041"/>
      <c r="J22" s="2041"/>
      <c r="K22" s="305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1817</v>
      </c>
      <c r="B23" s="183" t="s">
        <v>1818</v>
      </c>
      <c r="C23" s="2104"/>
      <c r="D23" s="2105" t="s">
        <v>1818</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1819</v>
      </c>
      <c r="C24" s="2109"/>
      <c r="D24" s="2103" t="s">
        <v>1819</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1820</v>
      </c>
      <c r="C25" s="2109"/>
      <c r="D25" s="2103" t="s">
        <v>1820</v>
      </c>
      <c r="E25" s="2110"/>
      <c r="F25" s="2102"/>
      <c r="G25" s="2041"/>
      <c r="H25" s="2041"/>
      <c r="I25" s="2041"/>
      <c r="J25" s="2041"/>
      <c r="K25" s="2052"/>
      <c r="L25" s="2027"/>
      <c r="M25" s="2027"/>
      <c r="N25" s="2082"/>
      <c r="O25" s="2081"/>
      <c r="P25" s="2082"/>
      <c r="Q25" s="2028"/>
      <c r="R25" s="2028"/>
      <c r="S25" s="2028"/>
      <c r="T25" s="2028"/>
      <c r="U25" s="2028"/>
      <c r="V25" s="2028"/>
    </row>
    <row r="26" spans="1:22" ht="18" customHeight="1" thickBot="1">
      <c r="A26" s="2111"/>
      <c r="B26" s="2112" t="s">
        <v>1821</v>
      </c>
      <c r="C26" s="2113"/>
      <c r="D26" s="2114" t="s">
        <v>1822</v>
      </c>
      <c r="E26" s="2115"/>
      <c r="F26" s="2116"/>
      <c r="G26" s="2060"/>
      <c r="H26" s="2060"/>
      <c r="I26" s="2060"/>
      <c r="J26" s="2041"/>
      <c r="K26" s="2052"/>
      <c r="L26" s="2027"/>
      <c r="M26" s="2027"/>
      <c r="N26" s="2082"/>
      <c r="O26" s="2081"/>
      <c r="P26" s="2082"/>
      <c r="Q26" s="2028"/>
      <c r="R26" s="2028"/>
      <c r="S26" s="2028"/>
      <c r="T26" s="2028"/>
      <c r="U26" s="2028"/>
      <c r="V26" s="2028"/>
    </row>
    <row r="27" spans="1:22" ht="18" customHeight="1" thickTop="1">
      <c r="A27" s="3038" t="s">
        <v>1823</v>
      </c>
      <c r="B27" s="2061" t="s">
        <v>1824</v>
      </c>
      <c r="C27" s="2117"/>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38"/>
      <c r="B28" s="2034" t="s">
        <v>1825</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38"/>
      <c r="B29" s="2034" t="s">
        <v>1826</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39"/>
      <c r="B30" s="2034" t="s">
        <v>1827</v>
      </c>
      <c r="C30" s="3040"/>
      <c r="D30" s="3041"/>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42" t="s">
        <v>1828</v>
      </c>
      <c r="B31" s="2124"/>
      <c r="C31" s="2125" t="str">
        <f>IF(B31="现房","成新及维护状况正常否",IF(B31="在建","工程状态是否正常",IF(B31="土地","是否闲置","-")))</f>
        <v>-</v>
      </c>
      <c r="D31" s="2126"/>
      <c r="E31" s="2127"/>
      <c r="F31" s="2041"/>
      <c r="G31" s="2041"/>
      <c r="H31" s="2041"/>
      <c r="I31" s="2041"/>
      <c r="J31" s="2041"/>
      <c r="K31" s="2050"/>
      <c r="L31" s="2027"/>
      <c r="M31" s="2027"/>
      <c r="N31" s="2028"/>
      <c r="O31" s="2029"/>
      <c r="P31" s="2028"/>
      <c r="Q31" s="2028"/>
      <c r="R31" s="2028"/>
      <c r="S31" s="2028"/>
      <c r="T31" s="2028"/>
      <c r="U31" s="2028"/>
      <c r="V31" s="2028"/>
    </row>
    <row r="32" spans="1:22" ht="18" customHeight="1">
      <c r="A32" s="3043"/>
      <c r="B32" s="2124"/>
      <c r="C32" s="2125" t="str">
        <f>IF(B32="现房","成新及维护状况是否正常",IF(B32="在建","工程状态是否正常",IF(B32="土地","是否闲置","-")))</f>
        <v>-</v>
      </c>
      <c r="D32" s="2126"/>
      <c r="E32" s="2127"/>
      <c r="F32" s="2041"/>
      <c r="G32" s="2041"/>
      <c r="H32" s="2041"/>
      <c r="I32" s="2041"/>
      <c r="J32" s="2041"/>
      <c r="K32" s="2052"/>
      <c r="L32" s="2027"/>
      <c r="M32" s="2027"/>
      <c r="N32" s="2028"/>
      <c r="O32" s="2029"/>
      <c r="P32" s="2028"/>
      <c r="Q32" s="2028"/>
      <c r="R32" s="2028"/>
      <c r="S32" s="2028"/>
      <c r="T32" s="2028"/>
      <c r="U32" s="2028"/>
      <c r="V32" s="2028"/>
    </row>
    <row r="33" spans="1:22" ht="18" customHeight="1">
      <c r="A33" s="3043"/>
      <c r="B33" s="2128"/>
      <c r="C33" s="2068" t="str">
        <f>IF(B33="现房","成新及维护状况是否正常",IF(B33="在建","工程状态是否正常",IF(B33="土地","是否闲置","-")))</f>
        <v>-</v>
      </c>
      <c r="D33" s="2129"/>
      <c r="E33" s="2130"/>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1829</v>
      </c>
      <c r="B34" s="2131"/>
      <c r="C34" s="2131"/>
      <c r="D34" s="2131"/>
      <c r="E34" s="2131"/>
      <c r="F34" s="2131"/>
      <c r="G34" s="2131"/>
      <c r="H34" s="2131"/>
      <c r="I34" s="2041"/>
      <c r="J34" s="2041"/>
      <c r="K34" s="1795">
        <f>COUNTIF(B34:H34,"——")</f>
        <v>0</v>
      </c>
      <c r="L34" s="2072" t="s">
        <v>1830</v>
      </c>
      <c r="M34" s="2072" t="s">
        <v>1831</v>
      </c>
      <c r="N34" s="2072" t="s">
        <v>1832</v>
      </c>
      <c r="O34" s="2072" t="s">
        <v>1833</v>
      </c>
      <c r="P34" s="2072" t="s">
        <v>1834</v>
      </c>
      <c r="Q34" s="2072" t="s">
        <v>1835</v>
      </c>
      <c r="R34" s="2072" t="s">
        <v>1836</v>
      </c>
      <c r="S34" s="3037" t="s">
        <v>1837</v>
      </c>
      <c r="T34" s="2132" t="str">
        <f>NUMBERSTRING(7-K34,1)&amp;"通"</f>
        <v>七通</v>
      </c>
      <c r="U34" s="2028"/>
      <c r="V34" s="2028"/>
    </row>
    <row r="35" spans="1:22" ht="18" customHeight="1">
      <c r="A35" s="2133"/>
      <c r="B35" s="3044" t="s">
        <v>1838</v>
      </c>
      <c r="C35" s="3044"/>
      <c r="D35" s="3044"/>
      <c r="E35" s="3044"/>
      <c r="F35" s="2134">
        <f>C10</f>
        <v>0</v>
      </c>
      <c r="G35" s="2041"/>
      <c r="H35" s="2041"/>
      <c r="I35" s="2041"/>
      <c r="J35" s="2041"/>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7"/>
      <c r="T35" s="48" t="str">
        <f>IF(T34="一通",L35,IF(T34="二通",M35,IF(T34="三通",N35,IF(T34="四通",O35,IF(T34="五通",P35,IF(T34="六通",Q35,R35))))))</f>
        <v>、、、、、、</v>
      </c>
      <c r="U35" s="2028"/>
      <c r="V35" s="2028"/>
    </row>
    <row r="36" spans="1:22" ht="18" customHeight="1">
      <c r="A36" s="2135"/>
      <c r="B36" s="2134" t="s">
        <v>1839</v>
      </c>
      <c r="C36" s="2134" t="s">
        <v>1840</v>
      </c>
      <c r="D36" s="2134" t="s">
        <v>1841</v>
      </c>
      <c r="E36" s="2134" t="s">
        <v>1842</v>
      </c>
      <c r="F36" s="2136"/>
      <c r="G36" s="2041"/>
      <c r="H36" s="2041"/>
      <c r="I36" s="2041"/>
      <c r="J36" s="2041"/>
      <c r="K36" s="2052"/>
      <c r="L36" s="2027"/>
      <c r="M36" s="2027"/>
      <c r="N36" s="2028"/>
      <c r="O36" s="2029"/>
      <c r="P36" s="2028"/>
      <c r="Q36" s="2028"/>
      <c r="R36" s="2028"/>
      <c r="S36" s="2028"/>
      <c r="T36" s="2028"/>
      <c r="U36" s="2028"/>
      <c r="V36" s="2028"/>
    </row>
    <row r="37" spans="1:22" ht="18" customHeight="1">
      <c r="A37" s="2137" t="s">
        <v>1843</v>
      </c>
      <c r="B37" s="2138"/>
      <c r="C37" s="2138"/>
      <c r="D37" s="2138"/>
      <c r="E37" s="2138"/>
      <c r="F37" s="2136"/>
      <c r="G37" s="2041"/>
      <c r="H37" s="2041"/>
      <c r="I37" s="2041"/>
      <c r="J37" s="2041"/>
      <c r="K37" s="2052"/>
      <c r="L37" s="2027"/>
      <c r="M37" s="2027"/>
      <c r="N37" s="2028"/>
      <c r="O37" s="2029"/>
      <c r="P37" s="2028"/>
      <c r="Q37" s="2028"/>
      <c r="R37" s="2028"/>
      <c r="S37" s="2028"/>
      <c r="T37" s="2028"/>
      <c r="U37" s="2028"/>
      <c r="V37" s="2028"/>
    </row>
    <row r="38" spans="1:22" ht="18" customHeight="1" thickBot="1">
      <c r="A38" s="2139" t="s">
        <v>1844</v>
      </c>
      <c r="B38" s="2140"/>
      <c r="C38" s="2140"/>
      <c r="D38" s="2140"/>
      <c r="E38" s="2140"/>
      <c r="F38" s="2141"/>
      <c r="G38" s="2060"/>
      <c r="H38" s="2060"/>
      <c r="I38" s="2060"/>
      <c r="J38" s="2041"/>
      <c r="K38" s="2052"/>
      <c r="L38" s="2027"/>
      <c r="M38" s="2027"/>
      <c r="N38" s="2028"/>
      <c r="O38" s="2029"/>
      <c r="P38" s="2028"/>
      <c r="Q38" s="2028"/>
      <c r="R38" s="2028"/>
      <c r="S38" s="2028"/>
      <c r="T38" s="2028"/>
      <c r="U38" s="2028"/>
      <c r="V38" s="2028"/>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1846</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1847</v>
      </c>
      <c r="B42" s="1795" t="s">
        <v>1848</v>
      </c>
      <c r="C42" s="1795" t="s">
        <v>1849</v>
      </c>
      <c r="D42" s="1795" t="s">
        <v>1850</v>
      </c>
      <c r="E42" s="1795" t="s">
        <v>1851</v>
      </c>
      <c r="F42" s="1795" t="s">
        <v>1852</v>
      </c>
      <c r="G42" s="1795" t="s">
        <v>1853</v>
      </c>
      <c r="H42" s="1795" t="s">
        <v>1854</v>
      </c>
      <c r="I42" s="1795" t="s">
        <v>1855</v>
      </c>
      <c r="J42" s="2150" t="s">
        <v>1856</v>
      </c>
      <c r="K42" s="2073" t="s">
        <v>1857</v>
      </c>
      <c r="L42" s="2073" t="s">
        <v>1858</v>
      </c>
      <c r="M42" s="2073" t="s">
        <v>1859</v>
      </c>
      <c r="N42" s="1795" t="s">
        <v>1860</v>
      </c>
      <c r="O42" s="1795" t="s">
        <v>1861</v>
      </c>
      <c r="P42" s="1795" t="s">
        <v>1862</v>
      </c>
      <c r="Q42" s="2072" t="s">
        <v>1863</v>
      </c>
      <c r="R42" s="2072" t="s">
        <v>1864</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baseColWidth="10" defaultColWidth="8.83203125" defaultRowHeight="14"/>
  <cols>
    <col min="1" max="1" width="10.6640625" style="2157" customWidth="1"/>
    <col min="2" max="2" width="11" style="2157" customWidth="1"/>
    <col min="3" max="3" width="10.33203125" style="2157" customWidth="1"/>
    <col min="4" max="4" width="9.1640625" style="2157" customWidth="1"/>
    <col min="5" max="6" width="10" style="2220" customWidth="1"/>
    <col min="7" max="8" width="10" style="2157" customWidth="1"/>
    <col min="9" max="9" width="10.6640625" style="2157" customWidth="1"/>
    <col min="10" max="10" width="9.5" style="2157" customWidth="1"/>
    <col min="11" max="11" width="11" style="2157" customWidth="1"/>
    <col min="12" max="14" width="9.5" style="2157" customWidth="1"/>
    <col min="15" max="15" width="9.83203125" style="2157" customWidth="1"/>
    <col min="16" max="16" width="9.6640625" style="2157" customWidth="1"/>
    <col min="17" max="17" width="9.33203125" style="2157" customWidth="1"/>
    <col min="18" max="18" width="9.1640625" style="2157" customWidth="1"/>
    <col min="19" max="19" width="10.83203125" style="2157" customWidth="1"/>
    <col min="20" max="21" width="10.6640625" style="2157" customWidth="1"/>
    <col min="22" max="22" width="10.83203125" style="2157" customWidth="1"/>
    <col min="23" max="27" width="10.6640625" style="2157" customWidth="1"/>
    <col min="28" max="28" width="10.83203125" style="2157" customWidth="1"/>
    <col min="29" max="29" width="11" style="2157" bestFit="1" customWidth="1"/>
    <col min="30" max="30" width="10" style="2157" bestFit="1" customWidth="1"/>
    <col min="31" max="31" width="9.6640625" style="2157" customWidth="1"/>
    <col min="32" max="46" width="9.5" style="2157" customWidth="1"/>
    <col min="47" max="47" width="18.1640625" style="2157" customWidth="1"/>
    <col min="48" max="50" width="9.6640625" style="2157" customWidth="1"/>
    <col min="51" max="55" width="10.5" style="2157" bestFit="1" customWidth="1"/>
    <col min="56" max="56" width="9.5" style="2157" bestFit="1" customWidth="1"/>
    <col min="57" max="63" width="9.1640625" style="2157" bestFit="1" customWidth="1"/>
    <col min="64" max="64" width="9.5" style="2157" bestFit="1" customWidth="1"/>
    <col min="65" max="65" width="9.1640625" style="2157" bestFit="1" customWidth="1"/>
    <col min="66" max="66" width="9.5" style="2157" bestFit="1" customWidth="1"/>
    <col min="67" max="69" width="9.1640625" style="2157" bestFit="1" customWidth="1"/>
    <col min="70" max="70" width="9.5" style="2157" bestFit="1" customWidth="1"/>
    <col min="71" max="71" width="9" style="2157" customWidth="1"/>
    <col min="72" max="72" width="9.1640625" style="2157" bestFit="1" customWidth="1"/>
    <col min="73" max="16384" width="8.83203125" style="2157"/>
  </cols>
  <sheetData>
    <row r="1" spans="1:72" ht="20">
      <c r="A1" s="2160"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30">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1870</v>
      </c>
      <c r="AZ2" s="1270"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5">
      <c r="A3" s="13">
        <v>43648.1</v>
      </c>
      <c r="B3" s="14">
        <f>IF(C3="否",G5-AT5,G5)</f>
        <v>86971.4</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c r="A5" s="15" t="s">
        <v>1874</v>
      </c>
      <c r="B5" s="1803"/>
      <c r="C5" s="1803"/>
      <c r="D5" s="1806"/>
      <c r="E5" s="16" t="s">
        <v>1</v>
      </c>
      <c r="F5" s="16">
        <f>SUM(F13:F587)</f>
        <v>0</v>
      </c>
      <c r="G5" s="16">
        <f>SUM(G13:G587)</f>
        <v>86971.4</v>
      </c>
      <c r="H5" s="16">
        <f t="shared" ref="H5:AT5" si="0">SUM(H13:H656)</f>
        <v>86971.4</v>
      </c>
      <c r="I5" s="16">
        <f t="shared" si="0"/>
        <v>86971.4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86971.4</v>
      </c>
      <c r="BA5" s="18">
        <f t="shared" si="1"/>
        <v>86971.4</v>
      </c>
      <c r="BB5" s="18">
        <f t="shared" si="1"/>
        <v>86971.4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c r="A6" s="15" t="s">
        <v>1875</v>
      </c>
      <c r="B6" s="2172"/>
      <c r="C6" s="2172"/>
      <c r="D6" s="2173"/>
      <c r="E6" s="16">
        <f>H6+AC6+AT6</f>
        <v>43648.1</v>
      </c>
      <c r="F6" s="16" t="s">
        <v>1</v>
      </c>
      <c r="G6" s="16" t="s">
        <v>2</v>
      </c>
      <c r="H6" s="20">
        <f>SUMIF(I$12:AB$12,"总值",I6:AB6)</f>
        <v>43648.1</v>
      </c>
      <c r="I6" s="16">
        <f t="shared" ref="I6:AB6" si="2">ROUND($A$3*I5/$B$3,2)</f>
        <v>43648.1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43648.1</v>
      </c>
      <c r="AZ6" s="16" t="s">
        <v>3</v>
      </c>
      <c r="BA6" s="16">
        <f>ROUND($AY$6*BA5/$AZ$5,2)</f>
        <v>43648.1</v>
      </c>
      <c r="BB6" s="16">
        <f>ROUND($AY$6*BB5/$AZ$5,2)</f>
        <v>43648.1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30">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1883</v>
      </c>
      <c r="AV7" s="23" t="s">
        <v>1884</v>
      </c>
      <c r="AW7" s="2164" t="s">
        <v>1885</v>
      </c>
      <c r="AX7" s="23" t="s">
        <v>1878</v>
      </c>
      <c r="AY7" s="1803"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30">
      <c r="A8" s="2180"/>
      <c r="B8" s="2180"/>
      <c r="C8" s="2180"/>
      <c r="D8" s="2180"/>
      <c r="E8" s="2180"/>
      <c r="F8" s="2180"/>
      <c r="G8" s="2181" t="s">
        <v>1887</v>
      </c>
      <c r="H8" s="2182" t="s">
        <v>1888</v>
      </c>
      <c r="I8" s="2183"/>
      <c r="J8" s="1818"/>
      <c r="K8" s="1818"/>
      <c r="L8" s="1818"/>
      <c r="M8" s="1818"/>
      <c r="N8" s="1818"/>
      <c r="O8" s="1818"/>
      <c r="P8" s="1818"/>
      <c r="Q8" s="1818"/>
      <c r="R8" s="1818"/>
      <c r="S8" s="1818"/>
      <c r="T8" s="1818"/>
      <c r="U8" s="1818"/>
      <c r="V8" s="2184"/>
      <c r="W8" s="1818"/>
      <c r="X8" s="1818"/>
      <c r="Y8" s="1818"/>
      <c r="Z8" s="1818"/>
      <c r="AA8" s="2184"/>
      <c r="AB8" s="2185"/>
      <c r="AC8" s="981" t="s">
        <v>1889</v>
      </c>
      <c r="AD8" s="2186"/>
      <c r="AE8" s="2178"/>
      <c r="AF8" s="1818"/>
      <c r="AG8" s="1818"/>
      <c r="AH8" s="1818"/>
      <c r="AI8" s="1818"/>
      <c r="AJ8" s="1818"/>
      <c r="AK8" s="1818"/>
      <c r="AL8" s="1818"/>
      <c r="AM8" s="1818"/>
      <c r="AN8" s="1818"/>
      <c r="AO8" s="1818"/>
      <c r="AP8" s="1818"/>
      <c r="AQ8" s="1818"/>
      <c r="AR8" s="1818"/>
      <c r="AS8" s="1818"/>
      <c r="AT8" s="1292" t="s">
        <v>1890</v>
      </c>
      <c r="AU8" s="2180" t="s">
        <v>1891</v>
      </c>
      <c r="AV8" s="1292"/>
      <c r="AW8" s="2163"/>
      <c r="AX8" s="1292"/>
      <c r="AY8" s="2164"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c r="A9" s="2180"/>
      <c r="B9" s="2180"/>
      <c r="C9" s="2180"/>
      <c r="D9" s="2180"/>
      <c r="E9" s="2180"/>
      <c r="F9" s="2180"/>
      <c r="G9" s="1292"/>
      <c r="H9" s="2188" t="s">
        <v>1894</v>
      </c>
      <c r="I9" s="2189" t="s">
        <v>3114</v>
      </c>
      <c r="J9" s="981"/>
      <c r="K9" s="2189"/>
      <c r="L9" s="981"/>
      <c r="M9" s="2189"/>
      <c r="N9" s="981"/>
      <c r="O9" s="2189"/>
      <c r="P9" s="981"/>
      <c r="Q9" s="2189"/>
      <c r="R9" s="981"/>
      <c r="S9" s="2189"/>
      <c r="T9" s="981"/>
      <c r="U9" s="2189"/>
      <c r="V9" s="981"/>
      <c r="W9" s="2189"/>
      <c r="X9" s="2190"/>
      <c r="Y9" s="2189"/>
      <c r="Z9" s="981"/>
      <c r="AA9" s="2189"/>
      <c r="AB9" s="981"/>
      <c r="AC9" s="2181"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1"/>
      <c r="AT9" s="2180"/>
      <c r="AU9" s="2180" t="s">
        <v>1897</v>
      </c>
      <c r="AV9" s="1292"/>
      <c r="AW9" s="2163"/>
      <c r="AX9" s="1292"/>
      <c r="AY9" s="28"/>
      <c r="AZ9" s="28" t="s">
        <v>1887</v>
      </c>
      <c r="BA9" s="2192" t="s">
        <v>1898</v>
      </c>
      <c r="BB9" s="2193"/>
      <c r="BC9" s="1338"/>
      <c r="BD9" s="1338"/>
      <c r="BE9" s="1338"/>
      <c r="BF9" s="1338"/>
      <c r="BG9" s="1338"/>
      <c r="BH9" s="1338"/>
      <c r="BI9" s="1338"/>
      <c r="BJ9" s="1338"/>
      <c r="BK9" s="2194"/>
      <c r="BL9" s="15" t="s">
        <v>1899</v>
      </c>
      <c r="BM9" s="1818"/>
      <c r="BN9" s="2183"/>
      <c r="BO9" s="1818"/>
      <c r="BP9" s="1818"/>
      <c r="BQ9" s="1818"/>
      <c r="BR9" s="1818"/>
      <c r="BS9" s="1818"/>
      <c r="BT9" s="26"/>
    </row>
    <row r="10" spans="1:72" s="2187" customFormat="1">
      <c r="A10" s="2180"/>
      <c r="B10" s="2180"/>
      <c r="C10" s="2180"/>
      <c r="D10" s="2180"/>
      <c r="E10" s="2180"/>
      <c r="F10" s="2180"/>
      <c r="G10" s="1292"/>
      <c r="H10" s="28"/>
      <c r="I10" s="2189" t="s">
        <v>3064</v>
      </c>
      <c r="J10" s="981"/>
      <c r="K10" s="2195"/>
      <c r="L10" s="981"/>
      <c r="M10" s="2195"/>
      <c r="N10" s="981"/>
      <c r="O10" s="2195"/>
      <c r="P10" s="981"/>
      <c r="Q10" s="2195"/>
      <c r="R10" s="981"/>
      <c r="S10" s="2195"/>
      <c r="T10" s="981"/>
      <c r="U10" s="2195"/>
      <c r="V10" s="981"/>
      <c r="W10" s="2195"/>
      <c r="X10" s="981"/>
      <c r="Y10" s="2195"/>
      <c r="Z10" s="981"/>
      <c r="AA10" s="2195"/>
      <c r="AB10" s="981"/>
      <c r="AC10" s="1292"/>
      <c r="AD10" s="15" t="s">
        <v>1900</v>
      </c>
      <c r="AE10" s="2196"/>
      <c r="AF10" s="15" t="s">
        <v>1900</v>
      </c>
      <c r="AG10" s="2196"/>
      <c r="AH10" s="15" t="s">
        <v>1901</v>
      </c>
      <c r="AI10" s="2196"/>
      <c r="AJ10" s="15" t="s">
        <v>1901</v>
      </c>
      <c r="AK10" s="2196"/>
      <c r="AL10" s="15" t="s">
        <v>1902</v>
      </c>
      <c r="AM10" s="1298"/>
      <c r="AN10" s="15" t="s">
        <v>1902</v>
      </c>
      <c r="AO10" s="1298"/>
      <c r="AP10" s="15" t="s">
        <v>1903</v>
      </c>
      <c r="AQ10" s="1298"/>
      <c r="AR10" s="15" t="s">
        <v>1903</v>
      </c>
      <c r="AS10" s="1298"/>
      <c r="AT10" s="2180"/>
      <c r="AU10" s="2180"/>
      <c r="AV10" s="1292"/>
      <c r="AW10" s="2163"/>
      <c r="AX10" s="1292"/>
      <c r="AY10" s="28"/>
      <c r="AZ10" s="28"/>
      <c r="BA10" s="2197" t="s">
        <v>1894</v>
      </c>
      <c r="BB10" s="2198"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c r="A11" s="2180"/>
      <c r="B11" s="2180"/>
      <c r="C11" s="2180"/>
      <c r="D11" s="2180"/>
      <c r="E11" s="2180"/>
      <c r="F11" s="2180"/>
      <c r="G11" s="1292"/>
      <c r="H11" s="2197"/>
      <c r="I11" s="2200" t="s">
        <v>3115</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1904</v>
      </c>
      <c r="AE11" s="1819"/>
      <c r="AF11" s="2202" t="s">
        <v>1904</v>
      </c>
      <c r="AG11" s="1819"/>
      <c r="AH11" s="2202" t="s">
        <v>1905</v>
      </c>
      <c r="AI11" s="2203"/>
      <c r="AJ11" s="2202" t="s">
        <v>1905</v>
      </c>
      <c r="AK11" s="1819"/>
      <c r="AL11" s="1817"/>
      <c r="AM11" s="1819"/>
      <c r="AN11" s="1817"/>
      <c r="AO11" s="1819"/>
      <c r="AP11" s="1817"/>
      <c r="AQ11" s="1819"/>
      <c r="AR11" s="1817"/>
      <c r="AS11" s="1819"/>
      <c r="AT11" s="2163"/>
      <c r="AU11" s="2180"/>
      <c r="AV11" s="1292"/>
      <c r="AW11" s="2163"/>
      <c r="AX11" s="1292"/>
      <c r="AY11" s="28"/>
      <c r="AZ11" s="28"/>
      <c r="BA11" s="28"/>
      <c r="BB11" s="2185" t="str">
        <f>I10</f>
        <v>住宅</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5">
      <c r="A12" s="2205"/>
      <c r="B12" s="2205"/>
      <c r="C12" s="2205"/>
      <c r="D12" s="2205"/>
      <c r="E12" s="2205"/>
      <c r="F12" s="2205"/>
      <c r="G12" s="30"/>
      <c r="H12" s="2206"/>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7"/>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平层住宅</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c r="A13" s="1272"/>
      <c r="B13" s="1272"/>
      <c r="C13" s="1272"/>
      <c r="D13" s="2211" t="s">
        <v>3117</v>
      </c>
      <c r="E13" s="16">
        <f>IF($C$3="是",ROUND($A$3*G13/$B$3,2),ROUND($A$3*(G13-AT13)/$B$3,2))</f>
        <v>43648.1</v>
      </c>
      <c r="F13" s="32"/>
      <c r="G13" s="33">
        <f>H13+AC13+AT13</f>
        <v>86971.4</v>
      </c>
      <c r="H13" s="20">
        <f>SUMIF(I$12:AB$12,"总值",I13:AB13)</f>
        <v>86971.4</v>
      </c>
      <c r="I13" s="2212">
        <f>'比较法-住宅'!C33</f>
        <v>86971.4</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6">
        <f>ROUND($AY$6*AZ13/$AZ$5,2)</f>
        <v>43648.1</v>
      </c>
      <c r="AZ13" s="16">
        <f>BA13+BL13</f>
        <v>86971.4</v>
      </c>
      <c r="BA13" s="16">
        <f>SUM(BB13:BK13)</f>
        <v>86971.4</v>
      </c>
      <c r="BB13" s="16">
        <f>IF($D13="是",I13-J13,0)</f>
        <v>86971.4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3">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baseColWidth="10" defaultColWidth="9" defaultRowHeight="14"/>
  <cols>
    <col min="1" max="1" width="12.1640625" style="3" customWidth="1"/>
    <col min="2" max="2" width="10.6640625" style="3" customWidth="1"/>
    <col min="3" max="3" width="15.6640625" style="3" customWidth="1"/>
    <col min="4" max="7" width="9.5" style="3" bestFit="1" customWidth="1"/>
    <col min="8" max="13" width="9.1640625" style="3" bestFit="1" customWidth="1"/>
    <col min="14" max="16384" width="9" style="3"/>
  </cols>
  <sheetData>
    <row r="1" spans="1:13" ht="16">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34">
      <c r="A3" s="3067"/>
      <c r="B3" s="3067"/>
      <c r="C3" s="3067"/>
      <c r="D3" s="3068"/>
      <c r="E3" s="3068"/>
      <c r="F3" s="4" t="s">
        <v>40</v>
      </c>
      <c r="G3" s="4" t="s">
        <v>35</v>
      </c>
      <c r="H3" s="4" t="s">
        <v>36</v>
      </c>
      <c r="I3" s="4" t="s">
        <v>49</v>
      </c>
      <c r="J3" s="4" t="s">
        <v>40</v>
      </c>
      <c r="K3" s="4" t="s">
        <v>51</v>
      </c>
      <c r="L3" s="4" t="s">
        <v>50</v>
      </c>
      <c r="M3" s="4" t="s">
        <v>52</v>
      </c>
    </row>
    <row r="4" spans="1:13" ht="51">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51">
      <c r="A5" s="4" t="s">
        <v>41</v>
      </c>
      <c r="B5" s="4" t="s">
        <v>44</v>
      </c>
      <c r="C5" s="4" t="s">
        <v>45</v>
      </c>
      <c r="D5" s="5">
        <v>3667.86</v>
      </c>
      <c r="E5" s="5">
        <v>19906.61</v>
      </c>
      <c r="F5" s="5">
        <v>18792.87</v>
      </c>
      <c r="G5" s="5">
        <v>18792.87</v>
      </c>
      <c r="H5" s="5">
        <v>0</v>
      </c>
      <c r="I5" s="5">
        <v>0</v>
      </c>
      <c r="J5" s="5">
        <v>1113.74</v>
      </c>
      <c r="K5" s="5">
        <v>55.59</v>
      </c>
      <c r="L5" s="5">
        <v>0</v>
      </c>
      <c r="M5" s="5">
        <v>1058.1500000000001</v>
      </c>
    </row>
    <row r="6" spans="1:13" ht="51">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51">
      <c r="A7" s="4" t="s">
        <v>41</v>
      </c>
      <c r="B7" s="4" t="s">
        <v>44</v>
      </c>
      <c r="C7" s="4" t="s">
        <v>47</v>
      </c>
      <c r="D7" s="5">
        <v>8.18</v>
      </c>
      <c r="E7" s="5">
        <v>44.41</v>
      </c>
      <c r="F7" s="5">
        <v>0</v>
      </c>
      <c r="G7" s="5">
        <v>0</v>
      </c>
      <c r="H7" s="5">
        <v>0</v>
      </c>
      <c r="I7" s="5">
        <v>0</v>
      </c>
      <c r="J7" s="5">
        <v>44.41</v>
      </c>
      <c r="K7" s="5">
        <v>44.41</v>
      </c>
      <c r="L7" s="5">
        <v>0</v>
      </c>
      <c r="M7" s="5">
        <v>0</v>
      </c>
    </row>
    <row r="8" spans="1:13" ht="51">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22" sqref="G22"/>
    </sheetView>
  </sheetViews>
  <sheetFormatPr baseColWidth="10" defaultColWidth="9.1640625" defaultRowHeight="14"/>
  <cols>
    <col min="1" max="1" width="12.1640625" style="2224" customWidth="1"/>
    <col min="2" max="2" width="10.1640625" style="2224" customWidth="1"/>
    <col min="3" max="3" width="18.5" style="2224" customWidth="1"/>
    <col min="4" max="4" width="11.6640625" style="2224" customWidth="1"/>
    <col min="5" max="5" width="13.33203125" style="2224" customWidth="1"/>
    <col min="6" max="8" width="11.5" style="2224" customWidth="1"/>
    <col min="9" max="9" width="11.1640625" style="2224" customWidth="1"/>
    <col min="10" max="10" width="3.1640625" style="2224" customWidth="1"/>
    <col min="11" max="16" width="10" style="2224" customWidth="1"/>
    <col min="17" max="17" width="2.6640625" style="2224" customWidth="1"/>
    <col min="18" max="18" width="9.33203125" style="2224" bestFit="1" customWidth="1"/>
    <col min="19" max="19" width="10.5" style="2224" bestFit="1" customWidth="1"/>
    <col min="20" max="16384" width="9.1640625" style="2224"/>
  </cols>
  <sheetData>
    <row r="1" spans="1:16" ht="18">
      <c r="A1" s="2223" t="s">
        <v>1933</v>
      </c>
      <c r="B1" s="1392"/>
      <c r="C1" s="1392"/>
      <c r="D1" s="1392"/>
      <c r="E1" s="1392"/>
      <c r="F1" s="1392"/>
      <c r="G1" s="1392"/>
      <c r="H1" s="1392"/>
      <c r="I1" s="1392"/>
      <c r="J1" s="1392"/>
      <c r="K1" s="1392"/>
      <c r="L1" s="1392"/>
      <c r="M1" s="1392"/>
      <c r="N1" s="1392"/>
      <c r="O1" s="1392"/>
      <c r="P1" s="1392"/>
    </row>
    <row r="2" spans="1:16">
      <c r="A2" s="3078" t="s">
        <v>1934</v>
      </c>
      <c r="B2" s="3078"/>
      <c r="C2" s="3078"/>
      <c r="D2" s="967" t="s">
        <v>1910</v>
      </c>
      <c r="E2" s="2225" t="s">
        <v>1911</v>
      </c>
      <c r="F2" s="1392"/>
      <c r="G2" s="2226"/>
      <c r="H2" s="2227"/>
      <c r="I2" s="2228" t="s">
        <v>1935</v>
      </c>
      <c r="J2" s="1392"/>
      <c r="K2" s="1392"/>
      <c r="L2" s="1392"/>
      <c r="M2" s="1392"/>
      <c r="N2" s="1427"/>
      <c r="O2" s="1392"/>
      <c r="P2" s="1392"/>
    </row>
    <row r="3" spans="1:16" ht="15" thickBot="1">
      <c r="A3" s="3079" t="s">
        <v>1908</v>
      </c>
      <c r="B3" s="3079"/>
      <c r="C3" s="3079"/>
      <c r="D3" s="46">
        <f>'数据-基础表'!AY6</f>
        <v>43648.1</v>
      </c>
      <c r="E3" s="46">
        <f>'数据-基础表'!AZ5</f>
        <v>86971.4</v>
      </c>
      <c r="F3" s="1392"/>
      <c r="G3" s="1399"/>
      <c r="H3" s="1247" t="s">
        <v>1909</v>
      </c>
      <c r="I3" s="55">
        <f>ROUND('数据-基础表'!B3/'数据-基础表'!A3,2)</f>
        <v>1.99</v>
      </c>
      <c r="J3" s="1392"/>
      <c r="K3" s="1392"/>
      <c r="L3" s="1392"/>
      <c r="M3" s="1392"/>
      <c r="N3" s="1427"/>
      <c r="O3" s="1392"/>
      <c r="P3" s="1392"/>
    </row>
    <row r="4" spans="1:16">
      <c r="A4" s="3080"/>
      <c r="B4" s="3081"/>
      <c r="C4" s="3082"/>
      <c r="D4" s="2229" t="s">
        <v>1910</v>
      </c>
      <c r="E4" s="2230" t="s">
        <v>1911</v>
      </c>
      <c r="F4" s="1392"/>
      <c r="G4" s="2231" t="s">
        <v>1936</v>
      </c>
      <c r="H4" s="1247" t="s">
        <v>1916</v>
      </c>
      <c r="I4" s="55">
        <f>ROUND(SUMIF('数据-基础表'!I9:AS9,"地上",'数据-基础表'!I5:AS5)/'数据-基础表'!A3,2)</f>
        <v>1.99</v>
      </c>
      <c r="J4" s="1392"/>
      <c r="K4" s="1392"/>
      <c r="L4" s="1392"/>
      <c r="M4" s="1392"/>
      <c r="N4" s="1427"/>
      <c r="O4" s="1392"/>
      <c r="P4" s="1392"/>
    </row>
    <row r="5" spans="1:16">
      <c r="A5" s="47" t="s">
        <v>1912</v>
      </c>
      <c r="B5" s="3083" t="s">
        <v>1913</v>
      </c>
      <c r="C5" s="3083"/>
      <c r="D5" s="48">
        <f>ROUND($D$3*E5/$E$3,2)</f>
        <v>43648.1</v>
      </c>
      <c r="E5" s="49">
        <f>SUMIF('数据-基础表'!$11:$11,"住宅",'数据-基础表'!$5:$5)</f>
        <v>86971.4</v>
      </c>
      <c r="F5" s="1392"/>
      <c r="G5" s="1399"/>
      <c r="H5" s="1247" t="s">
        <v>1909</v>
      </c>
      <c r="I5" s="55">
        <f>ROUND(E31/D31,2)</f>
        <v>1.99</v>
      </c>
      <c r="J5" s="1392"/>
      <c r="K5" s="1392"/>
      <c r="L5" s="1392"/>
      <c r="M5" s="1392"/>
      <c r="N5" s="1392"/>
      <c r="O5" s="1392"/>
      <c r="P5" s="1392"/>
    </row>
    <row r="6" spans="1:16" ht="15" thickBot="1">
      <c r="A6" s="2232"/>
      <c r="B6" s="3083" t="s">
        <v>1914</v>
      </c>
      <c r="C6" s="3083"/>
      <c r="D6" s="48">
        <f>ROUND($D$3*E6/$E$3,2)</f>
        <v>0</v>
      </c>
      <c r="E6" s="49">
        <f>E3-E5</f>
        <v>0</v>
      </c>
      <c r="F6" s="1392"/>
      <c r="G6" s="2233" t="s">
        <v>1915</v>
      </c>
      <c r="H6" s="1399" t="s">
        <v>1916</v>
      </c>
      <c r="I6" s="939">
        <f>ROUND(F31/D31,2)</f>
        <v>1.99</v>
      </c>
      <c r="J6" s="1392"/>
      <c r="K6" s="1392"/>
      <c r="L6" s="1392"/>
      <c r="M6" s="1392"/>
      <c r="N6" s="1392"/>
      <c r="O6" s="1392"/>
      <c r="P6" s="1392"/>
    </row>
    <row r="7" spans="1:16">
      <c r="A7" s="3075"/>
      <c r="B7" s="3076"/>
      <c r="C7" s="3077"/>
      <c r="D7" s="2229" t="s">
        <v>1910</v>
      </c>
      <c r="E7" s="2234" t="s">
        <v>1917</v>
      </c>
      <c r="F7" s="1392"/>
      <c r="G7" s="2226" t="s">
        <v>1918</v>
      </c>
      <c r="H7" s="64"/>
      <c r="I7" s="420"/>
      <c r="J7" s="1392"/>
      <c r="K7" s="1392"/>
      <c r="L7" s="1392"/>
      <c r="M7" s="1392"/>
      <c r="N7" s="1392"/>
      <c r="O7" s="1392"/>
      <c r="P7" s="1392"/>
    </row>
    <row r="8" spans="1:16">
      <c r="A8" s="47" t="s">
        <v>1919</v>
      </c>
      <c r="B8" s="50" t="s">
        <v>1920</v>
      </c>
      <c r="C8" s="48" t="s">
        <v>1921</v>
      </c>
      <c r="D8" s="48">
        <f t="shared" ref="D8:D15" si="0">ROUND($D$3*E8/$E$3,2)</f>
        <v>43648.1</v>
      </c>
      <c r="E8" s="51">
        <f>SUMIF('数据-基础表'!BB10:BK10,"地上",'数据-基础表'!BB5:BK5)</f>
        <v>86971.4</v>
      </c>
      <c r="F8" s="1392"/>
      <c r="G8" s="2235"/>
      <c r="H8" s="2235"/>
      <c r="I8" s="1392"/>
      <c r="J8" s="1392"/>
      <c r="K8" s="1392"/>
      <c r="L8" s="1392"/>
      <c r="M8" s="1392"/>
      <c r="N8" s="1392"/>
      <c r="O8" s="1392"/>
      <c r="P8" s="1392"/>
    </row>
    <row r="9" spans="1:16">
      <c r="A9" s="2236"/>
      <c r="B9" s="2237"/>
      <c r="C9" s="48" t="s">
        <v>1922</v>
      </c>
      <c r="D9" s="48">
        <f t="shared" si="0"/>
        <v>0</v>
      </c>
      <c r="E9" s="52">
        <v>0</v>
      </c>
      <c r="F9" s="1392"/>
      <c r="G9" s="2235"/>
      <c r="H9" s="2235"/>
      <c r="I9" s="1392"/>
      <c r="J9" s="1392"/>
      <c r="K9" s="1392"/>
      <c r="L9" s="1392"/>
      <c r="M9" s="1392"/>
      <c r="N9" s="1392"/>
      <c r="O9" s="1392"/>
      <c r="P9" s="1392"/>
    </row>
    <row r="10" spans="1:16">
      <c r="A10" s="2236"/>
      <c r="B10" s="2237"/>
      <c r="C10" s="48" t="s">
        <v>1931</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1923</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1924</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1925</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1937</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1932</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 thickBot="1">
      <c r="A16" s="2232"/>
      <c r="B16" s="2237"/>
      <c r="C16" s="50" t="s">
        <v>1926</v>
      </c>
      <c r="D16" s="50">
        <f>SUM(D8:D15)</f>
        <v>43648.1</v>
      </c>
      <c r="E16" s="53">
        <f>SUM(E8:E15)</f>
        <v>86971.4</v>
      </c>
      <c r="F16" s="1392"/>
      <c r="G16" s="2235"/>
      <c r="H16" s="2238" t="s">
        <v>1938</v>
      </c>
      <c r="I16" s="2239"/>
      <c r="J16" s="1392"/>
      <c r="K16" s="3072" t="s">
        <v>1938</v>
      </c>
      <c r="L16" s="3073"/>
      <c r="M16" s="3073"/>
      <c r="N16" s="3073"/>
      <c r="O16" s="3073"/>
      <c r="P16" s="3074"/>
    </row>
    <row r="17" spans="1:19">
      <c r="A17" s="2240" t="s">
        <v>1939</v>
      </c>
      <c r="B17" s="2241" t="s">
        <v>1940</v>
      </c>
      <c r="C17" s="2242" t="s">
        <v>1941</v>
      </c>
      <c r="D17" s="2243" t="s">
        <v>1929</v>
      </c>
      <c r="E17" s="2244" t="s">
        <v>1930</v>
      </c>
      <c r="F17" s="2245"/>
      <c r="G17" s="2246"/>
      <c r="H17" s="2247" t="s">
        <v>1942</v>
      </c>
      <c r="I17" s="2248" t="s">
        <v>1927</v>
      </c>
      <c r="J17" s="1392"/>
      <c r="K17" s="3069" t="s">
        <v>1943</v>
      </c>
      <c r="L17" s="3070"/>
      <c r="M17" s="3071"/>
      <c r="N17" s="3069" t="s">
        <v>1944</v>
      </c>
      <c r="O17" s="3070"/>
      <c r="P17" s="3071"/>
      <c r="R17" s="2226" t="s">
        <v>1945</v>
      </c>
      <c r="S17" s="64"/>
    </row>
    <row r="18" spans="1:19">
      <c r="A18" s="2236"/>
      <c r="B18" s="2249"/>
      <c r="C18" s="2250"/>
      <c r="D18" s="2251"/>
      <c r="E18" s="2252" t="s">
        <v>1946</v>
      </c>
      <c r="F18" s="2253" t="s">
        <v>1947</v>
      </c>
      <c r="G18" s="2254" t="s">
        <v>1948</v>
      </c>
      <c r="H18" s="1262" t="s">
        <v>1949</v>
      </c>
      <c r="I18" s="2255" t="s">
        <v>1950</v>
      </c>
      <c r="J18" s="1392"/>
      <c r="K18" s="1262" t="s">
        <v>1951</v>
      </c>
      <c r="L18" s="2256" t="s">
        <v>1952</v>
      </c>
      <c r="M18" s="1046" t="s">
        <v>1953</v>
      </c>
      <c r="N18" s="1262" t="s">
        <v>1951</v>
      </c>
      <c r="O18" s="2256" t="s">
        <v>1952</v>
      </c>
      <c r="P18" s="1046" t="s">
        <v>1953</v>
      </c>
      <c r="R18" s="1247" t="s">
        <v>1954</v>
      </c>
      <c r="S18" s="1247" t="s">
        <v>1955</v>
      </c>
    </row>
    <row r="19" spans="1:19">
      <c r="A19" s="2257"/>
      <c r="B19" s="50" t="s">
        <v>1928</v>
      </c>
      <c r="C19" s="2976" t="s">
        <v>3116</v>
      </c>
      <c r="D19" s="48">
        <f>ROUND($D$3*E19/$E$3,2)</f>
        <v>43648.1</v>
      </c>
      <c r="E19" s="56">
        <f t="shared" ref="E19:E26" si="1">SUM(F19:G19)</f>
        <v>86971.4</v>
      </c>
      <c r="F19" s="57">
        <f>'数据-基础表'!I13</f>
        <v>86971.4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43648.1</v>
      </c>
      <c r="S19" s="1248">
        <f t="shared" si="5"/>
        <v>86971.4</v>
      </c>
    </row>
    <row r="20" spans="1:19">
      <c r="A20" s="2261"/>
      <c r="B20" s="50" t="s">
        <v>1956</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1956</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 thickBot="1">
      <c r="A27" s="2261"/>
      <c r="B27" s="48"/>
      <c r="C27" s="2264" t="s">
        <v>1957</v>
      </c>
      <c r="D27" s="1393">
        <f>SUM(D19:D26)</f>
        <v>43648.1</v>
      </c>
      <c r="E27" s="1394">
        <f>IF(SUM(E19:E26)='数据-基础表'!BA5,SUM(E19:E26),IF(F27="地上面积有误","面积有误","地下面积有误"))</f>
        <v>86971.4</v>
      </c>
      <c r="F27" s="1393">
        <f>IF(SUM(F19:F26)=E8,SUM(F19:F26),"地上面积有误")</f>
        <v>86971.4</v>
      </c>
      <c r="G27" s="1395">
        <f>SUM(G19:G26)</f>
        <v>0</v>
      </c>
      <c r="H27" s="1396">
        <f>SUM(H19:H26)</f>
        <v>0</v>
      </c>
      <c r="I27" s="1397">
        <f>SUM(I19:I26)</f>
        <v>0</v>
      </c>
      <c r="J27" s="1392"/>
      <c r="K27" s="1400">
        <f t="shared" ref="K27:P27" si="10">SUM(K19:K26)</f>
        <v>0</v>
      </c>
      <c r="L27" s="1401">
        <f t="shared" si="10"/>
        <v>0</v>
      </c>
      <c r="M27" s="1404">
        <f t="shared" si="10"/>
        <v>0</v>
      </c>
      <c r="N27" s="1400">
        <f t="shared" si="10"/>
        <v>0</v>
      </c>
      <c r="O27" s="1401">
        <f t="shared" si="10"/>
        <v>0</v>
      </c>
      <c r="P27" s="1402">
        <f t="shared" si="10"/>
        <v>0</v>
      </c>
      <c r="R27" s="1249">
        <f>IF(SUM(R19:R26)=$D$3,SUM(R19:R26),SUM(R19:R26)&amp;"误差"&amp;ROUND(SUM(R19:R26)-$D$3,2))</f>
        <v>43648.1</v>
      </c>
      <c r="S27" s="1247">
        <f>IF(SUM(S19:S26)=$E$3,SUM(S19:S26),SUM(S19:S26)&amp;"误差"&amp;ROUND(SUM(S19:S26)-E3,2))</f>
        <v>86971.4</v>
      </c>
    </row>
    <row r="28" spans="1:19">
      <c r="A28" s="2261"/>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1958</v>
      </c>
      <c r="C29" s="2265"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c r="A30" s="2261"/>
      <c r="B30" s="50"/>
      <c r="C30" s="2266" t="s">
        <v>1957</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7"/>
      <c r="B31" s="2268"/>
      <c r="C31" s="1007" t="s">
        <v>1961</v>
      </c>
      <c r="D31" s="729">
        <f>D27+D30</f>
        <v>43648.1</v>
      </c>
      <c r="E31" s="729">
        <f>E27+E30</f>
        <v>86971.4</v>
      </c>
      <c r="F31" s="730">
        <f>F27+F30</f>
        <v>86971.4</v>
      </c>
      <c r="G31" s="731">
        <f>G27+G30</f>
        <v>0</v>
      </c>
      <c r="H31" s="1392"/>
      <c r="I31" s="1392"/>
      <c r="J31" s="1392"/>
      <c r="K31" s="1392"/>
      <c r="L31" s="1392"/>
      <c r="M31" s="1392"/>
      <c r="N31" s="1392"/>
      <c r="O31" s="1392"/>
      <c r="P31" s="1392"/>
    </row>
    <row r="32" spans="1:19">
      <c r="A32" s="2231"/>
      <c r="B32" s="2231" t="s">
        <v>1962</v>
      </c>
      <c r="C32" s="2231"/>
      <c r="D32" s="2231"/>
      <c r="E32" s="1274">
        <f>SUMIF(C19:C26,"*住宅*",E19:E26)</f>
        <v>86971.4</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C23" sqref="AC23"/>
    </sheetView>
  </sheetViews>
  <sheetFormatPr baseColWidth="10" defaultColWidth="13.6640625" defaultRowHeight="13"/>
  <cols>
    <col min="1" max="1" width="20.83203125" style="2343" customWidth="1"/>
    <col min="2" max="2" width="12" style="2273" customWidth="1"/>
    <col min="3" max="3" width="10.6640625" style="2273" customWidth="1"/>
    <col min="4" max="4" width="9.1640625" style="2344" customWidth="1"/>
    <col min="5" max="5" width="15" style="2273" bestFit="1" customWidth="1"/>
    <col min="6" max="10" width="8.83203125" style="2273" customWidth="1"/>
    <col min="11" max="12" width="12.33203125" style="2187" customWidth="1"/>
    <col min="13" max="13" width="8.6640625" style="2273" customWidth="1"/>
    <col min="14" max="14" width="11.83203125" style="2273" customWidth="1"/>
    <col min="15" max="15" width="8.5" style="2273" customWidth="1"/>
    <col min="16" max="17" width="10.83203125" style="2273" customWidth="1"/>
    <col min="18" max="19" width="12.5" style="2273" customWidth="1"/>
    <col min="20" max="20" width="12.1640625" style="2273" customWidth="1"/>
    <col min="21" max="21" width="7.5" style="2273" customWidth="1"/>
    <col min="22" max="22" width="6.33203125" style="2273" customWidth="1"/>
    <col min="23" max="30" width="6.6640625" style="2273" customWidth="1"/>
    <col min="31" max="31" width="8" style="2273" customWidth="1"/>
    <col min="32" max="34" width="7.1640625" style="2273" customWidth="1"/>
    <col min="35" max="39" width="8" style="2273" customWidth="1"/>
    <col min="40" max="40" width="13.6640625" style="2272"/>
    <col min="41" max="41" width="11.6640625" style="2272" customWidth="1"/>
    <col min="42" max="42" width="9.6640625" style="2272" customWidth="1"/>
    <col min="43" max="67" width="13.6640625" style="2272"/>
    <col min="68" max="16384" width="13.6640625" style="2273"/>
  </cols>
  <sheetData>
    <row r="1" spans="1:67" ht="19" thickBot="1">
      <c r="A1" s="2270" t="s">
        <v>1963</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6" thickBot="1">
      <c r="A2" s="2274" t="s">
        <v>1964</v>
      </c>
      <c r="B2" s="1266">
        <f>项目基本情况!D3</f>
        <v>43847</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6"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2" t="s">
        <v>1969</v>
      </c>
      <c r="AA4" s="2242"/>
      <c r="AB4" s="2242"/>
      <c r="AC4" s="2242"/>
      <c r="AD4" s="2242"/>
      <c r="AE4" s="2240" t="s">
        <v>1970</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5">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2" t="s">
        <v>2005</v>
      </c>
      <c r="AP5" s="1249"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
      <c r="A6" s="2304" t="str">
        <f>'数据-汇总表'!C19</f>
        <v>住宅</v>
      </c>
      <c r="B6" s="2305" t="str">
        <f>IF(A6=0,"","经营性")</f>
        <v>经营性</v>
      </c>
      <c r="C6" s="2306"/>
      <c r="D6" s="1051">
        <f>SUMIF(项目基本情况!D$12:I$12,C6,项目基本情况!D$14:I$14)</f>
        <v>0</v>
      </c>
      <c r="E6" s="1048">
        <f>IF(B6="","",SUMIF(项目基本情况!D$12:I$12,C6,项目基本情况!D$13:I$13))</f>
        <v>0</v>
      </c>
      <c r="F6" s="72">
        <f>SUMIF(项目基本情况!D$12:I$12,C6,项目基本情况!D$15:I$15)</f>
        <v>0</v>
      </c>
      <c r="G6" s="73">
        <f t="shared" ref="G6:G13" si="0">IF(ISERROR(ROUND(POWER(1+H6,D6-F6)*(POWER(1+H6,F6)-1)/(POWER(1+H6,D6)-1),3)),0,ROUND(POWER(1+H6,D6-F6)*(POWER(1+H6,F6)-1)/(POWER(1+H6,D6)-1),3))</f>
        <v>0</v>
      </c>
      <c r="H6" s="802"/>
      <c r="I6" s="802"/>
      <c r="J6" s="74"/>
      <c r="K6" s="1251">
        <f>SUMIF('数据-汇总表'!C$19:C$33,A6,'数据-汇总表'!E$19:E$33)</f>
        <v>86971.4</v>
      </c>
      <c r="L6" s="803"/>
      <c r="M6" s="75">
        <f t="shared" ref="M6:M14" si="1">ROUND(K6*L6/10000,0)</f>
        <v>0</v>
      </c>
      <c r="N6" s="801"/>
      <c r="O6" s="75">
        <f>IF($N$5="成新度","——",ROUND(M6*N6,0))</f>
        <v>0</v>
      </c>
      <c r="P6" s="76">
        <f>IF($N$5="成新度","——",M6-O6)</f>
        <v>0</v>
      </c>
      <c r="Q6" s="804"/>
      <c r="R6" s="77">
        <f ca="1">SUMIF('数据-汇总表'!C$19:C$33,A6,'数据-汇总表'!R$19:R$27)</f>
        <v>43648.1</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7"/>
      <c r="AO6" s="55" t="e">
        <f ca="1">SUMIF(INDIRECT("'"&amp;AN6&amp;"'"&amp;"!A:A"),"总价",INDIRECT("'"&amp;AN6&amp;"'"&amp;"!B:B"))</f>
        <v>#REF!</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
      <c r="A7" s="2304">
        <f>'数据-汇总表'!C20</f>
        <v>0</v>
      </c>
      <c r="B7" s="2305" t="str">
        <f t="shared" ref="B7:B13" si="2">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si="0"/>
        <v>0</v>
      </c>
      <c r="H7" s="802"/>
      <c r="I7" s="802"/>
      <c r="J7" s="74"/>
      <c r="K7" s="1251">
        <f>SUMIF('数据-汇总表'!C$19:C$33,A7,'数据-汇总表'!E$19:E$33)</f>
        <v>0</v>
      </c>
      <c r="L7" s="803"/>
      <c r="M7" s="75">
        <f t="shared" si="1"/>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
      <c r="A8" s="2304">
        <f>'数据-汇总表'!C21</f>
        <v>0</v>
      </c>
      <c r="B8" s="2305" t="str">
        <f t="shared" si="2"/>
        <v/>
      </c>
      <c r="C8" s="2306"/>
      <c r="D8" s="1051">
        <f>SUMIF(项目基本情况!D$12:I$12,C8,项目基本情况!D$14:I$14)</f>
        <v>0</v>
      </c>
      <c r="E8" s="1048" t="str">
        <f>IF(B8="","",SUMIF(项目基本情况!D$12:I$12,C8,项目基本情况!D$13:I$13))</f>
        <v/>
      </c>
      <c r="F8" s="72">
        <f>SUMIF(项目基本情况!D$12:I$12,C8,项目基本情况!D$15:I$15)</f>
        <v>0</v>
      </c>
      <c r="G8" s="73">
        <f t="shared" si="0"/>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
      <c r="A9" s="2304">
        <f>'数据-汇总表'!C22</f>
        <v>0</v>
      </c>
      <c r="B9" s="2305" t="str">
        <f t="shared" si="2"/>
        <v/>
      </c>
      <c r="C9" s="2306"/>
      <c r="D9" s="1051">
        <f>SUMIF(项目基本情况!D$12:I$12,C9,项目基本情况!D$14:I$14)</f>
        <v>0</v>
      </c>
      <c r="E9" s="1048" t="str">
        <f>IF(B9="","",SUMIF(项目基本情况!D$12:I$12,C9,项目基本情况!D$13:I$13))</f>
        <v/>
      </c>
      <c r="F9" s="72">
        <f>SUMIF(项目基本情况!D$12:I$12,C9,项目基本情况!D$15:I$15)</f>
        <v>0</v>
      </c>
      <c r="G9" s="73">
        <f t="shared" si="0"/>
        <v>0</v>
      </c>
      <c r="H9" s="74"/>
      <c r="I9" s="74"/>
      <c r="J9" s="74"/>
      <c r="K9" s="1251">
        <f>SUMIF('数据-汇总表'!C$19:C$33,A9,'数据-汇总表'!E$19:E$33)</f>
        <v>0</v>
      </c>
      <c r="L9" s="803"/>
      <c r="M9" s="75">
        <f t="shared" si="1"/>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
      <c r="A10" s="2304">
        <f>'数据-汇总表'!C23</f>
        <v>0</v>
      </c>
      <c r="B10" s="2305" t="str">
        <f t="shared" si="2"/>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0"/>
        <v>0</v>
      </c>
      <c r="H10" s="74"/>
      <c r="I10" s="74"/>
      <c r="J10" s="74"/>
      <c r="K10" s="1251">
        <f>SUMIF('数据-汇总表'!C$19:C$33,A10,'数据-汇总表'!E$19:E$33)</f>
        <v>0</v>
      </c>
      <c r="L10" s="803"/>
      <c r="M10" s="75">
        <f t="shared" si="1"/>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
      <c r="A11" s="2304">
        <f>'数据-汇总表'!C24</f>
        <v>0</v>
      </c>
      <c r="B11" s="2305" t="str">
        <f t="shared" si="2"/>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0"/>
        <v>0</v>
      </c>
      <c r="H11" s="74"/>
      <c r="I11" s="74"/>
      <c r="J11" s="74"/>
      <c r="K11" s="1251">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
      <c r="A12" s="2304">
        <f>'数据-汇总表'!C25</f>
        <v>0</v>
      </c>
      <c r="B12" s="2305" t="str">
        <f t="shared" si="2"/>
        <v/>
      </c>
      <c r="C12" s="2306"/>
      <c r="D12" s="1051">
        <f>SUMIF(项目基本情况!D$12:I$12,C12,项目基本情况!D$14:I$14)</f>
        <v>0</v>
      </c>
      <c r="E12" s="1048" t="str">
        <f>IF(B12="","",SUMIF(项目基本情况!D$12:I$12,C12,项目基本情况!D$13:I$13))</f>
        <v/>
      </c>
      <c r="F12" s="72">
        <f>SUMIF(项目基本情况!D$12:I$12,C12,项目基本情况!D$15:I$15)</f>
        <v>0</v>
      </c>
      <c r="G12" s="73">
        <f t="shared" si="0"/>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
      <c r="A13" s="2304">
        <f>'数据-汇总表'!C26</f>
        <v>0</v>
      </c>
      <c r="B13" s="2305" t="str">
        <f t="shared" si="2"/>
        <v/>
      </c>
      <c r="C13" s="2306"/>
      <c r="D13" s="1051">
        <f>SUMIF(项目基本情况!D$12:I$12,C13,项目基本情况!D$14:I$14)</f>
        <v>0</v>
      </c>
      <c r="E13" s="1048" t="str">
        <f>IF(B13="","",SUMIF(项目基本情况!D$12:I$12,C13,项目基本情况!D$13:I$13))</f>
        <v/>
      </c>
      <c r="F13" s="72">
        <f>SUMIF(项目基本情况!D$12:I$12,C13,项目基本情况!D$15:I$15)</f>
        <v>0</v>
      </c>
      <c r="G13" s="73">
        <f t="shared" si="0"/>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5">
      <c r="A14" s="2309" t="s">
        <v>2009</v>
      </c>
      <c r="B14" s="2305" t="s">
        <v>2010</v>
      </c>
      <c r="C14" s="2310" t="s">
        <v>2009</v>
      </c>
      <c r="D14" s="1051"/>
      <c r="E14" s="1048"/>
      <c r="F14" s="72"/>
      <c r="G14" s="73"/>
      <c r="H14" s="1250"/>
      <c r="I14" s="1250"/>
      <c r="J14" s="1250"/>
      <c r="K14" s="1251">
        <f>SUMIF('数据-汇总表'!C$19:C$33,A14,'数据-汇总表'!E$19:E$33)</f>
        <v>0</v>
      </c>
      <c r="L14" s="91"/>
      <c r="M14" s="75">
        <f t="shared" si="1"/>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30">
      <c r="A15" s="2309" t="s">
        <v>2011</v>
      </c>
      <c r="B15" s="2305" t="s">
        <v>2010</v>
      </c>
      <c r="C15" s="2310"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6" thickBot="1">
      <c r="A16" s="2311" t="s">
        <v>2013</v>
      </c>
      <c r="B16" s="97"/>
      <c r="C16" s="1005"/>
      <c r="D16" s="2312"/>
      <c r="E16" s="97"/>
      <c r="F16" s="97"/>
      <c r="G16" s="98" t="e">
        <f>ROUND(SUMPRODUCT(G6:G13,K6:K13)/SUMPRODUCT((G6:G13&gt;0)*(K6:K13)),3)</f>
        <v>#DIV/0!</v>
      </c>
      <c r="H16" s="99" t="e">
        <f>ROUND(SUMPRODUCT(H6:H13,K6:K13)/SUMPRODUCT((H6:H13&gt;0)*(K6:K13)),3)</f>
        <v>#DIV/0!</v>
      </c>
      <c r="I16" s="100"/>
      <c r="J16" s="100"/>
      <c r="K16" s="101">
        <f>SUM(K6:K15)</f>
        <v>86971.4</v>
      </c>
      <c r="L16" s="102">
        <f>ROUND(M16*10000/SUM(K6:K14),0)</f>
        <v>0</v>
      </c>
      <c r="M16" s="102">
        <f>SUM(M6:M14)</f>
        <v>0</v>
      </c>
      <c r="N16" s="103" t="e">
        <f>ROUND(SUMPRODUCT(M6:M14,N6:N14)/M16,3)</f>
        <v>#DIV/0!</v>
      </c>
      <c r="O16" s="102">
        <f>SUM(O6:O14)</f>
        <v>0</v>
      </c>
      <c r="P16" s="102">
        <f>SUM(P6:P14)</f>
        <v>0</v>
      </c>
      <c r="Q16" s="104" t="e">
        <f>ROUND(SUMPRODUCT(Q6:Q13,K6:K13)/SUMPRODUCT((Q6:Q13&gt;0)*(K6:K13)),2)</f>
        <v>#DIV/0!</v>
      </c>
      <c r="R16" s="1255">
        <f ca="1">SUM(R6:R13)</f>
        <v>43648.1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4"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6" thickBot="1">
      <c r="A18" s="68" t="s">
        <v>2014</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5">
      <c r="A19" s="2314" t="s">
        <v>2015</v>
      </c>
      <c r="B19" s="112"/>
      <c r="C19" s="2275" t="s">
        <v>2016</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5">
      <c r="A20" s="2315" t="s">
        <v>2017</v>
      </c>
      <c r="B20" s="113"/>
      <c r="C20" s="2275" t="s">
        <v>2018</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5">
      <c r="A21" s="2316" t="s">
        <v>2019</v>
      </c>
      <c r="B21" s="113"/>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5">
      <c r="A22" s="2315" t="s">
        <v>2020</v>
      </c>
      <c r="B22" s="114">
        <f>B19+B20</f>
        <v>0</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5">
      <c r="A23" s="2316" t="s">
        <v>2021</v>
      </c>
      <c r="B23" s="114">
        <f>B19+B21</f>
        <v>0</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6" thickBot="1">
      <c r="A24" s="2317" t="s">
        <v>2022</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6" thickBot="1">
      <c r="A26" s="2274" t="s">
        <v>2023</v>
      </c>
      <c r="B26" s="2318" t="s">
        <v>2024</v>
      </c>
      <c r="C26" s="2319" t="s">
        <v>2025</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30">
      <c r="A27" s="2320" t="s">
        <v>2026</v>
      </c>
      <c r="B27" s="116"/>
      <c r="C27" s="1764" t="s">
        <v>2027</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30">
      <c r="A28" s="2323" t="s">
        <v>2028</v>
      </c>
      <c r="B28" s="119"/>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31" thickBot="1">
      <c r="A29" s="2325" t="s">
        <v>2029</v>
      </c>
      <c r="B29" s="121"/>
      <c r="C29" s="1764" t="s">
        <v>2030</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30">
      <c r="A30" s="2326" t="s">
        <v>2031</v>
      </c>
      <c r="B30" s="724"/>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30">
      <c r="A31" s="2323" t="s">
        <v>2032</v>
      </c>
      <c r="B31" s="120">
        <f>B30-B32</f>
        <v>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31" thickBot="1">
      <c r="A32" s="2327" t="s">
        <v>2033</v>
      </c>
      <c r="B32" s="725"/>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5">
      <c r="A33" s="2320" t="s">
        <v>2034</v>
      </c>
      <c r="B33" s="726"/>
      <c r="C33" s="1763" t="s">
        <v>2035</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5">
      <c r="A34" s="2323" t="s">
        <v>2036</v>
      </c>
      <c r="B34" s="122"/>
      <c r="C34" s="1763" t="s">
        <v>2037</v>
      </c>
      <c r="D34" s="2276" t="s">
        <v>2038</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5">
      <c r="A35" s="2323" t="s">
        <v>2039</v>
      </c>
      <c r="B35" s="119"/>
      <c r="C35" s="1763" t="s">
        <v>2040</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6" thickBot="1">
      <c r="A36" s="2325" t="s">
        <v>2041</v>
      </c>
      <c r="B36" s="123"/>
      <c r="C36" s="1763" t="s">
        <v>2042</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5">
      <c r="A37" s="2326" t="s">
        <v>2043</v>
      </c>
      <c r="B37" s="124"/>
      <c r="C37" s="1763" t="s">
        <v>2044</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5">
      <c r="A38" s="2323" t="s">
        <v>2045</v>
      </c>
      <c r="B38" s="122"/>
      <c r="C38" s="1763" t="s">
        <v>2044</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5">
      <c r="A39" s="2327" t="s">
        <v>2046</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6" thickBot="1">
      <c r="A40" s="2327" t="s">
        <v>2047</v>
      </c>
      <c r="B40" s="1300" t="e">
        <f ca="1">存贷款利率!G1</f>
        <v>#VALUE!</v>
      </c>
      <c r="C40" s="1763" t="s">
        <v>2048</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5">
      <c r="A41" s="2320" t="s">
        <v>2049</v>
      </c>
      <c r="B41" s="125">
        <f>B42+B43</f>
        <v>0</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5">
      <c r="A42" s="2328" t="s">
        <v>2050</v>
      </c>
      <c r="B42" s="126"/>
      <c r="C42" s="2329">
        <f>IF(B2&lt;DATE(2016,5,1),0,B42)</f>
        <v>0</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5">
      <c r="A43" s="2328" t="s">
        <v>2051</v>
      </c>
      <c r="B43" s="127">
        <f>B42*(B44+B45+B46)+B47</f>
        <v>0</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5">
      <c r="A44" s="2330" t="s">
        <v>2052</v>
      </c>
      <c r="B44" s="128"/>
      <c r="C44" s="1763" t="s">
        <v>2053</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5">
      <c r="A45" s="2330" t="s">
        <v>2054</v>
      </c>
      <c r="B45" s="126"/>
      <c r="C45" s="1764" t="s">
        <v>2055</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5">
      <c r="A46" s="2330" t="s">
        <v>2056</v>
      </c>
      <c r="B46" s="126"/>
      <c r="C46" s="1764" t="s">
        <v>2057</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6" thickBot="1">
      <c r="A47" s="2331" t="s">
        <v>2058</v>
      </c>
      <c r="B47" s="129"/>
      <c r="C47" s="1764" t="s">
        <v>2059</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5">
      <c r="A48" s="2332" t="s">
        <v>2060</v>
      </c>
      <c r="B48" s="130"/>
      <c r="C48" s="1771" t="s">
        <v>2061</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6" thickBot="1">
      <c r="A49" s="2327" t="s">
        <v>2062</v>
      </c>
      <c r="B49" s="126"/>
      <c r="C49" s="1771" t="s">
        <v>2063</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5">
      <c r="A50" s="2333" t="s">
        <v>2064</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6" thickBot="1">
      <c r="A51" s="2325" t="s">
        <v>2065</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5">
      <c r="A52" s="2333" t="s">
        <v>2066</v>
      </c>
      <c r="B52" s="133">
        <f>SUMIF(A54:A63,B53,B54:B63)</f>
        <v>0</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30">
      <c r="A53" s="2323" t="s">
        <v>2067</v>
      </c>
      <c r="B53" s="2334"/>
      <c r="C53" s="1427" t="s">
        <v>2068</v>
      </c>
      <c r="D53" s="2335" t="s">
        <v>2069</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5">
      <c r="A54" s="2336" t="s">
        <v>2070</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5">
      <c r="A55" s="2336" t="s">
        <v>2071</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5">
      <c r="A56" s="2336" t="s">
        <v>2072</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5">
      <c r="A57" s="2336" t="s">
        <v>2073</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5">
      <c r="A58" s="2336" t="s">
        <v>2074</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5">
      <c r="A59" s="2336" t="s">
        <v>2075</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5">
      <c r="A60" s="2336" t="s">
        <v>2076</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5">
      <c r="A61" s="2336" t="s">
        <v>2077</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5">
      <c r="A62" s="2336" t="s">
        <v>2078</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6" thickBot="1">
      <c r="A63" s="2338" t="s">
        <v>2079</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4"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baseColWidth="10" defaultColWidth="9" defaultRowHeight="14"/>
  <cols>
    <col min="1" max="1" width="9.5" style="2366" customWidth="1"/>
    <col min="2" max="2" width="24.5" style="2412" customWidth="1"/>
    <col min="3" max="3" width="24.5" style="2411" customWidth="1"/>
    <col min="4" max="4" width="2.6640625" style="2411" customWidth="1"/>
    <col min="5" max="5" width="5.83203125" style="2411" customWidth="1"/>
    <col min="6" max="6" width="27" style="2412" customWidth="1"/>
    <col min="7" max="7" width="27" style="2413" customWidth="1"/>
    <col min="8" max="8" width="11.83203125" style="2391" customWidth="1"/>
    <col min="9" max="9" width="16.6640625" style="2392" customWidth="1"/>
    <col min="10" max="10" width="2.6640625" style="2391" customWidth="1"/>
    <col min="11" max="11" width="11.83203125" style="2391" customWidth="1"/>
    <col min="12" max="12" width="16.6640625" style="2392" customWidth="1"/>
    <col min="13" max="13" width="2.6640625" style="2391" customWidth="1"/>
    <col min="14" max="14" width="11.83203125" style="2391" customWidth="1"/>
    <col min="15" max="15" width="16.6640625" style="2392" customWidth="1"/>
    <col min="16" max="16" width="2.6640625" style="2391" customWidth="1"/>
    <col min="17" max="17" width="11.83203125" style="2391" customWidth="1"/>
    <col min="18" max="18" width="16.6640625" style="2393" customWidth="1"/>
    <col min="19" max="29" width="9" style="2365"/>
    <col min="30" max="16384" width="9" style="2366"/>
  </cols>
  <sheetData>
    <row r="1" spans="1:29" s="2359" customFormat="1" ht="19" thickBot="1">
      <c r="A1" s="3084" t="s">
        <v>2080</v>
      </c>
      <c r="B1" s="3085"/>
      <c r="C1" s="3085"/>
      <c r="D1" s="3085"/>
      <c r="E1" s="3085"/>
      <c r="F1" s="3085"/>
      <c r="G1" s="308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 thickBot="1">
      <c r="A2" s="2360"/>
      <c r="B2" s="2361"/>
      <c r="C2" s="2362" t="s">
        <v>2081</v>
      </c>
      <c r="D2" s="2363"/>
      <c r="E2" s="2364"/>
      <c r="F2" s="2284"/>
      <c r="G2" s="2362" t="s">
        <v>2082</v>
      </c>
      <c r="H2" s="2365"/>
      <c r="I2" s="2365"/>
      <c r="J2" s="2365"/>
      <c r="K2" s="2365"/>
      <c r="L2" s="2365"/>
      <c r="M2" s="2365"/>
      <c r="N2" s="2365"/>
      <c r="O2" s="2365"/>
      <c r="P2" s="2365"/>
      <c r="Q2" s="2365"/>
      <c r="R2" s="2365"/>
    </row>
    <row r="3" spans="1:29" ht="135">
      <c r="A3" s="415" t="s">
        <v>2083</v>
      </c>
      <c r="B3" s="1268" t="s">
        <v>2084</v>
      </c>
      <c r="C3" s="2958" t="s">
        <v>3080</v>
      </c>
      <c r="D3" s="2367"/>
      <c r="E3" s="431" t="s">
        <v>2083</v>
      </c>
      <c r="F3" s="2368" t="s">
        <v>2085</v>
      </c>
      <c r="G3" s="2369" t="s">
        <v>2086</v>
      </c>
      <c r="H3" s="2365"/>
      <c r="I3" s="2365"/>
      <c r="J3" s="2365"/>
      <c r="K3" s="2365"/>
      <c r="L3" s="2365"/>
      <c r="M3" s="2365"/>
      <c r="N3" s="2365"/>
      <c r="O3" s="2365"/>
      <c r="P3" s="2365"/>
      <c r="Q3" s="2365"/>
      <c r="R3" s="2365"/>
    </row>
    <row r="4" spans="1:29" ht="45">
      <c r="A4" s="431"/>
      <c r="B4" s="1795" t="s">
        <v>2087</v>
      </c>
      <c r="C4" s="2370" t="s">
        <v>2088</v>
      </c>
      <c r="D4" s="2367"/>
      <c r="E4" s="2371"/>
      <c r="F4" s="42" t="s">
        <v>2089</v>
      </c>
      <c r="G4" s="2372" t="s">
        <v>2090</v>
      </c>
      <c r="H4" s="2365"/>
      <c r="I4" s="2365"/>
      <c r="J4" s="2365"/>
      <c r="K4" s="2365"/>
      <c r="L4" s="2365"/>
      <c r="M4" s="2365"/>
      <c r="N4" s="2365"/>
      <c r="O4" s="2365"/>
      <c r="P4" s="2365"/>
      <c r="Q4" s="2365"/>
      <c r="R4" s="2365"/>
    </row>
    <row r="5" spans="1:29" ht="45">
      <c r="A5" s="431"/>
      <c r="B5" s="1795" t="s">
        <v>2091</v>
      </c>
      <c r="C5" s="2370" t="s">
        <v>2092</v>
      </c>
      <c r="D5" s="2367"/>
      <c r="E5" s="2371"/>
      <c r="F5" s="1795" t="s">
        <v>2093</v>
      </c>
      <c r="G5" s="2372" t="s">
        <v>2094</v>
      </c>
      <c r="H5" s="2365"/>
      <c r="I5" s="2365"/>
      <c r="J5" s="2365"/>
      <c r="K5" s="2365"/>
      <c r="L5" s="2365"/>
      <c r="M5" s="2365"/>
      <c r="N5" s="2365"/>
      <c r="O5" s="2365"/>
      <c r="P5" s="2365"/>
      <c r="Q5" s="2365"/>
      <c r="R5" s="2365"/>
    </row>
    <row r="6" spans="1:29" ht="75">
      <c r="A6" s="431"/>
      <c r="B6" s="1795" t="s">
        <v>2095</v>
      </c>
      <c r="C6" s="2959" t="s">
        <v>3121</v>
      </c>
      <c r="D6" s="2367"/>
      <c r="E6" s="2371"/>
      <c r="F6" s="1795" t="s">
        <v>2096</v>
      </c>
      <c r="G6" s="2372" t="s">
        <v>2097</v>
      </c>
      <c r="H6" s="2365"/>
      <c r="I6" s="2365"/>
      <c r="J6" s="2365"/>
      <c r="K6" s="2365"/>
      <c r="L6" s="2365"/>
      <c r="M6" s="2365"/>
      <c r="N6" s="2365"/>
      <c r="O6" s="2365"/>
      <c r="P6" s="2365"/>
      <c r="Q6" s="2365"/>
      <c r="R6" s="2365"/>
    </row>
    <row r="7" spans="1:29" ht="46" thickBot="1">
      <c r="A7" s="431"/>
      <c r="B7" s="1795" t="s">
        <v>2093</v>
      </c>
      <c r="C7" s="2959" t="s">
        <v>3081</v>
      </c>
      <c r="D7" s="2373"/>
      <c r="E7" s="2374"/>
      <c r="F7" s="2375" t="s">
        <v>2098</v>
      </c>
      <c r="G7" s="2376" t="s">
        <v>2099</v>
      </c>
      <c r="H7" s="2365"/>
      <c r="I7" s="2365"/>
      <c r="J7" s="2365"/>
      <c r="K7" s="2365"/>
      <c r="L7" s="2365"/>
      <c r="M7" s="2365"/>
      <c r="N7" s="2365"/>
      <c r="O7" s="2365"/>
      <c r="P7" s="2365"/>
      <c r="Q7" s="2365"/>
      <c r="R7" s="2365"/>
    </row>
    <row r="8" spans="1:29" ht="15">
      <c r="A8" s="431"/>
      <c r="B8" s="1795" t="s">
        <v>2096</v>
      </c>
      <c r="C8" s="2959" t="s">
        <v>3082</v>
      </c>
      <c r="D8" s="2373"/>
      <c r="E8" s="2373"/>
      <c r="F8" s="1133"/>
      <c r="G8" s="1133"/>
      <c r="H8" s="2365"/>
      <c r="I8" s="2365"/>
      <c r="J8" s="2365"/>
      <c r="K8" s="2365"/>
      <c r="L8" s="2365"/>
      <c r="M8" s="2365"/>
      <c r="N8" s="2365"/>
      <c r="O8" s="2365"/>
      <c r="P8" s="2365"/>
      <c r="Q8" s="2365"/>
      <c r="R8" s="2365"/>
    </row>
    <row r="9" spans="1:29" ht="75">
      <c r="A9" s="431"/>
      <c r="B9" s="1795" t="s">
        <v>2100</v>
      </c>
      <c r="C9" s="2960" t="s">
        <v>3122</v>
      </c>
      <c r="D9" s="2367"/>
      <c r="E9" s="2373"/>
      <c r="F9" s="1133"/>
      <c r="G9" s="1133"/>
      <c r="H9" s="2365"/>
      <c r="I9" s="2365"/>
      <c r="J9" s="2365"/>
      <c r="K9" s="2365"/>
      <c r="L9" s="2365"/>
      <c r="M9" s="2365"/>
      <c r="N9" s="2365"/>
      <c r="O9" s="2365"/>
      <c r="P9" s="2365"/>
      <c r="Q9" s="2365"/>
      <c r="R9" s="2365"/>
    </row>
    <row r="10" spans="1:29" s="117" customFormat="1" ht="16" thickBot="1">
      <c r="A10" s="2377"/>
      <c r="B10" s="2378" t="s">
        <v>2101</v>
      </c>
      <c r="C10" s="2961" t="s">
        <v>3083</v>
      </c>
      <c r="D10" s="2367"/>
      <c r="E10" s="2367"/>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c r="A11" s="2382"/>
      <c r="B11" s="2373"/>
      <c r="C11" s="2367"/>
      <c r="D11" s="2367"/>
      <c r="E11" s="2367"/>
      <c r="F11" s="2373"/>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7"/>
      <c r="D12" s="2383"/>
      <c r="E12" s="2367"/>
      <c r="F12" s="2373"/>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 thickBot="1">
      <c r="A13" s="2389" t="s">
        <v>2102</v>
      </c>
      <c r="B13" s="2383"/>
      <c r="C13" s="2383"/>
      <c r="D13" s="2390"/>
      <c r="E13" s="2383"/>
      <c r="F13" s="2383"/>
      <c r="G13" s="2383"/>
    </row>
    <row r="14" spans="1:29" ht="16" thickBot="1">
      <c r="A14" s="2394"/>
      <c r="B14" s="2395"/>
      <c r="C14" s="2396" t="s">
        <v>2103</v>
      </c>
      <c r="D14" s="2367"/>
      <c r="E14" s="2397"/>
      <c r="F14" s="2397"/>
      <c r="G14" s="2362" t="s">
        <v>2104</v>
      </c>
    </row>
    <row r="15" spans="1:29" ht="135">
      <c r="A15" s="68" t="s">
        <v>2105</v>
      </c>
      <c r="B15" s="1267" t="s">
        <v>2084</v>
      </c>
      <c r="C15" s="2398" t="str">
        <f>C3</f>
        <v>估价对象周边居住用地比例较高、居住小区规模较大但大部分社区正在发展完善中，周边已建成项目有南海家园社区、金茂悦、海梓府等，在建项目有金隅学府、和悦华锦、中铁国际公馆等，综合评价居住社区成熟度较好。</v>
      </c>
      <c r="D15" s="2367"/>
      <c r="E15" s="2399" t="s">
        <v>2106</v>
      </c>
      <c r="F15" s="1267" t="s">
        <v>2107</v>
      </c>
      <c r="G15" s="135" t="str">
        <f>G3</f>
        <v>估价对象位于XX开发区，园区建设成熟度XX，产业集聚程度XX</v>
      </c>
    </row>
    <row r="16" spans="1:29" ht="45">
      <c r="A16" s="645"/>
      <c r="B16" s="2400" t="s">
        <v>2087</v>
      </c>
      <c r="C16" s="2401" t="str">
        <f>C4</f>
        <v>估价对象位于XX商圈，周边商业氛围成熟，人流量大，商业繁华度好</v>
      </c>
      <c r="D16" s="2367"/>
      <c r="E16" s="2402"/>
      <c r="F16" s="2403" t="s">
        <v>2089</v>
      </c>
      <c r="G16" s="136" t="str">
        <f>G4</f>
        <v>估价对象周边道路状况、公共交通通达情况、停车便捷程度，综合评价交通便捷度较好</v>
      </c>
    </row>
    <row r="17" spans="1:18" ht="45">
      <c r="A17" s="645"/>
      <c r="B17" s="2400" t="s">
        <v>2091</v>
      </c>
      <c r="C17" s="2401" t="str">
        <f>C5</f>
        <v>估价对象位于XX商圈，周边办公楼项目较多，入驻率高，办公集聚程度较好</v>
      </c>
      <c r="D17" s="2373"/>
      <c r="E17" s="2402"/>
      <c r="F17" s="2403" t="s">
        <v>2108</v>
      </c>
      <c r="G17" s="1569"/>
    </row>
    <row r="18" spans="1:18" ht="75">
      <c r="A18" s="645"/>
      <c r="B18" s="2403" t="s">
        <v>2095</v>
      </c>
      <c r="C18" s="136" t="str">
        <f>C6</f>
        <v>估价对象周边有开发区3路、快速直达专线181路、578路多条公交线路，距地铁8号线（瀛海站）约4公里，综合评价交通便捷度一般。</v>
      </c>
      <c r="D18" s="2373"/>
      <c r="E18" s="2402"/>
      <c r="F18" s="2403" t="s">
        <v>2098</v>
      </c>
      <c r="G18" s="136" t="str">
        <f>G7</f>
        <v>该园区内是否有污染型企业，绿化情况，卫生条件，整体环境状况判断</v>
      </c>
    </row>
    <row r="19" spans="1:18" ht="30">
      <c r="A19" s="645"/>
      <c r="B19" s="2403" t="s">
        <v>2109</v>
      </c>
      <c r="C19" s="1569"/>
      <c r="D19" s="2367"/>
      <c r="E19" s="2402"/>
      <c r="F19" s="1795" t="s">
        <v>2093</v>
      </c>
      <c r="G19" s="136" t="str">
        <f>G5</f>
        <v>估价对象所在区域公共配套设施齐备情况</v>
      </c>
    </row>
    <row r="20" spans="1:18" ht="75">
      <c r="A20" s="645"/>
      <c r="B20" s="2403" t="s">
        <v>2110</v>
      </c>
      <c r="C20" s="2401" t="str">
        <f>C9</f>
        <v>区域自然环境：体育公园、南海子公园、凉水河；人文环境：北京电子科技职业学院(亦庄校区)；综合评价环境状况一般</v>
      </c>
      <c r="D20" s="2373"/>
      <c r="E20" s="2402"/>
      <c r="F20" s="1795" t="s">
        <v>2111</v>
      </c>
      <c r="G20" s="136" t="str">
        <f>G6</f>
        <v>估价对象所在区域基础设施水平</v>
      </c>
    </row>
    <row r="21" spans="1:18" ht="30">
      <c r="A21" s="645"/>
      <c r="B21" s="1795" t="s">
        <v>2093</v>
      </c>
      <c r="C21" s="136" t="str">
        <f>C7</f>
        <v>估价对象所在区域公共配套设施齐备情况一般</v>
      </c>
      <c r="D21" s="2367"/>
      <c r="E21" s="2402"/>
      <c r="F21" s="2403" t="s">
        <v>2112</v>
      </c>
      <c r="G21" s="2404"/>
    </row>
    <row r="22" spans="1:18" ht="13.5" customHeight="1">
      <c r="A22" s="645"/>
      <c r="B22" s="1795" t="s">
        <v>2096</v>
      </c>
      <c r="C22" s="136" t="str">
        <f>C8</f>
        <v>七通</v>
      </c>
      <c r="D22" s="2367"/>
      <c r="E22" s="2402"/>
      <c r="F22" s="2403" t="s">
        <v>2101</v>
      </c>
      <c r="G22" s="1569"/>
    </row>
    <row r="23" spans="1:18" s="2365" customFormat="1" ht="16"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5" customFormat="1" ht="16" thickBot="1">
      <c r="A24" s="2408"/>
      <c r="B24" s="2406" t="s">
        <v>2114</v>
      </c>
      <c r="C24" s="137" t="str">
        <f>C10</f>
        <v>城市次干道——兴海路</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B14" sqref="B14"/>
    </sheetView>
  </sheetViews>
  <sheetFormatPr baseColWidth="10" defaultColWidth="9" defaultRowHeight="14"/>
  <cols>
    <col min="1" max="1" width="23.33203125" style="1738" customWidth="1"/>
    <col min="2" max="9" width="15.6640625" style="1738" customWidth="1"/>
    <col min="10" max="16384" width="9" style="1738"/>
  </cols>
  <sheetData>
    <row r="1" spans="1:10" ht="18">
      <c r="A1" s="1743" t="s">
        <v>1360</v>
      </c>
      <c r="B1" s="1743">
        <f>SUM(B14:B23)</f>
        <v>0</v>
      </c>
      <c r="C1" s="1742"/>
      <c r="D1" s="1742"/>
      <c r="E1" s="1742"/>
      <c r="F1" s="1742"/>
      <c r="G1" s="1740"/>
    </row>
    <row r="2" spans="1:10" ht="18">
      <c r="A2" s="1743" t="s">
        <v>1348</v>
      </c>
      <c r="B2" s="1743">
        <f>SUM(C14:C23)</f>
        <v>0</v>
      </c>
      <c r="C2" s="1742"/>
      <c r="D2" s="1742"/>
      <c r="E2" s="1742"/>
      <c r="F2" s="1742"/>
      <c r="G2" s="1740"/>
    </row>
    <row r="3" spans="1:10" ht="18">
      <c r="A3" s="1743" t="s">
        <v>1357</v>
      </c>
      <c r="B3" s="1744">
        <f>项目基本情况!D3</f>
        <v>43847</v>
      </c>
      <c r="C3" s="1742"/>
      <c r="D3" s="1742"/>
      <c r="E3" s="1742"/>
      <c r="F3" s="1742"/>
      <c r="G3" s="1740"/>
    </row>
    <row r="4" spans="1:10" ht="36">
      <c r="A4" s="1743" t="s">
        <v>1356</v>
      </c>
      <c r="B4" s="1743" t="s">
        <v>1355</v>
      </c>
      <c r="C4" s="1743" t="s">
        <v>1354</v>
      </c>
      <c r="D4" s="1743" t="s">
        <v>1353</v>
      </c>
      <c r="E4" s="1742"/>
      <c r="F4" s="1740"/>
      <c r="G4" s="1740"/>
    </row>
    <row r="5" spans="1:10" ht="18">
      <c r="A5" s="1743" t="s">
        <v>1352</v>
      </c>
      <c r="B5" s="1743">
        <f ca="1">SUM(D14:D23)</f>
        <v>453051</v>
      </c>
      <c r="C5" s="1743" t="e">
        <f ca="1">ROUND(B5*10000/$B$1,0)</f>
        <v>#DIV/0!</v>
      </c>
      <c r="D5" s="1743" t="e">
        <f ca="1">ROUND(B5*10000/$B$2,0)</f>
        <v>#DIV/0!</v>
      </c>
      <c r="E5" s="1742"/>
      <c r="F5" s="1740"/>
      <c r="G5" s="1740"/>
    </row>
    <row r="6" spans="1:10" ht="18">
      <c r="A6" s="1743" t="s">
        <v>1351</v>
      </c>
      <c r="B6" s="1743">
        <f ca="1">SUM(G14:G23)</f>
        <v>453051</v>
      </c>
      <c r="C6" s="1743" t="e">
        <f ca="1">ROUND(B6*10000/$B$1,0)</f>
        <v>#DIV/0!</v>
      </c>
      <c r="D6" s="1743" t="e">
        <f ca="1">ROUND(B6*10000/$B$2,0)</f>
        <v>#DIV/0!</v>
      </c>
      <c r="E6" s="1742"/>
      <c r="F6" s="1740"/>
      <c r="G6" s="1740"/>
    </row>
    <row r="7" spans="1:10" ht="18">
      <c r="A7" s="1743" t="s">
        <v>1359</v>
      </c>
      <c r="B7" s="1743">
        <f>SUM(H14:H23)</f>
        <v>0</v>
      </c>
      <c r="C7" s="1743" t="e">
        <f>ROUND(B7*10000/$B$1,0)</f>
        <v>#DIV/0!</v>
      </c>
      <c r="D7" s="1743" t="e">
        <f>ROUND(B7*10000/$B$2,0)</f>
        <v>#DIV/0!</v>
      </c>
      <c r="E7" s="1742"/>
      <c r="F7" s="1740"/>
      <c r="G7" s="1740"/>
    </row>
    <row r="8" spans="1:10" ht="18">
      <c r="A8" s="1743" t="s">
        <v>1280</v>
      </c>
      <c r="B8" s="1743">
        <f>SUM(I14:I23)</f>
        <v>0</v>
      </c>
      <c r="C8" s="1743" t="e">
        <f>ROUND(B8*10000/$B$1,0)</f>
        <v>#DIV/0!</v>
      </c>
      <c r="D8" s="1743" t="e">
        <f>ROUND(B8*10000/$B$2,0)</f>
        <v>#DIV/0!</v>
      </c>
      <c r="E8" s="1742"/>
      <c r="F8" s="1740"/>
      <c r="G8" s="1740"/>
    </row>
    <row r="9" spans="1:10" ht="18">
      <c r="A9" s="1743" t="s">
        <v>1350</v>
      </c>
      <c r="B9" s="1745"/>
      <c r="C9" s="1742"/>
      <c r="D9" s="1742"/>
      <c r="E9" s="1742"/>
      <c r="F9" s="1740"/>
      <c r="G9" s="1740"/>
    </row>
    <row r="10" spans="1:10" ht="18">
      <c r="A10" s="1743" t="s">
        <v>1349</v>
      </c>
      <c r="B10" s="1745"/>
      <c r="C10" s="1742"/>
      <c r="D10" s="1742"/>
      <c r="E10" s="1742"/>
      <c r="F10" s="1740"/>
      <c r="G10" s="1740"/>
    </row>
    <row r="11" spans="1:10" ht="18">
      <c r="A11" s="1743" t="s">
        <v>1365</v>
      </c>
      <c r="B11" s="1745"/>
      <c r="C11" s="1742"/>
      <c r="D11" s="1742"/>
      <c r="E11" s="1742"/>
      <c r="F11" s="1740"/>
      <c r="G11" s="1740"/>
    </row>
    <row r="12" spans="1:10" ht="17">
      <c r="A12" s="1742"/>
      <c r="B12" s="1742"/>
      <c r="C12" s="1742"/>
      <c r="D12" s="1742"/>
      <c r="E12" s="1742"/>
      <c r="F12" s="1740"/>
      <c r="G12" s="1740"/>
    </row>
    <row r="13" spans="1:10" ht="36">
      <c r="A13" s="1748" t="s">
        <v>1364</v>
      </c>
      <c r="B13" s="1741" t="s">
        <v>1361</v>
      </c>
      <c r="C13" s="1741" t="s">
        <v>1363</v>
      </c>
      <c r="D13" s="1741" t="s">
        <v>1362</v>
      </c>
      <c r="E13" s="1743" t="s">
        <v>1354</v>
      </c>
      <c r="F13" s="1743" t="s">
        <v>1353</v>
      </c>
      <c r="G13" s="1741" t="s">
        <v>1347</v>
      </c>
      <c r="H13" s="1741" t="s">
        <v>1358</v>
      </c>
      <c r="I13" s="1741" t="s">
        <v>1346</v>
      </c>
      <c r="J13" s="1740"/>
    </row>
    <row r="14" spans="1:10" ht="18">
      <c r="A14" s="1739" t="s">
        <v>1345</v>
      </c>
      <c r="B14" s="1741">
        <f>结果表!B118</f>
        <v>0</v>
      </c>
      <c r="C14" s="1741">
        <f>结果表!C118</f>
        <v>0</v>
      </c>
      <c r="D14" s="1741">
        <f ca="1">结果表!H118</f>
        <v>453051</v>
      </c>
      <c r="E14" s="1741" t="e">
        <f ca="1">ROUND(D14*10000/B14,0)</f>
        <v>#DIV/0!</v>
      </c>
      <c r="F14" s="1741" t="e">
        <f ca="1">ROUND(D14*10000/C14,0)</f>
        <v>#DIV/0!</v>
      </c>
      <c r="G14" s="1741">
        <f ca="1">结果表!D122</f>
        <v>453051</v>
      </c>
      <c r="H14" s="1741" t="str">
        <f>结果表!D124</f>
        <v>——</v>
      </c>
      <c r="I14" s="1741" t="str">
        <f>结果表!D126</f>
        <v>——</v>
      </c>
      <c r="J14" s="1740"/>
    </row>
    <row r="15" spans="1:10" ht="17">
      <c r="A15" s="1739" t="s">
        <v>1344</v>
      </c>
      <c r="B15" s="1746"/>
      <c r="C15" s="1746"/>
      <c r="D15" s="1746"/>
      <c r="E15" s="1741" t="e">
        <f t="shared" ref="E15:E23" si="0">ROUND(D15*10000/B15,0)</f>
        <v>#DIV/0!</v>
      </c>
      <c r="F15" s="1741" t="e">
        <f t="shared" ref="F15:F23" si="1">ROUND(D15*10000/C15,0)</f>
        <v>#DIV/0!</v>
      </c>
      <c r="G15" s="1747"/>
      <c r="H15" s="1747"/>
      <c r="I15" s="1746"/>
      <c r="J15" s="1740"/>
    </row>
    <row r="16" spans="1:10" ht="17">
      <c r="A16" s="1739" t="s">
        <v>1343</v>
      </c>
      <c r="B16" s="1746"/>
      <c r="C16" s="1746"/>
      <c r="D16" s="1746"/>
      <c r="E16" s="1741" t="e">
        <f t="shared" si="0"/>
        <v>#DIV/0!</v>
      </c>
      <c r="F16" s="1741" t="e">
        <f t="shared" si="1"/>
        <v>#DIV/0!</v>
      </c>
      <c r="G16" s="1747"/>
      <c r="H16" s="1747"/>
      <c r="I16" s="1746"/>
    </row>
    <row r="17" spans="1:9" ht="17">
      <c r="A17" s="1739" t="s">
        <v>1342</v>
      </c>
      <c r="B17" s="1746"/>
      <c r="C17" s="1746"/>
      <c r="D17" s="1746"/>
      <c r="E17" s="1741" t="e">
        <f t="shared" si="0"/>
        <v>#DIV/0!</v>
      </c>
      <c r="F17" s="1741" t="e">
        <f t="shared" si="1"/>
        <v>#DIV/0!</v>
      </c>
      <c r="G17" s="1747"/>
      <c r="H17" s="1747"/>
      <c r="I17" s="1746"/>
    </row>
    <row r="18" spans="1:9" ht="17">
      <c r="A18" s="1739" t="s">
        <v>1341</v>
      </c>
      <c r="B18" s="1746"/>
      <c r="C18" s="1746"/>
      <c r="D18" s="1746"/>
      <c r="E18" s="1741" t="e">
        <f t="shared" si="0"/>
        <v>#DIV/0!</v>
      </c>
      <c r="F18" s="1741" t="e">
        <f t="shared" si="1"/>
        <v>#DIV/0!</v>
      </c>
      <c r="G18" s="1746"/>
      <c r="H18" s="1746"/>
      <c r="I18" s="1746"/>
    </row>
    <row r="19" spans="1:9" ht="17">
      <c r="A19" s="1739" t="s">
        <v>1340</v>
      </c>
      <c r="B19" s="1746"/>
      <c r="C19" s="1746"/>
      <c r="D19" s="1746"/>
      <c r="E19" s="1741" t="e">
        <f t="shared" si="0"/>
        <v>#DIV/0!</v>
      </c>
      <c r="F19" s="1741" t="e">
        <f t="shared" si="1"/>
        <v>#DIV/0!</v>
      </c>
      <c r="G19" s="1746"/>
      <c r="H19" s="1746"/>
      <c r="I19" s="1746"/>
    </row>
    <row r="20" spans="1:9" ht="17">
      <c r="A20" s="1739" t="s">
        <v>1339</v>
      </c>
      <c r="B20" s="1746"/>
      <c r="C20" s="1746"/>
      <c r="D20" s="1746"/>
      <c r="E20" s="1741" t="e">
        <f t="shared" si="0"/>
        <v>#DIV/0!</v>
      </c>
      <c r="F20" s="1741" t="e">
        <f t="shared" si="1"/>
        <v>#DIV/0!</v>
      </c>
      <c r="G20" s="1746"/>
      <c r="H20" s="1746"/>
      <c r="I20" s="1746"/>
    </row>
    <row r="21" spans="1:9" ht="17">
      <c r="A21" s="1739" t="s">
        <v>1338</v>
      </c>
      <c r="B21" s="1746"/>
      <c r="C21" s="1746"/>
      <c r="D21" s="1746"/>
      <c r="E21" s="1741" t="e">
        <f t="shared" si="0"/>
        <v>#DIV/0!</v>
      </c>
      <c r="F21" s="1741" t="e">
        <f t="shared" si="1"/>
        <v>#DIV/0!</v>
      </c>
      <c r="G21" s="1746"/>
      <c r="H21" s="1746"/>
      <c r="I21" s="1746"/>
    </row>
    <row r="22" spans="1:9" ht="17">
      <c r="A22" s="1739" t="s">
        <v>1337</v>
      </c>
      <c r="B22" s="1746"/>
      <c r="C22" s="1746"/>
      <c r="D22" s="1746"/>
      <c r="E22" s="1741" t="e">
        <f t="shared" si="0"/>
        <v>#DIV/0!</v>
      </c>
      <c r="F22" s="1741" t="e">
        <f t="shared" si="1"/>
        <v>#DIV/0!</v>
      </c>
      <c r="G22" s="1746"/>
      <c r="H22" s="1746"/>
      <c r="I22" s="1746"/>
    </row>
    <row r="23" spans="1:9" ht="17">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topLeftCell="A7" zoomScaleNormal="100" zoomScaleSheetLayoutView="100" zoomScalePageLayoutView="80" workbookViewId="0">
      <selection activeCell="D8" sqref="D8:D9"/>
    </sheetView>
  </sheetViews>
  <sheetFormatPr baseColWidth="10" defaultColWidth="12.6640625" defaultRowHeight="21.75" customHeight="1"/>
  <cols>
    <col min="1" max="2" width="12.6640625" style="2420"/>
    <col min="3" max="4" width="12.6640625" style="2420" customWidth="1"/>
    <col min="5" max="9" width="12.6640625" style="2420"/>
    <col min="10" max="11" width="12.6640625" style="795" customWidth="1"/>
    <col min="12" max="12" width="12.6640625" style="795"/>
    <col min="13" max="13" width="14.1640625" style="795" bestFit="1" customWidth="1"/>
    <col min="14" max="26" width="12.6640625" style="795"/>
    <col min="27" max="35" width="12.6640625" style="2419"/>
    <col min="36" max="16384" width="12.6640625" style="2420"/>
  </cols>
  <sheetData>
    <row r="1" spans="1:12" ht="21.75" customHeight="1" thickBot="1">
      <c r="A1" s="2223" t="s">
        <v>2115</v>
      </c>
      <c r="B1" s="2414"/>
      <c r="C1" s="2415" t="s">
        <v>3084</v>
      </c>
      <c r="D1" s="2414"/>
      <c r="E1" s="2414"/>
      <c r="F1" s="2416" t="s">
        <v>2116</v>
      </c>
      <c r="G1" s="2069" t="s">
        <v>2117</v>
      </c>
      <c r="H1" s="2417" t="str">
        <f>IF(G1="现房","——","估价对象范围")</f>
        <v>估价对象范围</v>
      </c>
      <c r="I1" s="2418"/>
    </row>
    <row r="2" spans="1:12" ht="21.75" customHeight="1" thickBot="1">
      <c r="A2" s="3119" t="str">
        <f>项目基本情况!S2</f>
        <v>北京市北京经济技术开发区河西区X90R1、X90S1地块出让国有建设用地使用权及在建建筑物房地产</v>
      </c>
      <c r="B2" s="3120"/>
      <c r="C2" s="3120"/>
      <c r="D2" s="3120"/>
      <c r="E2" s="3120"/>
      <c r="F2" s="3120"/>
      <c r="G2" s="3120"/>
      <c r="H2" s="3120"/>
      <c r="I2" s="3121"/>
    </row>
    <row r="3" spans="1:12" ht="14">
      <c r="A3" s="3123" t="s">
        <v>2118</v>
      </c>
      <c r="B3" s="3124"/>
      <c r="C3" s="3124"/>
      <c r="D3" s="3124"/>
      <c r="E3" s="3124"/>
      <c r="F3" s="3124"/>
      <c r="G3" s="3124"/>
      <c r="H3" s="3124"/>
      <c r="I3" s="3124"/>
    </row>
    <row r="4" spans="1:12" ht="15">
      <c r="A4" s="2421" t="s">
        <v>2119</v>
      </c>
      <c r="B4" s="2422" t="s">
        <v>2120</v>
      </c>
      <c r="C4" s="2423" t="s">
        <v>3085</v>
      </c>
      <c r="D4" s="2423" t="s">
        <v>3085</v>
      </c>
      <c r="E4" s="3116" t="s">
        <v>2121</v>
      </c>
      <c r="F4" s="3117"/>
      <c r="G4" s="3117"/>
      <c r="H4" s="3117"/>
      <c r="I4" s="3125"/>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比较法</v>
      </c>
    </row>
    <row r="5" spans="1:12" ht="14">
      <c r="A5" s="3099" t="s">
        <v>2122</v>
      </c>
      <c r="B5" s="3037">
        <v>25</v>
      </c>
      <c r="C5" s="3102">
        <v>5</v>
      </c>
      <c r="D5" s="3122">
        <v>5</v>
      </c>
      <c r="E5" s="140" t="s">
        <v>2123</v>
      </c>
      <c r="F5" s="2425"/>
      <c r="G5" s="2425"/>
      <c r="H5" s="2425"/>
      <c r="I5" s="1831"/>
    </row>
    <row r="6" spans="1:12" ht="14">
      <c r="A6" s="3099"/>
      <c r="B6" s="3037"/>
      <c r="C6" s="3103"/>
      <c r="D6" s="3122"/>
      <c r="E6" s="140" t="s">
        <v>2124</v>
      </c>
      <c r="F6" s="2425"/>
      <c r="G6" s="2425"/>
      <c r="H6" s="2425"/>
      <c r="I6" s="1831"/>
    </row>
    <row r="7" spans="1:12" ht="14">
      <c r="A7" s="3099"/>
      <c r="B7" s="3037"/>
      <c r="C7" s="3104"/>
      <c r="D7" s="3122"/>
      <c r="E7" s="140" t="s">
        <v>2125</v>
      </c>
      <c r="F7" s="2425"/>
      <c r="G7" s="2425"/>
      <c r="H7" s="2425"/>
      <c r="I7" s="1831"/>
    </row>
    <row r="8" spans="1:12" ht="14">
      <c r="A8" s="3099" t="s">
        <v>2126</v>
      </c>
      <c r="B8" s="3037">
        <v>15</v>
      </c>
      <c r="C8" s="3102"/>
      <c r="D8" s="3122"/>
      <c r="E8" s="140" t="s">
        <v>2127</v>
      </c>
      <c r="F8" s="2425"/>
      <c r="G8" s="2425"/>
      <c r="H8" s="2425"/>
      <c r="I8" s="1831"/>
    </row>
    <row r="9" spans="1:12" ht="14">
      <c r="A9" s="3099"/>
      <c r="B9" s="3037"/>
      <c r="C9" s="3104"/>
      <c r="D9" s="3122"/>
      <c r="E9" s="140" t="s">
        <v>2128</v>
      </c>
      <c r="F9" s="2425"/>
      <c r="G9" s="2425"/>
      <c r="H9" s="2425"/>
      <c r="I9" s="1831"/>
    </row>
    <row r="10" spans="1:12" ht="14">
      <c r="A10" s="3099" t="s">
        <v>2129</v>
      </c>
      <c r="B10" s="3037">
        <v>15</v>
      </c>
      <c r="C10" s="3102"/>
      <c r="D10" s="3122"/>
      <c r="E10" s="140" t="s">
        <v>2130</v>
      </c>
      <c r="F10" s="2425"/>
      <c r="G10" s="2425"/>
      <c r="H10" s="2425"/>
      <c r="I10" s="1831"/>
    </row>
    <row r="11" spans="1:12" ht="14">
      <c r="A11" s="3099"/>
      <c r="B11" s="3037"/>
      <c r="C11" s="3104"/>
      <c r="D11" s="3122"/>
      <c r="E11" s="140" t="s">
        <v>2131</v>
      </c>
      <c r="F11" s="2425"/>
      <c r="G11" s="2425"/>
      <c r="H11" s="2425"/>
      <c r="I11" s="1831"/>
    </row>
    <row r="12" spans="1:12" ht="14">
      <c r="A12" s="3099" t="s">
        <v>2132</v>
      </c>
      <c r="B12" s="3037">
        <v>15</v>
      </c>
      <c r="C12" s="3102"/>
      <c r="D12" s="3122"/>
      <c r="E12" s="140" t="s">
        <v>2133</v>
      </c>
      <c r="F12" s="2425"/>
      <c r="G12" s="2425"/>
      <c r="H12" s="2425"/>
      <c r="I12" s="1831"/>
    </row>
    <row r="13" spans="1:12" ht="14">
      <c r="A13" s="3099"/>
      <c r="B13" s="3037"/>
      <c r="C13" s="3104"/>
      <c r="D13" s="3122"/>
      <c r="E13" s="140" t="s">
        <v>2134</v>
      </c>
      <c r="F13" s="2425"/>
      <c r="G13" s="2425"/>
      <c r="H13" s="2425"/>
      <c r="I13" s="1831"/>
    </row>
    <row r="14" spans="1:12" ht="14">
      <c r="A14" s="3099" t="s">
        <v>2135</v>
      </c>
      <c r="B14" s="3037">
        <v>30</v>
      </c>
      <c r="C14" s="3102"/>
      <c r="D14" s="3122"/>
      <c r="E14" s="140" t="s">
        <v>2136</v>
      </c>
      <c r="F14" s="2425"/>
      <c r="G14" s="2425"/>
      <c r="H14" s="2425"/>
      <c r="I14" s="1831"/>
    </row>
    <row r="15" spans="1:12" ht="14">
      <c r="A15" s="3099"/>
      <c r="B15" s="3037"/>
      <c r="C15" s="3103"/>
      <c r="D15" s="3122"/>
      <c r="E15" s="140" t="s">
        <v>2137</v>
      </c>
      <c r="F15" s="2425"/>
      <c r="G15" s="2425"/>
      <c r="H15" s="2425"/>
      <c r="I15" s="1831"/>
    </row>
    <row r="16" spans="1:12" ht="14">
      <c r="A16" s="3099"/>
      <c r="B16" s="3037"/>
      <c r="C16" s="3104"/>
      <c r="D16" s="3122"/>
      <c r="E16" s="140" t="s">
        <v>2138</v>
      </c>
      <c r="F16" s="2425"/>
      <c r="G16" s="2425"/>
      <c r="H16" s="2425"/>
      <c r="I16" s="1831"/>
    </row>
    <row r="17" spans="1:35" ht="14">
      <c r="A17" s="2426" t="s">
        <v>2139</v>
      </c>
      <c r="B17" s="64"/>
      <c r="C17" s="141">
        <f>SUM(C5:C16)</f>
        <v>5</v>
      </c>
      <c r="D17" s="141">
        <f>SUM(D5:D16)</f>
        <v>5</v>
      </c>
      <c r="E17" s="138"/>
      <c r="F17" s="138"/>
      <c r="G17" s="138"/>
      <c r="H17" s="138"/>
      <c r="I17" s="138"/>
      <c r="K17" s="2424"/>
      <c r="L17" s="2427" t="s">
        <v>2140</v>
      </c>
      <c r="M17" s="2427" t="s">
        <v>2141</v>
      </c>
    </row>
    <row r="18" spans="1:35" ht="15" thickBot="1">
      <c r="A18" s="2428" t="s">
        <v>2142</v>
      </c>
      <c r="B18" s="2429"/>
      <c r="C18" s="142">
        <f>ROUND(C17/SUM(C17:D17),2)</f>
        <v>0.5</v>
      </c>
      <c r="D18" s="142">
        <f>1-C18</f>
        <v>0.5</v>
      </c>
      <c r="E18" s="138"/>
      <c r="F18" s="138"/>
      <c r="G18" s="138"/>
      <c r="H18" s="138"/>
      <c r="I18" s="138"/>
      <c r="K18" s="2424" t="s">
        <v>2143</v>
      </c>
      <c r="L18" s="2424">
        <f>IF(C1="",'数据-汇总表'!E3,SUMIF(项目类型,C1,'数据-汇总表'!E17:E26)+SUMIF(项目类型,C1,'数据-汇总表'!I17:I26))</f>
        <v>0</v>
      </c>
      <c r="M18" s="2424">
        <f>IF(C1="",'数据-汇总表'!E3,SUMIF(项目类型,C1,'数据-汇总表'!E17:E26))</f>
        <v>0</v>
      </c>
    </row>
    <row r="19" spans="1:35" ht="14">
      <c r="A19" s="2430" t="s">
        <v>2144</v>
      </c>
      <c r="B19" s="2431" t="s">
        <v>2145</v>
      </c>
      <c r="C19" s="143">
        <f ca="1">SUMIF(INDIRECT("'"&amp;C4&amp;"'"&amp;"!A:A"),结果表!B19,INDIRECT("'"&amp;C4&amp;"'"&amp;"!B:B"))</f>
        <v>453051</v>
      </c>
      <c r="D19" s="144">
        <f ca="1">SUMIF(INDIRECT("'"&amp;D4&amp;"'"&amp;"!A:A"),结果表!B19,INDIRECT("'"&amp;D4&amp;"'"&amp;"!B:B"))</f>
        <v>453051</v>
      </c>
      <c r="E19" s="2430" t="s">
        <v>2146</v>
      </c>
      <c r="F19" s="2431" t="s">
        <v>2145</v>
      </c>
      <c r="G19" s="145">
        <f ca="1">ROUND(C19*$C$18+D19*$D$18,0)</f>
        <v>453051</v>
      </c>
      <c r="H19" s="2432" t="s">
        <v>2147</v>
      </c>
      <c r="I19" s="138"/>
      <c r="K19" s="2424" t="s">
        <v>2148</v>
      </c>
      <c r="L19" s="2424">
        <f>IF(C1="",'数据-汇总表'!D3,SUMIF(项目类型,C1,'数据-汇总表'!D17:D26)+SUMIF(项目类型,C1,'数据-汇总表'!H17:H27))</f>
        <v>0</v>
      </c>
      <c r="M19" s="2424">
        <f>IF(C1="",'数据-汇总表'!D3,SUMIF(项目类型,C1,'数据-汇总表'!D17:D26))</f>
        <v>0</v>
      </c>
    </row>
    <row r="20" spans="1:35" ht="14">
      <c r="A20" s="2433"/>
      <c r="B20" s="1247" t="s">
        <v>2149</v>
      </c>
      <c r="C20" s="146">
        <f ca="1">SUMIF(INDIRECT("'"&amp;C4&amp;"'"&amp;"!A:A"),结果表!B20,INDIRECT("'"&amp;C4&amp;"'"&amp;"!B:B"))</f>
        <v>52092</v>
      </c>
      <c r="D20" s="147">
        <f ca="1">SUMIF(INDIRECT("'"&amp;D4&amp;"'"&amp;"!A:A"),结果表!B20,INDIRECT("'"&amp;D4&amp;"'"&amp;"!B:B"))</f>
        <v>52092</v>
      </c>
      <c r="E20" s="2433"/>
      <c r="F20" s="1247" t="s">
        <v>2149</v>
      </c>
      <c r="G20" s="148">
        <f ca="1">ROUND(C20*$C$18+D20*$D$18,0)</f>
        <v>52092</v>
      </c>
      <c r="H20" s="980" t="s">
        <v>2150</v>
      </c>
      <c r="I20" s="138"/>
    </row>
    <row r="21" spans="1:35" ht="15" customHeight="1" thickBot="1">
      <c r="A21" s="1000"/>
      <c r="B21" s="2434" t="s">
        <v>2151</v>
      </c>
      <c r="C21" s="789" t="e">
        <f ca="1">ROUND(C19*10000/L19,0)</f>
        <v>#DIV/0!</v>
      </c>
      <c r="D21" s="790" t="e">
        <f ca="1">ROUND(D19*10000/L19,0)</f>
        <v>#DIV/0!</v>
      </c>
      <c r="E21" s="1000"/>
      <c r="F21" s="2434" t="s">
        <v>2151</v>
      </c>
      <c r="G21" s="149" t="e">
        <f ca="1">ROUND(G19*10000/L19,0)</f>
        <v>#DIV/0!</v>
      </c>
      <c r="H21" s="2435" t="s">
        <v>2150</v>
      </c>
      <c r="I21" s="138"/>
    </row>
    <row r="22" spans="1:35" ht="15" thickBot="1">
      <c r="A22" s="2279" t="s">
        <v>2152</v>
      </c>
      <c r="B22" s="2436"/>
      <c r="C22" s="2437"/>
      <c r="D22" s="791">
        <f ca="1">IF(C19&lt;D19,D19/C19-1,C19/D19-1)</f>
        <v>0</v>
      </c>
      <c r="E22" s="138"/>
      <c r="F22" s="138"/>
      <c r="G22" s="138"/>
      <c r="H22" s="138"/>
      <c r="I22" s="138"/>
      <c r="J22" s="2967" t="s">
        <v>3106</v>
      </c>
      <c r="K22" s="2968" t="s">
        <v>3107</v>
      </c>
      <c r="L22" s="2969"/>
      <c r="M22" s="2970"/>
    </row>
    <row r="23" spans="1:35" ht="15" thickBot="1">
      <c r="A23" s="2414"/>
      <c r="B23" s="2414"/>
      <c r="C23" s="2414"/>
      <c r="D23" s="2414"/>
      <c r="E23" s="138"/>
      <c r="F23" s="138"/>
      <c r="G23" s="138"/>
      <c r="H23" s="138"/>
      <c r="I23" s="138"/>
      <c r="J23" s="2967" t="s">
        <v>3108</v>
      </c>
      <c r="K23" s="3168">
        <v>30000</v>
      </c>
      <c r="L23" s="3169"/>
      <c r="M23" s="2970" t="s">
        <v>3109</v>
      </c>
    </row>
    <row r="24" spans="1:35" ht="14">
      <c r="A24" s="3093" t="s">
        <v>2153</v>
      </c>
      <c r="B24" s="2431" t="s">
        <v>2145</v>
      </c>
      <c r="C24" s="145">
        <f>IF(B30=0,0,D30)</f>
        <v>0</v>
      </c>
      <c r="D24" s="2438"/>
      <c r="E24" s="138"/>
      <c r="F24" s="138"/>
      <c r="G24" s="138"/>
      <c r="H24" s="138"/>
      <c r="I24" s="138"/>
      <c r="J24" s="2967" t="s">
        <v>3110</v>
      </c>
      <c r="K24" s="2971">
        <v>2020</v>
      </c>
      <c r="L24" s="2971">
        <v>1</v>
      </c>
      <c r="M24" s="2971">
        <v>17</v>
      </c>
    </row>
    <row r="25" spans="1:35" ht="14">
      <c r="A25" s="3094"/>
      <c r="B25" s="1247" t="s">
        <v>2149</v>
      </c>
      <c r="C25" s="150">
        <f>IF(B30=0,0,C30)</f>
        <v>0</v>
      </c>
      <c r="D25" s="2439"/>
      <c r="E25" s="138"/>
      <c r="F25" s="138"/>
      <c r="G25" s="138"/>
      <c r="H25" s="138"/>
      <c r="I25" s="138"/>
      <c r="J25" s="2972" t="s">
        <v>3111</v>
      </c>
      <c r="K25" s="2973">
        <f>'比较法-住宅'!C49</f>
        <v>52092</v>
      </c>
      <c r="L25" s="2974"/>
      <c r="M25" s="2975" t="s">
        <v>3109</v>
      </c>
    </row>
    <row r="26" spans="1:35" ht="19.5" customHeight="1">
      <c r="A26" s="2440" t="s">
        <v>2154</v>
      </c>
      <c r="B26" s="151" t="s">
        <v>2155</v>
      </c>
      <c r="C26" s="151" t="s">
        <v>2156</v>
      </c>
      <c r="D26" s="152" t="s">
        <v>2157</v>
      </c>
      <c r="E26" s="138"/>
      <c r="F26" s="138"/>
      <c r="G26" s="138"/>
      <c r="H26" s="138"/>
      <c r="I26" s="138"/>
      <c r="J26" s="2967" t="s">
        <v>3112</v>
      </c>
      <c r="K26" s="3170">
        <f>ROUND(K23/K25,4)</f>
        <v>0.57589999999999997</v>
      </c>
      <c r="L26" s="3171"/>
      <c r="M26" s="3172"/>
    </row>
    <row r="27" spans="1:35" ht="19.5" customHeight="1">
      <c r="A27" s="2440"/>
      <c r="B27" s="151">
        <v>0</v>
      </c>
      <c r="C27" s="151">
        <v>0</v>
      </c>
      <c r="D27" s="152">
        <f>ROUND(C27*B27/10000,0)</f>
        <v>0</v>
      </c>
      <c r="E27" s="138"/>
      <c r="F27" s="138"/>
      <c r="G27" s="138"/>
      <c r="H27" s="138"/>
      <c r="I27" s="138"/>
      <c r="J27" s="2967" t="s">
        <v>3112</v>
      </c>
      <c r="K27" s="3170"/>
      <c r="L27" s="3171"/>
      <c r="M27" s="3172"/>
    </row>
    <row r="28" spans="1:35" ht="14">
      <c r="A28" s="2440"/>
      <c r="B28" s="151"/>
      <c r="C28" s="151"/>
      <c r="D28" s="152"/>
      <c r="E28" s="138"/>
      <c r="F28" s="138"/>
      <c r="G28" s="138"/>
      <c r="H28" s="138"/>
      <c r="I28" s="138"/>
    </row>
    <row r="29" spans="1:35" ht="14">
      <c r="A29" s="2440"/>
      <c r="B29" s="151"/>
      <c r="C29" s="151"/>
      <c r="D29" s="152"/>
      <c r="E29" s="138"/>
      <c r="F29" s="138"/>
      <c r="G29" s="138"/>
      <c r="H29" s="138"/>
      <c r="I29" s="138"/>
    </row>
    <row r="30" spans="1:35" ht="14">
      <c r="A30" s="151" t="s">
        <v>2158</v>
      </c>
      <c r="B30" s="151"/>
      <c r="C30" s="151"/>
      <c r="D30" s="151"/>
      <c r="E30" s="2913" t="s">
        <v>3034</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 thickBot="1">
      <c r="A32" s="2443" t="s">
        <v>2159</v>
      </c>
      <c r="B32" s="2444"/>
      <c r="C32" s="153">
        <f ca="1">IF(D32="总价",G19-C24,G20-C25)</f>
        <v>453051</v>
      </c>
      <c r="D32" s="2445" t="s">
        <v>2160</v>
      </c>
      <c r="E32" s="138"/>
      <c r="F32" s="138"/>
      <c r="G32" s="138"/>
      <c r="H32" s="138"/>
      <c r="I32" s="138"/>
    </row>
    <row r="33" spans="1:15" ht="14">
      <c r="A33" s="957" t="s">
        <v>2161</v>
      </c>
      <c r="B33" s="2446"/>
      <c r="C33" s="2447"/>
      <c r="D33" s="2448"/>
      <c r="E33" s="2449" t="s">
        <v>2162</v>
      </c>
      <c r="F33" s="2450" t="str">
        <f>IF(D32="楼面单价","取值（单价）","取值（总价）")</f>
        <v>取值（总价）</v>
      </c>
      <c r="G33" s="138"/>
      <c r="H33" s="138"/>
      <c r="I33" s="138"/>
    </row>
    <row r="34" spans="1:15" ht="14">
      <c r="A34" s="2451"/>
      <c r="B34" s="2452"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2164</v>
      </c>
      <c r="F34" s="1736"/>
      <c r="G34" s="138"/>
      <c r="H34" s="138"/>
      <c r="I34" s="138"/>
    </row>
    <row r="35" spans="1:15" ht="15" thickBot="1">
      <c r="A35" s="2454"/>
      <c r="B35" s="2455"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2166</v>
      </c>
      <c r="F35" s="163"/>
      <c r="G35" s="138"/>
      <c r="H35" s="138"/>
      <c r="I35" s="138"/>
    </row>
    <row r="36" spans="1:15" ht="15" thickBot="1">
      <c r="A36" s="3111" t="s">
        <v>2167</v>
      </c>
      <c r="B36" s="2457" t="s">
        <v>2168</v>
      </c>
      <c r="C36" s="154"/>
      <c r="D36" s="2458"/>
      <c r="E36" s="2459"/>
      <c r="F36" s="2460"/>
      <c r="G36" s="138"/>
      <c r="H36" s="138"/>
      <c r="I36" s="138"/>
    </row>
    <row r="37" spans="1:15" ht="15" thickBot="1">
      <c r="A37" s="3112"/>
      <c r="B37" s="2265" t="s">
        <v>2169</v>
      </c>
      <c r="C37" s="156"/>
      <c r="D37" s="1392"/>
      <c r="E37" s="1392"/>
      <c r="F37" s="2460"/>
      <c r="G37" s="138"/>
      <c r="H37" s="138"/>
      <c r="I37" s="138"/>
    </row>
    <row r="38" spans="1:15" ht="15" thickBot="1">
      <c r="A38" s="3113"/>
      <c r="B38" s="2461" t="s">
        <v>2170</v>
      </c>
      <c r="C38" s="727"/>
      <c r="D38" s="2462" t="s">
        <v>2171</v>
      </c>
      <c r="E38" s="1392"/>
      <c r="F38" s="2460"/>
      <c r="G38" s="138"/>
      <c r="H38" s="138"/>
      <c r="I38" s="138"/>
    </row>
    <row r="39" spans="1:15" ht="14">
      <c r="A39" s="2433" t="s">
        <v>2172</v>
      </c>
      <c r="B39" s="2463" t="s">
        <v>2173</v>
      </c>
      <c r="C39" s="2464" t="s">
        <v>2174</v>
      </c>
      <c r="D39" s="2464" t="s">
        <v>2175</v>
      </c>
      <c r="E39" s="2465" t="s">
        <v>2176</v>
      </c>
      <c r="F39" s="2460"/>
      <c r="G39" s="138"/>
      <c r="H39" s="138"/>
      <c r="I39" s="138"/>
    </row>
    <row r="40" spans="1:15" ht="14">
      <c r="A40" s="2466" t="s">
        <v>2177</v>
      </c>
      <c r="B40" s="158"/>
      <c r="C40" s="159"/>
      <c r="D40" s="159"/>
      <c r="E40" s="160"/>
      <c r="F40" s="2460"/>
      <c r="G40" s="138"/>
      <c r="H40" s="138"/>
      <c r="I40" s="138"/>
    </row>
    <row r="41" spans="1:15" ht="14">
      <c r="A41" s="2466" t="s">
        <v>2178</v>
      </c>
      <c r="B41" s="158"/>
      <c r="C41" s="159"/>
      <c r="D41" s="159"/>
      <c r="E41" s="160"/>
      <c r="F41" s="2460"/>
      <c r="G41" s="138"/>
      <c r="H41" s="138"/>
      <c r="I41" s="138"/>
    </row>
    <row r="42" spans="1:15" ht="15" thickBot="1">
      <c r="A42" s="2467"/>
      <c r="B42" s="161"/>
      <c r="C42" s="162"/>
      <c r="D42" s="162"/>
      <c r="E42" s="163"/>
      <c r="F42" s="2460"/>
      <c r="G42" s="138"/>
      <c r="H42" s="138"/>
      <c r="I42" s="138"/>
    </row>
    <row r="43" spans="1:15" ht="13">
      <c r="A43" s="2163"/>
      <c r="B43" s="2163"/>
      <c r="C43" s="2163"/>
      <c r="D43" s="2163"/>
      <c r="E43" s="2163"/>
      <c r="F43" s="2468"/>
      <c r="G43" s="2468"/>
      <c r="H43" s="2468"/>
      <c r="I43" s="2469"/>
    </row>
    <row r="44" spans="1:15" ht="18">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090" t="s">
        <v>2181</v>
      </c>
      <c r="B45" s="3091"/>
      <c r="C45" s="3092"/>
      <c r="D45" s="164">
        <f ca="1">ROUND(H101*F45,0)</f>
        <v>453051</v>
      </c>
      <c r="E45" s="165" t="s">
        <v>2182</v>
      </c>
      <c r="F45" s="166">
        <v>1</v>
      </c>
      <c r="G45" s="167" t="s">
        <v>2183</v>
      </c>
      <c r="H45" s="138"/>
      <c r="I45" s="138"/>
      <c r="J45" s="3150" t="s">
        <v>2184</v>
      </c>
      <c r="K45" s="3150"/>
      <c r="L45" s="3150"/>
      <c r="M45" s="3150"/>
      <c r="N45" s="3150"/>
      <c r="O45" s="3150"/>
    </row>
    <row r="46" spans="1:15" ht="14.25" customHeight="1">
      <c r="A46" s="3087" t="s">
        <v>2185</v>
      </c>
      <c r="B46" s="3088"/>
      <c r="C46" s="3088"/>
      <c r="D46" s="3088"/>
      <c r="E46" s="3088"/>
      <c r="F46" s="3088"/>
      <c r="G46" s="3089"/>
      <c r="H46" s="2476"/>
      <c r="I46" s="168"/>
      <c r="J46" s="1809">
        <v>1</v>
      </c>
      <c r="K46" s="3150" t="s">
        <v>2186</v>
      </c>
      <c r="L46" s="3150"/>
      <c r="M46" s="3175"/>
      <c r="N46" s="3175"/>
      <c r="O46" s="3175"/>
    </row>
    <row r="47" spans="1:15" ht="12" customHeight="1">
      <c r="A47" s="169" t="s">
        <v>2187</v>
      </c>
      <c r="B47" s="170"/>
      <c r="C47" s="171"/>
      <c r="D47" s="172" t="s">
        <v>2188</v>
      </c>
      <c r="E47" s="24" t="s">
        <v>2189</v>
      </c>
      <c r="F47" s="173" t="s">
        <v>2190</v>
      </c>
      <c r="G47" s="174" t="s">
        <v>2191</v>
      </c>
      <c r="H47" s="2476"/>
      <c r="I47" s="168"/>
      <c r="J47" s="1809">
        <v>2</v>
      </c>
      <c r="K47" s="3150" t="s">
        <v>2192</v>
      </c>
      <c r="L47" s="3150"/>
      <c r="M47" s="3176">
        <f>'数据-取费表'!B2</f>
        <v>43847</v>
      </c>
      <c r="N47" s="3176"/>
      <c r="O47" s="3176"/>
    </row>
    <row r="48" spans="1:15" ht="30">
      <c r="A48" s="3118" t="s">
        <v>2193</v>
      </c>
      <c r="B48" s="3101"/>
      <c r="C48" s="3101"/>
      <c r="D48" s="140">
        <f>IF(H48="情况1",0,IF(H48="情况2",D52,IF(H48="情况3",D53,IF(H48="情况4",D54))))</f>
        <v>0</v>
      </c>
      <c r="E48" s="1798" t="str">
        <f>IF(H48="情况4","(销售额-原购置价)×税（费）率","销售额×税（费）率")</f>
        <v>销售额×税（费）率</v>
      </c>
      <c r="F48" s="175" t="str">
        <f>IF(H48="情况1","免征",'数据-取费表'!B41)</f>
        <v>免征</v>
      </c>
      <c r="G48" s="2477" t="s">
        <v>2194</v>
      </c>
      <c r="H48" s="2478" t="s">
        <v>2195</v>
      </c>
      <c r="I48" s="2476"/>
      <c r="J48" s="1809">
        <v>3</v>
      </c>
      <c r="K48" s="3150" t="s">
        <v>2196</v>
      </c>
      <c r="L48" s="3150"/>
      <c r="M48" s="3177">
        <f ca="1">H101</f>
        <v>453051</v>
      </c>
      <c r="N48" s="3177"/>
      <c r="O48" s="3177"/>
    </row>
    <row r="49" spans="1:35" ht="25.5" customHeight="1">
      <c r="A49" s="176" t="s">
        <v>2197</v>
      </c>
      <c r="B49" s="3086" t="s">
        <v>2198</v>
      </c>
      <c r="C49" s="3086"/>
      <c r="D49" s="177">
        <v>0</v>
      </c>
      <c r="E49" s="23" t="s">
        <v>2199</v>
      </c>
      <c r="F49" s="28" t="s">
        <v>34</v>
      </c>
      <c r="G49" s="3156"/>
      <c r="H49" s="138"/>
      <c r="I49" s="2479"/>
      <c r="J49" s="1809">
        <v>4</v>
      </c>
      <c r="K49" s="3150" t="str">
        <f>IF(项目基本情况!E8="房地产抵押价值","房地产抵押价值","抵押担保权已注销时的房地产抵押价值")</f>
        <v>抵押担保权已注销时的房地产抵押价值</v>
      </c>
      <c r="L49" s="3150"/>
      <c r="M49" s="3177" t="str">
        <f>IF(项目基本情况!E8="房地产抵押价值",H107,H109)</f>
        <v>——</v>
      </c>
      <c r="N49" s="3177"/>
      <c r="O49" s="3177"/>
    </row>
    <row r="50" spans="1:35" ht="25.5" customHeight="1">
      <c r="A50" s="178"/>
      <c r="B50" s="3086" t="s">
        <v>2200</v>
      </c>
      <c r="C50" s="3086"/>
      <c r="D50" s="179"/>
      <c r="E50" s="31"/>
      <c r="F50" s="180"/>
      <c r="G50" s="3157"/>
      <c r="H50" s="138"/>
      <c r="I50" s="2479"/>
      <c r="J50" s="3150" t="s">
        <v>2201</v>
      </c>
      <c r="K50" s="3150"/>
      <c r="L50" s="3150"/>
      <c r="M50" s="3150"/>
      <c r="N50" s="3150"/>
      <c r="O50" s="3150"/>
    </row>
    <row r="51" spans="1:35" ht="12" customHeight="1">
      <c r="A51" s="181"/>
      <c r="B51" s="3086" t="s">
        <v>2202</v>
      </c>
      <c r="C51" s="3086"/>
      <c r="D51" s="182"/>
      <c r="E51" s="30"/>
      <c r="F51" s="180"/>
      <c r="G51" s="3158"/>
      <c r="H51" s="138"/>
      <c r="I51" s="2479"/>
      <c r="J51" s="2480" t="s">
        <v>2203</v>
      </c>
      <c r="K51" s="3150" t="s">
        <v>2204</v>
      </c>
      <c r="L51" s="3150"/>
      <c r="M51" s="2480" t="s">
        <v>2205</v>
      </c>
      <c r="N51" s="2480" t="s">
        <v>2206</v>
      </c>
      <c r="O51" s="2480" t="s">
        <v>2207</v>
      </c>
    </row>
    <row r="52" spans="1:35" ht="24" customHeight="1">
      <c r="A52" s="183" t="s">
        <v>2208</v>
      </c>
      <c r="B52" s="3086" t="s">
        <v>2209</v>
      </c>
      <c r="C52" s="3086"/>
      <c r="D52" s="182">
        <f ca="1">ROUND(D45*'数据-取费表'!B41/(1+'数据-取费表'!C42),0)</f>
        <v>0</v>
      </c>
      <c r="E52" s="11" t="s">
        <v>2210</v>
      </c>
      <c r="F52" s="184">
        <f>'数据-取费表'!B41</f>
        <v>0</v>
      </c>
      <c r="G52" s="2481"/>
      <c r="H52" s="138"/>
      <c r="I52" s="2479"/>
      <c r="J52" s="1809">
        <v>1</v>
      </c>
      <c r="K52" s="3151" t="s">
        <v>2211</v>
      </c>
      <c r="L52" s="3151"/>
      <c r="M52" s="1751">
        <f>D48</f>
        <v>0</v>
      </c>
      <c r="N52" s="1809" t="str">
        <f>E48</f>
        <v>销售额×税（费）率</v>
      </c>
      <c r="O52" s="1752" t="str">
        <f>F48</f>
        <v>免征</v>
      </c>
    </row>
    <row r="53" spans="1:35" ht="12" customHeight="1">
      <c r="A53" s="183" t="s">
        <v>2212</v>
      </c>
      <c r="B53" s="3109" t="s">
        <v>2213</v>
      </c>
      <c r="C53" s="3110"/>
      <c r="D53" s="182">
        <f ca="1">ROUND(D45*'数据-取费表'!B41/(1+'数据-取费表'!C42),0)</f>
        <v>0</v>
      </c>
      <c r="E53" s="11" t="s">
        <v>2210</v>
      </c>
      <c r="F53" s="184">
        <f>'数据-取费表'!B41</f>
        <v>0</v>
      </c>
      <c r="G53" s="2481"/>
      <c r="H53" s="138"/>
      <c r="I53" s="2479"/>
      <c r="J53" s="1809">
        <v>2</v>
      </c>
      <c r="K53" s="3151" t="s">
        <v>2214</v>
      </c>
      <c r="L53" s="3151"/>
      <c r="M53" s="1751">
        <f t="shared" ref="M53:O54" ca="1" si="0">D55</f>
        <v>0</v>
      </c>
      <c r="N53" s="1809" t="str">
        <f t="shared" si="0"/>
        <v>销售额×税（费）率</v>
      </c>
      <c r="O53" s="1752">
        <f t="shared" si="0"/>
        <v>0</v>
      </c>
    </row>
    <row r="54" spans="1:35" ht="12" customHeight="1">
      <c r="A54" s="183" t="s">
        <v>2215</v>
      </c>
      <c r="B54" s="3109" t="s">
        <v>2216</v>
      </c>
      <c r="C54" s="3110"/>
      <c r="D54" s="182">
        <f ca="1">C68</f>
        <v>0</v>
      </c>
      <c r="E54" s="30" t="s">
        <v>2217</v>
      </c>
      <c r="F54" s="184">
        <f>'数据-取费表'!B41</f>
        <v>0</v>
      </c>
      <c r="G54" s="2481"/>
      <c r="H54" s="2482"/>
      <c r="I54" s="2479"/>
      <c r="J54" s="1809">
        <v>3</v>
      </c>
      <c r="K54" s="3151" t="s">
        <v>2218</v>
      </c>
      <c r="L54" s="3151"/>
      <c r="M54" s="1751" t="e">
        <f t="shared" ca="1" si="0"/>
        <v>#DIV/0!</v>
      </c>
      <c r="N54" s="1809" t="str">
        <f t="shared" si="0"/>
        <v>增值额×税（费）率</v>
      </c>
      <c r="O54" s="1753" t="str">
        <f t="shared" si="0"/>
        <v>——</v>
      </c>
    </row>
    <row r="55" spans="1:35" ht="24" customHeight="1">
      <c r="A55" s="3100" t="s">
        <v>2219</v>
      </c>
      <c r="B55" s="3101"/>
      <c r="C55" s="3101"/>
      <c r="D55" s="185">
        <f ca="1">IF(H55="个人住宅",0,ROUND(D45*I55,0))</f>
        <v>0</v>
      </c>
      <c r="E55" s="11" t="s">
        <v>2220</v>
      </c>
      <c r="F55" s="184">
        <f>IF(H55="正常",I55,"免征")</f>
        <v>0</v>
      </c>
      <c r="G55" s="2481"/>
      <c r="H55" s="2478" t="s">
        <v>2221</v>
      </c>
      <c r="I55" s="186">
        <f>'数据-取费表'!B49</f>
        <v>0</v>
      </c>
      <c r="J55" s="1809" t="str">
        <f>IF(H59="非个人房产","",4)</f>
        <v/>
      </c>
      <c r="K55" s="3151" t="str">
        <f>IF(H59="非个人房产","——","个人所得税")</f>
        <v>——</v>
      </c>
      <c r="L55" s="3151"/>
      <c r="M55" s="1754" t="str">
        <f>D59</f>
        <v>——</v>
      </c>
      <c r="N55" s="1807" t="str">
        <f>E59</f>
        <v>——</v>
      </c>
      <c r="O55" s="1755" t="str">
        <f>F59</f>
        <v>——</v>
      </c>
    </row>
    <row r="56" spans="1:35" ht="30">
      <c r="A56" s="3100" t="s">
        <v>2222</v>
      </c>
      <c r="B56" s="3101"/>
      <c r="C56" s="3101"/>
      <c r="D56" s="185" t="e">
        <f ca="1">IF(H56="个人住宅",D57,D58)</f>
        <v>#DIV/0!</v>
      </c>
      <c r="E56" s="11" t="s">
        <v>2223</v>
      </c>
      <c r="F56" s="184" t="str">
        <f>IF(H56="正常",F58,"免征")</f>
        <v>——</v>
      </c>
      <c r="G56" s="2483" t="s">
        <v>2224</v>
      </c>
      <c r="H56" s="2484" t="s">
        <v>2221</v>
      </c>
      <c r="I56" s="2485"/>
      <c r="J56" s="1809" t="str">
        <f>IF(项目基本情况!K6="上海银行",IF(J55="",4,J55+1),"")</f>
        <v/>
      </c>
      <c r="K56" s="3179" t="str">
        <f>IF(项目基本情况!K6="上海银行","其他处置费用","")</f>
        <v/>
      </c>
      <c r="L56" s="3180"/>
      <c r="M56" s="1751" t="str">
        <f>IF(项目基本情况!K6="上海银行",M69,"")</f>
        <v/>
      </c>
      <c r="N56" s="3182" t="str">
        <f>IF(项目基本情况!K6="上海银行","包含处置中涉及的律师、诉讼、拍卖、评估等费用","")</f>
        <v/>
      </c>
      <c r="O56" s="3183"/>
    </row>
    <row r="57" spans="1:35" ht="15">
      <c r="A57" s="183" t="s">
        <v>2197</v>
      </c>
      <c r="B57" s="3116" t="s">
        <v>2225</v>
      </c>
      <c r="C57" s="3125"/>
      <c r="D57" s="187">
        <v>0</v>
      </c>
      <c r="E57" s="23" t="s">
        <v>2199</v>
      </c>
      <c r="F57" s="155"/>
      <c r="G57" s="2481"/>
      <c r="H57" s="2485"/>
      <c r="I57" s="2485"/>
      <c r="J57" s="3151">
        <f>IF(AND(J55="",J56=""),4,IF(项目基本情况!K6="上海银行",结果表!J56+1,结果表!J55+1))</f>
        <v>4</v>
      </c>
      <c r="K57" s="3151" t="s">
        <v>2226</v>
      </c>
      <c r="L57" s="2486" t="s">
        <v>2227</v>
      </c>
      <c r="M57" s="1756"/>
      <c r="N57" s="1757">
        <f ca="1">SUMIF(M52:M56,"&lt;9e307")</f>
        <v>0</v>
      </c>
      <c r="O57" s="2487"/>
      <c r="P57" s="1750" t="e">
        <f ca="1">N57/M49</f>
        <v>#VALUE!</v>
      </c>
    </row>
    <row r="58" spans="1:35" ht="30">
      <c r="A58" s="183" t="s">
        <v>2208</v>
      </c>
      <c r="B58" s="3116" t="s">
        <v>2228</v>
      </c>
      <c r="C58" s="3117"/>
      <c r="D58" s="185" t="e">
        <f ca="1">IF(H58="转让取得",C81,C97)</f>
        <v>#DIV/0!</v>
      </c>
      <c r="E58" s="11" t="s">
        <v>2223</v>
      </c>
      <c r="F58" s="24" t="s">
        <v>34</v>
      </c>
      <c r="G58" s="2481"/>
      <c r="H58" s="2484" t="s">
        <v>2229</v>
      </c>
      <c r="I58" s="2485"/>
      <c r="J58" s="3151"/>
      <c r="K58" s="3151"/>
      <c r="L58" s="2486" t="s">
        <v>2230</v>
      </c>
      <c r="M58" s="1758"/>
      <c r="N58" s="2488" t="str">
        <f ca="1">NUMBERSTRING(INT(N57*10000),2)&amp;"元整"</f>
        <v>零元整</v>
      </c>
      <c r="O58" s="2489"/>
    </row>
    <row r="59" spans="1:35" ht="31" thickBot="1">
      <c r="A59" s="3154" t="s">
        <v>2231</v>
      </c>
      <c r="B59" s="3155"/>
      <c r="C59" s="3155"/>
      <c r="D59" s="188" t="str">
        <f>IF(H59="非个人房产","——",IF(H59="个人住宅",0,ROUND(D45*I59,0)))</f>
        <v>——</v>
      </c>
      <c r="E59" s="189" t="str">
        <f>IF(H59="非个人房产","——","销售额×税（费）率")</f>
        <v>——</v>
      </c>
      <c r="F59" s="190" t="str">
        <f>IF(H59="非个人房产","——",IF(H59="个人住宅","免征",I59))</f>
        <v>——</v>
      </c>
      <c r="G59" s="2490" t="s">
        <v>2224</v>
      </c>
      <c r="H59" s="2484" t="s">
        <v>2232</v>
      </c>
      <c r="I59" s="191">
        <v>0.01</v>
      </c>
      <c r="J59" s="3152">
        <f>J57+1</f>
        <v>5</v>
      </c>
      <c r="K59" s="3151" t="s">
        <v>2233</v>
      </c>
      <c r="L59" s="1809" t="s">
        <v>2227</v>
      </c>
      <c r="M59" s="1759"/>
      <c r="N59" s="1760" t="e">
        <f ca="1">M49-N57</f>
        <v>#VALUE!</v>
      </c>
      <c r="O59" s="2491"/>
    </row>
    <row r="60" spans="1:35" ht="12" customHeight="1">
      <c r="A60" s="2492"/>
      <c r="B60" s="2414"/>
      <c r="C60" s="2414"/>
      <c r="D60" s="2414"/>
      <c r="E60" s="2164"/>
      <c r="F60" s="2485"/>
      <c r="G60" s="2485"/>
      <c r="H60" s="2493"/>
      <c r="I60" s="138"/>
      <c r="J60" s="3153"/>
      <c r="K60" s="3151"/>
      <c r="L60" s="2486" t="s">
        <v>2230</v>
      </c>
      <c r="M60" s="1758"/>
      <c r="N60" s="2488" t="e">
        <f ca="1">NUMBERSTRING(INT(N59*10000),2)&amp;"元整"</f>
        <v>#VALUE!</v>
      </c>
      <c r="O60" s="2489"/>
    </row>
    <row r="61" spans="1:35" ht="15" thickBot="1">
      <c r="A61" s="3098" t="s">
        <v>2234</v>
      </c>
      <c r="B61" s="3098"/>
      <c r="C61" s="3098"/>
      <c r="D61" s="3098"/>
      <c r="E61" s="3098"/>
      <c r="F61" s="2485"/>
      <c r="G61" s="2485"/>
      <c r="H61" s="2493"/>
      <c r="I61" s="138"/>
      <c r="J61" s="1809">
        <f>J59+1</f>
        <v>6</v>
      </c>
      <c r="K61" s="3151" t="s">
        <v>2235</v>
      </c>
      <c r="L61" s="3151"/>
      <c r="M61" s="1761"/>
      <c r="N61" s="1762" t="e">
        <f ca="1">ROUND(N59*10000/'数据-汇总表'!E3,0)</f>
        <v>#VALUE!</v>
      </c>
      <c r="O61" s="2494"/>
    </row>
    <row r="62" spans="1:35" ht="15">
      <c r="A62" s="3114" t="s">
        <v>2236</v>
      </c>
      <c r="B62" s="3115"/>
      <c r="C62" s="1801"/>
      <c r="D62" s="1801" t="s">
        <v>2237</v>
      </c>
      <c r="E62" s="192" t="s">
        <v>2238</v>
      </c>
      <c r="F62" s="2485"/>
      <c r="G62" s="2485"/>
      <c r="H62" s="2493"/>
      <c r="I62" s="138"/>
    </row>
    <row r="63" spans="1:35" ht="15">
      <c r="A63" s="203" t="s">
        <v>775</v>
      </c>
      <c r="B63" s="193" t="s">
        <v>2239</v>
      </c>
      <c r="C63" s="194">
        <f ca="1">ROUND((C64+C65)/(1+'数据-取费表'!C42),0)</f>
        <v>453051</v>
      </c>
      <c r="D63" s="195"/>
      <c r="E63" s="196"/>
      <c r="F63" s="2485"/>
      <c r="G63" s="2485"/>
      <c r="H63" s="2493"/>
      <c r="I63" s="138"/>
      <c r="J63" s="3181" t="s">
        <v>2240</v>
      </c>
      <c r="K63" s="2495" t="s">
        <v>2241</v>
      </c>
      <c r="L63" s="1749" t="e">
        <f>IF(M49&gt;10000,M49*0.5%,IF(AND(M49&gt;1000,M49&lt;=10000),M49*1%,IF(AND(M49&gt;100,M49&lt;=1000),M49*3%,IF(AND(M49&gt;10,M49&lt;=100),M49*5%,M49*8%))))</f>
        <v>#VALUE!</v>
      </c>
      <c r="M63" s="24" t="e">
        <f>ROUND(L63,1)</f>
        <v>#VALUE!</v>
      </c>
      <c r="Z63" s="2419"/>
      <c r="AI63" s="2420"/>
    </row>
    <row r="64" spans="1:35" ht="14.25" customHeight="1">
      <c r="A64" s="197" t="s">
        <v>770</v>
      </c>
      <c r="B64" s="198" t="s">
        <v>2242</v>
      </c>
      <c r="C64" s="199">
        <f ca="1">D45</f>
        <v>453051</v>
      </c>
      <c r="D64" s="200" t="s">
        <v>32</v>
      </c>
      <c r="E64" s="201"/>
      <c r="F64" s="2485"/>
      <c r="G64" s="2485"/>
      <c r="H64" s="2493"/>
      <c r="I64" s="138"/>
      <c r="J64" s="3181"/>
      <c r="K64" s="2495" t="s">
        <v>2243</v>
      </c>
      <c r="L64" s="1749" t="e">
        <f>IF(M49&gt;2000,M49*0.5%,IF(AND(M49&gt;1000,M49&lt;=2000),M49*0.6%,IF(AND(M49&gt;500,M49&lt;=1000),M49*0.7%,IF(AND(M49&gt;200,M49&lt;=500),M49*0.8%,IF(AND(M49&gt;100,M49&lt;=200),M49*0.9%,IF(AND(M49&gt;50,M49&lt;=100),M49*1%,IF(AND(M49&gt;20,M49&lt;=50),M49*1.5%,IF(AND(M49&gt;10,M49&lt;=20),M49*2%,IF(AND(M49&gt;1,M49&lt;=10),M49*2.5%)))))))))</f>
        <v>#VALUE!</v>
      </c>
      <c r="M64" s="24" t="e">
        <f>ROUND(L64,1)</f>
        <v>#VALUE!</v>
      </c>
      <c r="N64" s="138" t="s">
        <v>2244</v>
      </c>
      <c r="Z64" s="2419"/>
      <c r="AI64" s="2420"/>
    </row>
    <row r="65" spans="1:35" ht="14.25" customHeight="1">
      <c r="A65" s="197" t="s">
        <v>771</v>
      </c>
      <c r="B65" s="198" t="s">
        <v>2245</v>
      </c>
      <c r="C65" s="202"/>
      <c r="D65" s="200"/>
      <c r="E65" s="201"/>
      <c r="F65" s="2485"/>
      <c r="G65" s="2485"/>
      <c r="H65" s="2493"/>
      <c r="I65" s="138"/>
      <c r="J65" s="3181"/>
      <c r="K65" s="2495" t="s">
        <v>2246</v>
      </c>
      <c r="L65" s="1749" t="e">
        <f>IF(M49&gt;1000,M49*0.1%,IF(AND(M49&gt;500,M49&lt;=1000),M49*0.5%,IF(AND(M49&gt;50,M49&lt;=500),M49*1%,IF(AND(M49&gt;1,M49&lt;=50),M49*1.5%))))</f>
        <v>#VALUE!</v>
      </c>
      <c r="M65" s="24" t="e">
        <f>ROUND(L65,1)</f>
        <v>#VALUE!</v>
      </c>
      <c r="N65" s="138" t="s">
        <v>2244</v>
      </c>
      <c r="Z65" s="2419"/>
      <c r="AI65" s="2420"/>
    </row>
    <row r="66" spans="1:35" ht="14.25" customHeight="1">
      <c r="A66" s="203" t="s">
        <v>772</v>
      </c>
      <c r="B66" s="204" t="s">
        <v>2247</v>
      </c>
      <c r="C66" s="205"/>
      <c r="D66" s="206" t="s">
        <v>32</v>
      </c>
      <c r="E66" s="1773" t="s">
        <v>1366</v>
      </c>
      <c r="F66" s="2485"/>
      <c r="G66" s="2485"/>
      <c r="H66" s="2493"/>
      <c r="I66" s="138"/>
      <c r="J66" s="3181"/>
      <c r="K66" s="2495" t="s">
        <v>2248</v>
      </c>
      <c r="L66" s="1749" t="e">
        <f>M49*0.5%</f>
        <v>#VALUE!</v>
      </c>
      <c r="M66" s="24" t="e">
        <f>IF(L66&gt;0.5,0.5,ROUND(L66,0))</f>
        <v>#VALUE!</v>
      </c>
      <c r="N66" s="138" t="s">
        <v>2249</v>
      </c>
      <c r="Z66" s="2419"/>
      <c r="AI66" s="2420"/>
    </row>
    <row r="67" spans="1:35" ht="14.25" customHeight="1">
      <c r="A67" s="203" t="s">
        <v>773</v>
      </c>
      <c r="B67" s="204" t="s">
        <v>2250</v>
      </c>
      <c r="C67" s="207">
        <f ca="1">C63-C66</f>
        <v>453051</v>
      </c>
      <c r="D67" s="200" t="s">
        <v>32</v>
      </c>
      <c r="E67" s="201"/>
      <c r="F67" s="2485"/>
      <c r="G67" s="2485"/>
      <c r="H67" s="2493"/>
      <c r="I67" s="138"/>
      <c r="J67" s="3181"/>
      <c r="K67" s="2495"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9"/>
      <c r="AI67" s="2420"/>
    </row>
    <row r="68" spans="1:35" ht="14.25" customHeight="1" thickBot="1">
      <c r="A68" s="208" t="s">
        <v>774</v>
      </c>
      <c r="B68" s="209" t="s">
        <v>2252</v>
      </c>
      <c r="C68" s="210">
        <f ca="1">IF(C67&lt;=0,0,ROUND(C67*D68,0))</f>
        <v>0</v>
      </c>
      <c r="D68" s="211">
        <f>'数据-取费表'!B41</f>
        <v>0</v>
      </c>
      <c r="E68" s="212"/>
      <c r="F68" s="2485"/>
      <c r="G68" s="2485"/>
      <c r="H68" s="2493"/>
      <c r="I68" s="138"/>
      <c r="J68" s="3181"/>
      <c r="K68" s="2495" t="s">
        <v>2253</v>
      </c>
      <c r="L68" s="1749" t="e">
        <f>IF(M49&gt;10000,M49*0.5%,IF(AND(M49&gt;5000,M49&lt;=10000),M49*1%,IF(AND(M49&gt;1000,M49&lt;=5000),M49*2%,IF(AND(M49&gt;200,M49&lt;=1000),M49*3%,M49*5%))))</f>
        <v>#VALUE!</v>
      </c>
      <c r="M68" s="24" t="e">
        <f>ROUND(L68,1)</f>
        <v>#VALUE!</v>
      </c>
      <c r="Z68" s="2419"/>
      <c r="AI68" s="2420"/>
    </row>
    <row r="69" spans="1:35" s="2442" customFormat="1" ht="16.5" customHeight="1">
      <c r="A69" s="2496"/>
      <c r="B69" s="2497"/>
      <c r="C69" s="2498"/>
      <c r="D69" s="2499"/>
      <c r="E69" s="2500"/>
      <c r="F69" s="2164"/>
      <c r="G69" s="2164"/>
      <c r="H69" s="2163"/>
      <c r="I69" s="2414"/>
      <c r="J69" s="3181"/>
      <c r="K69" s="2495" t="s">
        <v>2254</v>
      </c>
      <c r="L69" s="2501"/>
      <c r="M69" s="24" t="e">
        <f>ROUND(SUM(M63:M68),0)</f>
        <v>#VALUE!</v>
      </c>
      <c r="N69" s="1750" t="e">
        <f>M69/M49</f>
        <v>#VALUE!</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35" t="s">
        <v>2255</v>
      </c>
      <c r="B70" s="3136"/>
      <c r="C70" s="3136"/>
      <c r="D70" s="3136"/>
      <c r="E70" s="3136"/>
      <c r="F70" s="3136"/>
      <c r="G70" s="3136"/>
      <c r="H70" s="313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5">
      <c r="A71" s="3114" t="s">
        <v>2236</v>
      </c>
      <c r="B71" s="3115"/>
      <c r="C71" s="1801"/>
      <c r="D71" s="1801" t="s">
        <v>2237</v>
      </c>
      <c r="E71" s="213" t="s">
        <v>2238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5">
      <c r="A72" s="203" t="s">
        <v>775</v>
      </c>
      <c r="B72" s="204" t="s">
        <v>2256</v>
      </c>
      <c r="C72" s="207">
        <f ca="1">ROUND(D45/(1+'数据-取费表'!C42),0)</f>
        <v>453051</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5">
      <c r="A73" s="203" t="s">
        <v>772</v>
      </c>
      <c r="B73" s="173" t="s">
        <v>2257</v>
      </c>
      <c r="C73" s="207">
        <f ca="1">C74+C78</f>
        <v>0</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30">
      <c r="A74" s="217" t="s">
        <v>770</v>
      </c>
      <c r="B74" s="198" t="s">
        <v>2258</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5">
      <c r="A75" s="217" t="s">
        <v>776</v>
      </c>
      <c r="B75" s="198" t="s">
        <v>2259</v>
      </c>
      <c r="C75" s="218"/>
      <c r="D75" s="200" t="s">
        <v>32</v>
      </c>
      <c r="E75" s="219" t="s">
        <v>2260</v>
      </c>
      <c r="F75" s="2507" t="s">
        <v>2261</v>
      </c>
      <c r="G75" s="219" t="s">
        <v>2262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2263</v>
      </c>
      <c r="C76" s="200">
        <f>IF(F75="购房发票",ROUND(C75*H75*D76,0),0)</f>
        <v>0</v>
      </c>
      <c r="D76" s="222">
        <v>0.05</v>
      </c>
      <c r="E76" s="3109" t="s">
        <v>2264</v>
      </c>
      <c r="F76" s="3086"/>
      <c r="G76" s="3086"/>
      <c r="H76" s="313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2265</v>
      </c>
      <c r="C77" s="200">
        <f>ROUND(IF(G77="个人住宅",0,IF(G77="2016年5月1日前购买",C75*D77,C75*D77/(1+'数据-取费表'!C42))),0)</f>
        <v>0</v>
      </c>
      <c r="D77" s="223">
        <f>'数据-取费表'!B48+'数据-取费表'!B49</f>
        <v>0</v>
      </c>
      <c r="E77" s="15" t="s">
        <v>2266</v>
      </c>
      <c r="F77" s="224"/>
      <c r="G77" s="2509" t="s">
        <v>2267</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2268</v>
      </c>
      <c r="C78" s="225">
        <f ca="1">ROUND(D45*D78/(1+'数据-取费表'!C42),0)</f>
        <v>0</v>
      </c>
      <c r="D78" s="226">
        <f>'数据-取费表'!B43</f>
        <v>0</v>
      </c>
      <c r="E78" s="3095" t="s">
        <v>2269</v>
      </c>
      <c r="F78" s="3096"/>
      <c r="G78" s="3096"/>
      <c r="H78" s="310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5">
      <c r="A79" s="2511" t="s">
        <v>779</v>
      </c>
      <c r="B79" s="204" t="s">
        <v>2270</v>
      </c>
      <c r="C79" s="207">
        <f ca="1">C72-C73</f>
        <v>453051</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30">
      <c r="A80" s="2511" t="s">
        <v>780</v>
      </c>
      <c r="B80" s="204" t="s">
        <v>2271</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16" thickBot="1">
      <c r="A81" s="2512" t="s">
        <v>781</v>
      </c>
      <c r="B81" s="209" t="s">
        <v>2272</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35" t="s">
        <v>2273</v>
      </c>
      <c r="B83" s="3136"/>
      <c r="C83" s="3136"/>
      <c r="D83" s="3136"/>
      <c r="E83" s="3136"/>
      <c r="F83" s="3136"/>
      <c r="G83" s="3136"/>
      <c r="H83" s="313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5">
      <c r="A84" s="3114" t="s">
        <v>2236</v>
      </c>
      <c r="B84" s="3115"/>
      <c r="C84" s="1801"/>
      <c r="D84" s="1801" t="s">
        <v>2237</v>
      </c>
      <c r="E84" s="213" t="s">
        <v>2238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5">
      <c r="A85" s="203" t="s">
        <v>775</v>
      </c>
      <c r="B85" s="204" t="s">
        <v>2256</v>
      </c>
      <c r="C85" s="207">
        <f ca="1">ROUND(D45/(1+'数据-取费表'!C42),0)</f>
        <v>453051</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5">
      <c r="A86" s="203" t="s">
        <v>772</v>
      </c>
      <c r="B86" s="173" t="s">
        <v>2257</v>
      </c>
      <c r="C86" s="207">
        <f ca="1">IF(H88="仅含出让金",C87+C90+C91+C92+C93+C94,C87+C91+C92+C93+C94)</f>
        <v>0</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5">
      <c r="A87" s="217" t="s">
        <v>770</v>
      </c>
      <c r="B87" s="198" t="s">
        <v>2274</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5">
      <c r="A88" s="217" t="s">
        <v>776</v>
      </c>
      <c r="B88" s="198" t="s">
        <v>2275</v>
      </c>
      <c r="C88" s="236"/>
      <c r="D88" s="226"/>
      <c r="E88" s="237" t="s">
        <v>2276</v>
      </c>
      <c r="F88" s="1797"/>
      <c r="G88" s="238" t="s">
        <v>2277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5">
      <c r="A89" s="217" t="s">
        <v>777</v>
      </c>
      <c r="B89" s="198" t="s">
        <v>2265</v>
      </c>
      <c r="C89" s="225">
        <f>ROUND(C88*D89,0)</f>
        <v>0</v>
      </c>
      <c r="D89" s="226">
        <f>'数据-取费表'!B48+'数据-取费表'!B49</f>
        <v>0</v>
      </c>
      <c r="E89" s="237" t="s">
        <v>2278</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5">
      <c r="A90" s="217" t="s">
        <v>771</v>
      </c>
      <c r="B90" s="198" t="s">
        <v>2279</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2280</v>
      </c>
      <c r="B91" s="198" t="s">
        <v>2281</v>
      </c>
      <c r="C91" s="225">
        <f>IF(H91="——",成本法!C33,I91)</f>
        <v>0</v>
      </c>
      <c r="D91" s="226"/>
      <c r="E91" s="3095" t="s">
        <v>2282</v>
      </c>
      <c r="F91" s="3096"/>
      <c r="G91" s="3096"/>
      <c r="H91" s="2514" t="s">
        <v>2283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2284</v>
      </c>
      <c r="B92" s="198" t="s">
        <v>2285</v>
      </c>
      <c r="C92" s="225">
        <f>ROUND((C87+C90+C91)*D92,0)</f>
        <v>0</v>
      </c>
      <c r="D92" s="226">
        <v>0.1</v>
      </c>
      <c r="E92" s="3095" t="s">
        <v>2286</v>
      </c>
      <c r="F92" s="3096"/>
      <c r="G92" s="3096"/>
      <c r="H92" s="310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2287</v>
      </c>
      <c r="B93" s="198" t="s">
        <v>2268</v>
      </c>
      <c r="C93" s="225">
        <f ca="1">ROUND(D45*D93/(1+'数据-取费表'!C42),0)</f>
        <v>0</v>
      </c>
      <c r="D93" s="226">
        <f>'数据-取费表'!B43</f>
        <v>0</v>
      </c>
      <c r="E93" s="3095" t="s">
        <v>2269</v>
      </c>
      <c r="F93" s="3096"/>
      <c r="G93" s="3096"/>
      <c r="H93" s="310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2288</v>
      </c>
      <c r="B94" s="198" t="s">
        <v>2289</v>
      </c>
      <c r="C94" s="236">
        <f>ROUND((C87+C90+C91)*D94,0)</f>
        <v>0</v>
      </c>
      <c r="D94" s="226">
        <v>0.2</v>
      </c>
      <c r="E94" s="3106" t="s">
        <v>2290</v>
      </c>
      <c r="F94" s="3107"/>
      <c r="G94" s="3107"/>
      <c r="H94" s="310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5">
      <c r="A95" s="2511" t="s">
        <v>779</v>
      </c>
      <c r="B95" s="204" t="s">
        <v>2270</v>
      </c>
      <c r="C95" s="207">
        <f ca="1">ROUND(C85-C86,0)</f>
        <v>453051</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30">
      <c r="A96" s="2511" t="s">
        <v>780</v>
      </c>
      <c r="B96" s="204" t="s">
        <v>2271</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16" thickBot="1">
      <c r="A97" s="2512" t="s">
        <v>781</v>
      </c>
      <c r="B97" s="209" t="s">
        <v>2272</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2291</v>
      </c>
      <c r="B99" s="2414"/>
      <c r="C99" s="2414"/>
      <c r="D99" s="2414"/>
      <c r="E99" s="2164"/>
      <c r="F99" s="2164"/>
      <c r="G99" s="2164"/>
      <c r="H99" s="2163"/>
      <c r="I99" s="138"/>
    </row>
    <row r="100" spans="1:35" ht="18.75" customHeight="1">
      <c r="A100" s="3080" t="s">
        <v>2292</v>
      </c>
      <c r="B100" s="3081"/>
      <c r="C100" s="3081"/>
      <c r="D100" s="3097"/>
      <c r="E100" s="3081" t="s">
        <v>2293</v>
      </c>
      <c r="F100" s="3081"/>
      <c r="G100" s="3081"/>
      <c r="H100" s="3097"/>
      <c r="I100" s="138"/>
    </row>
    <row r="101" spans="1:35" ht="18.75" customHeight="1">
      <c r="A101" s="3159" t="s">
        <v>2294</v>
      </c>
      <c r="B101" s="3160"/>
      <c r="C101" s="736" t="str">
        <f>C4</f>
        <v>比较法-住宅</v>
      </c>
      <c r="D101" s="737" t="str">
        <f>D4</f>
        <v>比较法-住宅</v>
      </c>
      <c r="E101" s="3178" t="s">
        <v>2295</v>
      </c>
      <c r="F101" s="3127"/>
      <c r="G101" s="2516" t="s">
        <v>2296</v>
      </c>
      <c r="H101" s="1045">
        <f ca="1">H118</f>
        <v>453051</v>
      </c>
      <c r="I101" s="138"/>
    </row>
    <row r="102" spans="1:35" ht="18.75" customHeight="1">
      <c r="A102" s="3129" t="s">
        <v>2297</v>
      </c>
      <c r="B102" s="2516" t="s">
        <v>2296</v>
      </c>
      <c r="C102" s="736">
        <f ca="1">C19</f>
        <v>453051</v>
      </c>
      <c r="D102" s="737">
        <f ca="1">D19</f>
        <v>453051</v>
      </c>
      <c r="E102" s="3178"/>
      <c r="F102" s="3127"/>
      <c r="G102" s="2516" t="s">
        <v>2298</v>
      </c>
      <c r="H102" s="371" t="e">
        <f ca="1">I118</f>
        <v>#DIV/0!</v>
      </c>
      <c r="I102" s="138"/>
    </row>
    <row r="103" spans="1:35" ht="42.75" customHeight="1">
      <c r="A103" s="3129"/>
      <c r="B103" s="2516" t="s">
        <v>2298</v>
      </c>
      <c r="C103" s="738">
        <f ca="1">C20</f>
        <v>52092</v>
      </c>
      <c r="D103" s="739">
        <f ca="1">D20</f>
        <v>52092</v>
      </c>
      <c r="E103" s="3173" t="s">
        <v>2299</v>
      </c>
      <c r="F103" s="3174"/>
      <c r="G103" s="2517" t="s">
        <v>2300</v>
      </c>
      <c r="H103" s="1045">
        <f>IF(D36="正常操作",H104+H105+H106,H105+H106)</f>
        <v>0</v>
      </c>
      <c r="I103" s="138"/>
    </row>
    <row r="104" spans="1:35" ht="18.75" customHeight="1">
      <c r="A104" s="3129" t="s">
        <v>2301</v>
      </c>
      <c r="B104" s="2518" t="s">
        <v>2296</v>
      </c>
      <c r="C104" s="740">
        <f ca="1">H118</f>
        <v>453051</v>
      </c>
      <c r="D104" s="741"/>
      <c r="E104" s="2265" t="s">
        <v>2302</v>
      </c>
      <c r="F104" s="2256"/>
      <c r="G104" s="2517" t="s">
        <v>2300</v>
      </c>
      <c r="H104" s="1046">
        <f>IF(D36="同一抵押权人同一抵押物续贷",C36&amp;"（未扣减，详见特别提示）",C36)</f>
        <v>0</v>
      </c>
      <c r="I104" s="138"/>
    </row>
    <row r="105" spans="1:35" ht="18.75" customHeight="1" thickBot="1">
      <c r="A105" s="3130"/>
      <c r="B105" s="2519" t="s">
        <v>2298</v>
      </c>
      <c r="C105" s="742" t="e">
        <f ca="1">I118</f>
        <v>#DIV/0!</v>
      </c>
      <c r="D105" s="743"/>
      <c r="E105" s="2265" t="s">
        <v>2303</v>
      </c>
      <c r="F105" s="2256"/>
      <c r="G105" s="2517" t="s">
        <v>2300</v>
      </c>
      <c r="H105" s="1046">
        <f>C37</f>
        <v>0</v>
      </c>
      <c r="I105" s="138"/>
    </row>
    <row r="106" spans="1:35" ht="18.75" customHeight="1">
      <c r="A106" s="2414" t="s">
        <v>2304</v>
      </c>
      <c r="B106" s="2414"/>
      <c r="C106" s="2414"/>
      <c r="D106" s="2414"/>
      <c r="E106" s="2520" t="s">
        <v>2305</v>
      </c>
      <c r="F106" s="2256"/>
      <c r="G106" s="2517" t="s">
        <v>2300</v>
      </c>
      <c r="H106" s="1046">
        <f>C38</f>
        <v>0</v>
      </c>
      <c r="I106" s="138"/>
    </row>
    <row r="107" spans="1:35" ht="18.75" customHeight="1">
      <c r="A107" s="138"/>
      <c r="B107" s="138"/>
      <c r="C107" s="138"/>
      <c r="D107" s="138"/>
      <c r="E107" s="3126" t="str">
        <f>IF(项目基本情况!E8="已注销","——","3.房地产抵押价值")</f>
        <v>3.房地产抵押价值</v>
      </c>
      <c r="F107" s="3127"/>
      <c r="G107" s="2516" t="s">
        <v>2296</v>
      </c>
      <c r="H107" s="1045">
        <f ca="1">IF(E107="——","——",H101-H103)</f>
        <v>453051</v>
      </c>
      <c r="I107" s="138"/>
    </row>
    <row r="108" spans="1:35" ht="18.75" customHeight="1">
      <c r="A108" s="138"/>
      <c r="B108" s="138"/>
      <c r="C108" s="138"/>
      <c r="D108" s="138"/>
      <c r="E108" s="3126"/>
      <c r="F108" s="3127"/>
      <c r="G108" s="2516" t="s">
        <v>2298</v>
      </c>
      <c r="H108" s="371">
        <f ca="1">ROUND(H107*10000/'数据-汇总表'!E3,0)</f>
        <v>52092</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v>
      </c>
      <c r="F109" s="3127"/>
      <c r="G109" s="2516" t="s">
        <v>2296</v>
      </c>
      <c r="H109" s="348" t="str">
        <f>IF(E109="——","——",H101-H105-H106)</f>
        <v>——</v>
      </c>
      <c r="I109" s="138"/>
    </row>
    <row r="110" spans="1:35" ht="18.75" customHeight="1">
      <c r="A110" s="138"/>
      <c r="B110" s="138"/>
      <c r="C110" s="138"/>
      <c r="D110" s="138"/>
      <c r="E110" s="3126"/>
      <c r="F110" s="3127"/>
      <c r="G110" s="2516" t="s">
        <v>2298</v>
      </c>
      <c r="H110" s="371" t="str">
        <f>IF(H109="——","——",ROUND(H109*10000/'数据-汇总表'!E3,0))</f>
        <v>——</v>
      </c>
      <c r="I110" s="138"/>
    </row>
    <row r="111" spans="1:35" ht="18.75" customHeight="1">
      <c r="A111" s="138"/>
      <c r="B111" s="138"/>
      <c r="C111" s="138"/>
      <c r="D111" s="138"/>
      <c r="E111" s="3161" t="str">
        <f>IF(项目基本情况!E9="抵押净值",IF(OR(项目基本情况!E8="已注销",项目基本情况!E8="房地产抵押价值"),"4.抵押净值","5.抵押净值"),"——")</f>
        <v>——</v>
      </c>
      <c r="F111" s="3162"/>
      <c r="G111" s="2516" t="s">
        <v>2296</v>
      </c>
      <c r="H111" s="1045" t="str">
        <f>IF(E111="——","——",N59)</f>
        <v>——</v>
      </c>
      <c r="I111" s="138"/>
    </row>
    <row r="112" spans="1:35" ht="18.75" customHeight="1" thickBot="1">
      <c r="A112" s="138"/>
      <c r="B112" s="138"/>
      <c r="C112" s="138"/>
      <c r="D112" s="138"/>
      <c r="E112" s="3163"/>
      <c r="F112" s="3164"/>
      <c r="G112" s="2521" t="s">
        <v>2298</v>
      </c>
      <c r="H112" s="790" t="str">
        <f>IF(E111="——","——",N61)</f>
        <v>——</v>
      </c>
      <c r="I112" s="138"/>
    </row>
    <row r="113" spans="1:11" ht="18.75" customHeight="1">
      <c r="A113" s="138"/>
      <c r="B113" s="138"/>
      <c r="C113" s="138"/>
      <c r="D113" s="138"/>
      <c r="E113" s="3131" t="s">
        <v>2304</v>
      </c>
      <c r="F113" s="3131"/>
      <c r="G113" s="3131"/>
      <c r="H113" s="3131"/>
      <c r="I113" s="138"/>
    </row>
    <row r="114" spans="1:11" ht="3.75" customHeight="1">
      <c r="A114" s="2414"/>
      <c r="B114" s="2414"/>
      <c r="C114" s="2414"/>
      <c r="D114" s="2414"/>
      <c r="E114" s="2492"/>
      <c r="F114" s="2492"/>
      <c r="G114" s="2492"/>
      <c r="H114" s="2492"/>
      <c r="I114" s="2414"/>
    </row>
    <row r="115" spans="1:11" ht="18.75" customHeight="1">
      <c r="A115" s="3144" t="s">
        <v>2306</v>
      </c>
      <c r="B115" s="3145"/>
      <c r="C115" s="3145"/>
      <c r="D115" s="3145"/>
      <c r="E115" s="3145"/>
      <c r="F115" s="3145"/>
      <c r="G115" s="3145"/>
      <c r="H115" s="3145"/>
      <c r="I115" s="3146"/>
    </row>
    <row r="116" spans="1:11" ht="27" customHeight="1">
      <c r="A116" s="3037" t="s">
        <v>2307</v>
      </c>
      <c r="B116" s="3132" t="s">
        <v>2308</v>
      </c>
      <c r="C116" s="3132" t="s">
        <v>2309</v>
      </c>
      <c r="D116" s="3148" t="s">
        <v>2310</v>
      </c>
      <c r="E116" s="3149"/>
      <c r="F116" s="3140" t="s">
        <v>2311</v>
      </c>
      <c r="G116" s="3140"/>
      <c r="H116" s="3037" t="s">
        <v>2312</v>
      </c>
      <c r="I116" s="3037"/>
    </row>
    <row r="117" spans="1:11" ht="18.75" customHeight="1">
      <c r="A117" s="3037"/>
      <c r="B117" s="3133"/>
      <c r="C117" s="3133"/>
      <c r="D117" s="1795" t="s">
        <v>2313</v>
      </c>
      <c r="E117" s="1795" t="s">
        <v>2314</v>
      </c>
      <c r="F117" s="1795" t="s">
        <v>2313</v>
      </c>
      <c r="G117" s="1795" t="s">
        <v>2315</v>
      </c>
      <c r="H117" s="1795" t="s">
        <v>2313</v>
      </c>
      <c r="I117" s="1795" t="s">
        <v>2315</v>
      </c>
    </row>
    <row r="118" spans="1:11" ht="24.75" customHeight="1">
      <c r="A118" s="2522" t="str">
        <f>项目基本情况!S2</f>
        <v>北京市北京经济技术开发区河西区X90R1、X90S1地块出让国有建设用地使用权及在建建筑物房地产</v>
      </c>
      <c r="B118" s="1795">
        <f>M18</f>
        <v>0</v>
      </c>
      <c r="C118" s="1795">
        <f>M19</f>
        <v>0</v>
      </c>
      <c r="D118" s="1795" t="e">
        <f ca="1">ROUND(IF(D32="总价",C34,E118*B118/10000),0)</f>
        <v>#REF!</v>
      </c>
      <c r="E118" s="1795" t="e">
        <f ca="1">ROUND(IF(C33="自定义",IF(D32="楼面单价",C34,D118*10000/B118),I118-G118),0)</f>
        <v>#DIV/0!</v>
      </c>
      <c r="F118" s="1795" t="e">
        <f ca="1">ROUND(IF(D32="总价",C35,G118*B118/10000),0)</f>
        <v>#REF!</v>
      </c>
      <c r="G118" s="1795" t="e">
        <f ca="1">ROUND(IF(D32="楼面单价",C35,F118*10000/B118),0)</f>
        <v>#REF!</v>
      </c>
      <c r="H118" s="1795">
        <f ca="1">ROUND(IF(D32="总价",C32,I118*B118/10000),0)</f>
        <v>453051</v>
      </c>
      <c r="I118" s="1795" t="e">
        <f ca="1">ROUND(IF(D32="楼面单价",C32,H118*10000/B118),0)</f>
        <v>#DIV/0!</v>
      </c>
    </row>
    <row r="119" spans="1:11" ht="18.75" customHeight="1">
      <c r="A119" s="3037" t="s">
        <v>2316</v>
      </c>
      <c r="B119" s="3037"/>
      <c r="C119" s="3037"/>
      <c r="D119" s="3137" t="e">
        <f ca="1">NUMBERSTRING(INT(D118*10000),2)&amp;"元整"</f>
        <v>#REF!</v>
      </c>
      <c r="E119" s="3139"/>
      <c r="F119" s="3137" t="e">
        <f ca="1">NUMBERSTRING(INT(F118*10000),2)&amp;"元整"</f>
        <v>#REF!</v>
      </c>
      <c r="G119" s="3139"/>
      <c r="H119" s="3137" t="str">
        <f ca="1">NUMBERSTRING(INT(H118*10000),2)&amp;"元整"</f>
        <v>肆拾伍亿叁仟零伍拾壹万元整</v>
      </c>
      <c r="I119" s="3139"/>
    </row>
    <row r="120" spans="1:11" ht="18.75" customHeight="1">
      <c r="A120" s="3165" t="str">
        <f>IF(项目基本情况!B9="房地产市场价值","",MID(E103,3,LEN(E103)-2))</f>
        <v/>
      </c>
      <c r="B120" s="3166"/>
      <c r="C120" s="3167"/>
      <c r="D120" s="3165">
        <f>H103</f>
        <v>0</v>
      </c>
      <c r="E120" s="3166"/>
      <c r="F120" s="3166"/>
      <c r="G120" s="3166"/>
      <c r="H120" s="3166"/>
      <c r="I120" s="3167"/>
      <c r="K120" s="2419" t="str">
        <f>IF(D120=0,"故，本次评估不存在"&amp;A120,"故，本次评估"&amp;A120&amp;"为人民币"&amp;D120&amp;"万元整。")</f>
        <v>故，本次评估不存在</v>
      </c>
    </row>
    <row r="121" spans="1:11" ht="18.75" customHeight="1">
      <c r="A121" s="3141" t="s">
        <v>2316</v>
      </c>
      <c r="B121" s="3142"/>
      <c r="C121" s="3143"/>
      <c r="D121" s="3137" t="str">
        <f>IF(D120=0,"零元整",NUMBERSTRING(INT(D120*10000),2)&amp;"元整")</f>
        <v>零元整</v>
      </c>
      <c r="E121" s="3138"/>
      <c r="F121" s="3138"/>
      <c r="G121" s="3138"/>
      <c r="H121" s="3138"/>
      <c r="I121" s="3139"/>
    </row>
    <row r="122" spans="1:11" ht="18.75" customHeight="1">
      <c r="A122" s="3128" t="str">
        <f>IF(项目基本情况!B9="房地产市场价值","",MID(E107,3,LEN(E107)-2))</f>
        <v/>
      </c>
      <c r="B122" s="3128"/>
      <c r="C122" s="3128"/>
      <c r="D122" s="3165">
        <f ca="1">H107</f>
        <v>453051</v>
      </c>
      <c r="E122" s="3166"/>
      <c r="F122" s="3166"/>
      <c r="G122" s="3166"/>
      <c r="H122" s="3166"/>
      <c r="I122" s="3167"/>
    </row>
    <row r="123" spans="1:11" ht="18.75" customHeight="1">
      <c r="A123" s="3037" t="s">
        <v>2316</v>
      </c>
      <c r="B123" s="3037"/>
      <c r="C123" s="3037"/>
      <c r="D123" s="3137" t="str">
        <f ca="1">NUMBERSTRING(INT(D122*10000),2)&amp;"元整"</f>
        <v>肆拾伍亿叁仟零伍拾壹万元整</v>
      </c>
      <c r="E123" s="3138"/>
      <c r="F123" s="3138"/>
      <c r="G123" s="3138"/>
      <c r="H123" s="3138"/>
      <c r="I123" s="3139"/>
    </row>
    <row r="124" spans="1:11" ht="18.75" customHeight="1">
      <c r="A124" s="3128" t="str">
        <f>IF(项目基本情况!B9="房地产市场价值","",MID(E109,3,LEN(E109)-2))</f>
        <v/>
      </c>
      <c r="B124" s="3128"/>
      <c r="C124" s="3128"/>
      <c r="D124" s="3165" t="str">
        <f>H109</f>
        <v>——</v>
      </c>
      <c r="E124" s="3166"/>
      <c r="F124" s="3166"/>
      <c r="G124" s="3166"/>
      <c r="H124" s="3166"/>
      <c r="I124" s="3167"/>
    </row>
    <row r="125" spans="1:11" ht="18.75" customHeight="1">
      <c r="A125" s="3037" t="s">
        <v>2316</v>
      </c>
      <c r="B125" s="3037"/>
      <c r="C125" s="3037"/>
      <c r="D125" s="3137" t="e">
        <f>NUMBERSTRING(INT(D124*10000),2)&amp;"元整"</f>
        <v>#VALUE!</v>
      </c>
      <c r="E125" s="3138"/>
      <c r="F125" s="3138"/>
      <c r="G125" s="3138"/>
      <c r="H125" s="3138"/>
      <c r="I125" s="3139"/>
    </row>
    <row r="126" spans="1:11" ht="18.75" customHeight="1">
      <c r="A126" s="3128" t="str">
        <f>IF(项目基本情况!B9="房地产市场价值","",MID(E111,3,LEN(E111)-2))</f>
        <v/>
      </c>
      <c r="B126" s="3128"/>
      <c r="C126" s="3128"/>
      <c r="D126" s="3165" t="str">
        <f>H111</f>
        <v>——</v>
      </c>
      <c r="E126" s="3166"/>
      <c r="F126" s="3166"/>
      <c r="G126" s="3166"/>
      <c r="H126" s="3166"/>
      <c r="I126" s="3167"/>
    </row>
    <row r="127" spans="1:11" ht="18.75" customHeight="1">
      <c r="A127" s="3037" t="s">
        <v>2316</v>
      </c>
      <c r="B127" s="3037"/>
      <c r="C127" s="3037"/>
      <c r="D127" s="3137" t="e">
        <f>NUMBERSTRING(INT(D126*10000),2)&amp;"元整"</f>
        <v>#VALUE!</v>
      </c>
      <c r="E127" s="3138"/>
      <c r="F127" s="3138"/>
      <c r="G127" s="3138"/>
      <c r="H127" s="3138"/>
      <c r="I127" s="3139"/>
    </row>
    <row r="128" spans="1:11" ht="21.75" customHeight="1">
      <c r="A128" s="3147" t="s">
        <v>2317</v>
      </c>
      <c r="B128" s="3147"/>
      <c r="C128" s="3147"/>
      <c r="D128" s="3147"/>
      <c r="E128" s="3147"/>
      <c r="F128" s="3147"/>
      <c r="G128" s="3147"/>
      <c r="H128" s="3147"/>
      <c r="I128" s="3147"/>
    </row>
    <row r="129" spans="1:35" ht="21.75" customHeight="1">
      <c r="A129" s="2523" t="s">
        <v>2318</v>
      </c>
      <c r="B129" s="2524"/>
      <c r="C129" s="2525" t="s">
        <v>2319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2320</v>
      </c>
      <c r="G135" s="2540"/>
      <c r="H135" s="2540"/>
      <c r="I135" s="2541" t="s">
        <v>2321</v>
      </c>
    </row>
    <row r="136" spans="1:35" ht="21.75" customHeight="1">
      <c r="A136" s="795"/>
      <c r="B136" s="2542"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2323</v>
      </c>
    </row>
    <row r="139" spans="1:35" ht="21.75" customHeight="1">
      <c r="A139" s="795"/>
      <c r="B139" s="2542" t="s">
        <v>2324</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2323</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7">
    <mergeCell ref="K23:L23"/>
    <mergeCell ref="K26:M26"/>
    <mergeCell ref="K27:M27"/>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workbookViewId="0">
      <selection activeCell="B6" sqref="B6:C6"/>
    </sheetView>
  </sheetViews>
  <sheetFormatPr baseColWidth="10" defaultColWidth="8.33203125" defaultRowHeight="13"/>
  <cols>
    <col min="1" max="1" width="10.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254" width="9" style="295" customWidth="1"/>
    <col min="255" max="16384" width="8.33203125" style="295"/>
  </cols>
  <sheetData>
    <row r="1" spans="1:9" s="244" customFormat="1" ht="20">
      <c r="A1" s="240" t="s">
        <v>2325</v>
      </c>
      <c r="B1" s="1936"/>
      <c r="C1" s="242"/>
      <c r="D1" s="242"/>
      <c r="E1" s="242"/>
      <c r="F1" s="242"/>
      <c r="G1" s="1379">
        <f>MATCH(B1,'数据-取费表'!A6:A16,0)+5</f>
        <v>7</v>
      </c>
    </row>
    <row r="2" spans="1:9" s="244" customFormat="1" ht="18" customHeight="1">
      <c r="A2" s="245" t="s">
        <v>2326</v>
      </c>
      <c r="B2" s="246" t="e">
        <f ca="1">IF(D2="——",C52,C52-E2)</f>
        <v>#VALUE!</v>
      </c>
      <c r="C2" s="243" t="s">
        <v>2327</v>
      </c>
      <c r="D2" s="2545" t="s">
        <v>70</v>
      </c>
      <c r="E2" s="1440" t="e">
        <f ca="1">SUMIF(INDIRECT("'"&amp;G2&amp;"'"&amp;"!A:A"),"承租人权益价值",INDIRECT("'"&amp;G2&amp;"'"&amp;"!c:c"))</f>
        <v>#REF!</v>
      </c>
      <c r="F2" s="2546" t="s">
        <v>2327</v>
      </c>
      <c r="G2" s="2547"/>
    </row>
    <row r="3" spans="1:9" s="244" customFormat="1" ht="18" customHeight="1" thickBot="1">
      <c r="A3" s="247" t="s">
        <v>2328</v>
      </c>
      <c r="B3" s="248" t="e">
        <f ca="1">ROUND(B2*10000/(IF(B1="",'数据-汇总表'!E3,INDIRECT("'数据-取费表'!k"&amp;$G$1))),0)</f>
        <v>#VALUE!</v>
      </c>
      <c r="C3" s="243" t="s">
        <v>2329</v>
      </c>
      <c r="D3" s="243"/>
      <c r="E3" s="243"/>
      <c r="F3" s="243"/>
      <c r="G3" s="243"/>
    </row>
    <row r="4" spans="1:9" s="252" customFormat="1" ht="16">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0</v>
      </c>
      <c r="G7" s="263"/>
    </row>
    <row r="8" spans="1:9" s="267" customFormat="1" ht="14">
      <c r="A8" s="949" t="s">
        <v>2340</v>
      </c>
      <c r="B8" s="259" t="s">
        <v>2341</v>
      </c>
      <c r="C8" s="264">
        <f>IF(G8="已包含在土地购买价格中","0",IF(B1="",'数据-取费表'!B29,IF(G9="全部缴纳",C9+C10,H9)))</f>
        <v>0</v>
      </c>
      <c r="D8" s="266"/>
      <c r="E8" s="264"/>
      <c r="F8" s="265"/>
      <c r="G8" s="2548"/>
    </row>
    <row r="9" spans="1:9" s="258" customFormat="1" ht="13.5" customHeight="1">
      <c r="A9" s="950" t="s">
        <v>800</v>
      </c>
      <c r="B9" s="268" t="s">
        <v>2342</v>
      </c>
      <c r="C9" s="269">
        <f ca="1">ROUND(D9*E9/10000,0)</f>
        <v>0</v>
      </c>
      <c r="D9" s="1032">
        <f ca="1">IF(B1="",'数据-汇总表'!E5,IF(INDIRECT("'数据-取费表'!c"&amp;$G$1)="住宅",INDIRECT("'数据-取费表'!k"&amp;$G$1),0))</f>
        <v>86971.4</v>
      </c>
      <c r="E9" s="269">
        <f>'数据-取费表'!B27</f>
        <v>0</v>
      </c>
      <c r="F9" s="265"/>
      <c r="G9" s="2549"/>
      <c r="H9" s="1390"/>
      <c r="I9" s="2550" t="s">
        <v>2343</v>
      </c>
    </row>
    <row r="10" spans="1:9" s="258" customFormat="1" ht="13.5" customHeight="1">
      <c r="A10" s="950" t="s">
        <v>801</v>
      </c>
      <c r="B10" s="268" t="s">
        <v>2344</v>
      </c>
      <c r="C10" s="269">
        <f ca="1">ROUND(D10*E10/10000,0)</f>
        <v>0</v>
      </c>
      <c r="D10" s="1032">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0</v>
      </c>
      <c r="D19" s="1036">
        <f ca="1">D9+D10</f>
        <v>86971.4</v>
      </c>
      <c r="E19" s="255">
        <f>'数据-取费表'!B31</f>
        <v>0</v>
      </c>
      <c r="F19" s="275"/>
      <c r="G19" s="2548"/>
    </row>
    <row r="20" spans="1:7" s="258" customFormat="1" ht="13.5" customHeight="1">
      <c r="A20" s="299" t="s">
        <v>2357</v>
      </c>
      <c r="B20" s="254" t="s">
        <v>2358</v>
      </c>
      <c r="C20" s="276">
        <f ca="1">ROUND((C5+C19)*F20,0)</f>
        <v>0</v>
      </c>
      <c r="D20" s="276"/>
      <c r="E20" s="276"/>
      <c r="F20" s="277">
        <f>'数据-取费表'!B37</f>
        <v>0</v>
      </c>
      <c r="G20" s="278" t="s">
        <v>2359</v>
      </c>
    </row>
    <row r="21" spans="1:7" s="258" customFormat="1" ht="13.5" customHeight="1">
      <c r="A21" s="299" t="s">
        <v>2360</v>
      </c>
      <c r="B21" s="254" t="s">
        <v>2361</v>
      </c>
      <c r="C21" s="279">
        <f>F21</f>
        <v>0</v>
      </c>
      <c r="D21" s="280" t="s">
        <v>2362</v>
      </c>
      <c r="E21" s="276"/>
      <c r="F21" s="277">
        <f>'数据-取费表'!B38</f>
        <v>0</v>
      </c>
      <c r="G21" s="278" t="s">
        <v>2363</v>
      </c>
    </row>
    <row r="22" spans="1:7" s="258" customFormat="1" ht="13.5" customHeight="1">
      <c r="A22" s="299" t="s">
        <v>2364</v>
      </c>
      <c r="B22" s="254" t="s">
        <v>2365</v>
      </c>
      <c r="C22" s="1354" t="e">
        <f ca="1">ROUND(SUM(C23:C25),0)</f>
        <v>#VALUE!</v>
      </c>
      <c r="D22" s="279" t="e">
        <f ca="1">C26</f>
        <v>#VALUE!</v>
      </c>
      <c r="E22" s="280" t="s">
        <v>2362</v>
      </c>
      <c r="F22" s="281" t="e">
        <f ca="1">'数据-取费表'!B40</f>
        <v>#VALUE!</v>
      </c>
      <c r="G22" s="278" t="str">
        <f>IF('数据-取费表'!B22&lt;=1,"单利计息","复利计息")</f>
        <v>单利计息</v>
      </c>
    </row>
    <row r="23" spans="1:7" s="258" customFormat="1" ht="13.5" customHeight="1">
      <c r="A23" s="951" t="s">
        <v>2366</v>
      </c>
      <c r="B23" s="259" t="s">
        <v>2367</v>
      </c>
      <c r="C23" s="1355" t="e">
        <f ca="1">ROUND(IF('数据-取费表'!B22&lt;=1,C5*F22*'数据-取费表'!B23,C5*(POWER((1+F22),'数据-取费表'!B23)-1)),0)</f>
        <v>#VALUE!</v>
      </c>
      <c r="D23" s="282"/>
      <c r="E23" s="282"/>
      <c r="F23" s="283"/>
      <c r="G23" s="284" t="s">
        <v>2368</v>
      </c>
    </row>
    <row r="24" spans="1:7" s="258" customFormat="1" ht="13.5" customHeight="1">
      <c r="A24" s="951" t="s">
        <v>2369</v>
      </c>
      <c r="B24" s="259" t="s">
        <v>2370</v>
      </c>
      <c r="C24" s="1355" t="e">
        <f ca="1">ROUND(IF('数据-取费表'!B22&lt;=1,C19*F22*('数据-取费表'!B19/2+'数据-取费表'!B21),C19*(POWER((1+F22),('数据-取费表'!B19/2+'数据-取费表'!B21))-1)),0)</f>
        <v>#VALUE!</v>
      </c>
      <c r="D24" s="282"/>
      <c r="E24" s="282"/>
      <c r="F24" s="283"/>
      <c r="G24" s="284" t="s">
        <v>2371</v>
      </c>
    </row>
    <row r="25" spans="1:7" s="258" customFormat="1" ht="30">
      <c r="A25" s="951" t="s">
        <v>2372</v>
      </c>
      <c r="B25" s="259" t="s">
        <v>2373</v>
      </c>
      <c r="C25" s="1355" t="e">
        <f ca="1">ROUND(IF('数据-取费表'!B22&lt;=1,C20*F22*'数据-取费表'!B23/2,C20*(POWER((1+F22),'数据-取费表'!B23/2)-1)),0)</f>
        <v>#VALUE!</v>
      </c>
      <c r="D25" s="282"/>
      <c r="E25" s="285"/>
      <c r="F25" s="283"/>
      <c r="G25" s="286" t="s">
        <v>2374</v>
      </c>
    </row>
    <row r="26" spans="1:7" s="258" customFormat="1" ht="14">
      <c r="A26" s="951" t="s">
        <v>795</v>
      </c>
      <c r="B26" s="259" t="s">
        <v>2375</v>
      </c>
      <c r="C26" s="282" t="e">
        <f ca="1">ROUND(IF('数据-取费表'!B22&lt;=1,F21*F22*'数据-取费表'!B23/2,F21*(POWER((1+F22),'数据-取费表'!B23/2)-1)),4)</f>
        <v>#VALUE!</v>
      </c>
      <c r="D26" s="282"/>
      <c r="E26" s="285"/>
      <c r="F26" s="283"/>
      <c r="G26" s="287"/>
    </row>
    <row r="27" spans="1:7" s="258" customFormat="1" ht="30">
      <c r="A27" s="299" t="s">
        <v>2376</v>
      </c>
      <c r="B27" s="288" t="s">
        <v>2377</v>
      </c>
      <c r="C27" s="289" t="e">
        <f ca="1">C28</f>
        <v>#DIV/0!</v>
      </c>
      <c r="D27" s="279" t="e">
        <f ca="1">C29</f>
        <v>#DIV/0!</v>
      </c>
      <c r="E27" s="280" t="s">
        <v>2378</v>
      </c>
      <c r="F27" s="290" t="e">
        <f ca="1">IF(B1="",'数据-取费表'!Q16,INDIRECT("'数据-取费表'!q"&amp;$G$1))</f>
        <v>#DIV/0!</v>
      </c>
      <c r="G27" s="291" t="s">
        <v>2379</v>
      </c>
    </row>
    <row r="28" spans="1:7" s="258" customFormat="1" ht="13.5" customHeight="1">
      <c r="A28" s="951" t="s">
        <v>791</v>
      </c>
      <c r="B28" s="292" t="s">
        <v>2380</v>
      </c>
      <c r="C28" s="293" t="e">
        <f ca="1">ROUND((C5+C19+C20)*F27*'数据-取费表'!B21/'数据-取费表'!B20,0)</f>
        <v>#DIV/0!</v>
      </c>
      <c r="D28" s="279"/>
      <c r="E28" s="280"/>
      <c r="F28" s="290"/>
      <c r="G28" s="291"/>
    </row>
    <row r="29" spans="1:7" s="258" customFormat="1" ht="13.5" customHeight="1">
      <c r="A29" s="951" t="s">
        <v>792</v>
      </c>
      <c r="B29" s="292" t="s">
        <v>2381</v>
      </c>
      <c r="C29" s="282" t="e">
        <f ca="1">ROUND(C21*F27*'数据-取费表'!B21/'数据-取费表'!B20,4)</f>
        <v>#DIV/0!</v>
      </c>
      <c r="D29" s="279"/>
      <c r="E29" s="280"/>
      <c r="F29" s="290"/>
      <c r="G29" s="291"/>
    </row>
    <row r="30" spans="1:7" s="258" customFormat="1" ht="13.5" customHeight="1">
      <c r="A30" s="299" t="s">
        <v>2382</v>
      </c>
      <c r="B30" s="254" t="s">
        <v>2383</v>
      </c>
      <c r="C30" s="279">
        <f>ROUND(F30/(1+'数据-取费表'!C42),4)</f>
        <v>0</v>
      </c>
      <c r="D30" s="280" t="s">
        <v>2378</v>
      </c>
      <c r="E30" s="285"/>
      <c r="F30" s="281">
        <f>'数据-取费表'!B41</f>
        <v>0</v>
      </c>
      <c r="G30" s="278" t="s">
        <v>2384</v>
      </c>
    </row>
    <row r="31" spans="1:7" ht="16.5" customHeight="1">
      <c r="A31" s="253">
        <v>1</v>
      </c>
      <c r="B31" s="254" t="s">
        <v>2385</v>
      </c>
      <c r="C31" s="255" t="e">
        <f ca="1">ROUND((C5+C19+C20+C22+C27)/(1-C21-D22-D27-C30),0)</f>
        <v>#VALUE!</v>
      </c>
      <c r="D31" s="274"/>
      <c r="E31" s="255"/>
      <c r="F31" s="294"/>
      <c r="G31" s="278" t="s">
        <v>2386</v>
      </c>
    </row>
    <row r="32" spans="1:7" s="252" customFormat="1" ht="16">
      <c r="A32" s="296" t="s">
        <v>2387</v>
      </c>
      <c r="B32" s="297"/>
      <c r="C32" s="297"/>
      <c r="D32" s="297"/>
      <c r="E32" s="297"/>
      <c r="F32" s="297"/>
      <c r="G32" s="298"/>
    </row>
    <row r="33" spans="1:7" s="258" customFormat="1" ht="13.5" customHeight="1">
      <c r="A33" s="299" t="s">
        <v>782</v>
      </c>
      <c r="B33" s="254" t="s">
        <v>2388</v>
      </c>
      <c r="C33" s="300">
        <f ca="1">SUM(C34:C38)</f>
        <v>0</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2390</v>
      </c>
    </row>
    <row r="35" spans="1:7" ht="13.5" customHeight="1">
      <c r="A35" s="951" t="s">
        <v>796</v>
      </c>
      <c r="B35" s="259" t="s">
        <v>2391</v>
      </c>
      <c r="C35" s="264">
        <f ca="1">ROUND(C34*F35,0)</f>
        <v>0</v>
      </c>
      <c r="D35" s="264"/>
      <c r="E35" s="264"/>
      <c r="F35" s="303">
        <f>'数据-取费表'!B33</f>
        <v>0</v>
      </c>
      <c r="G35" s="263" t="s">
        <v>2392</v>
      </c>
    </row>
    <row r="36" spans="1:7" ht="30">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0</v>
      </c>
      <c r="D37" s="261">
        <f ca="1">D19</f>
        <v>86971.4</v>
      </c>
      <c r="E37" s="293">
        <f>'数据-取费表'!B35</f>
        <v>0</v>
      </c>
      <c r="F37" s="303"/>
      <c r="G37" s="305" t="s">
        <v>2396</v>
      </c>
    </row>
    <row r="38" spans="1:7" ht="13.5" customHeight="1">
      <c r="A38" s="951" t="s">
        <v>799</v>
      </c>
      <c r="B38" s="259" t="s">
        <v>2397</v>
      </c>
      <c r="C38" s="264">
        <f ca="1">ROUND(C34*F38,0)</f>
        <v>0</v>
      </c>
      <c r="D38" s="264"/>
      <c r="E38" s="264"/>
      <c r="F38" s="303">
        <f>'数据-取费表'!B36</f>
        <v>0</v>
      </c>
      <c r="G38" s="263" t="s">
        <v>2392</v>
      </c>
    </row>
    <row r="39" spans="1:7" s="258" customFormat="1" ht="13.5" customHeight="1">
      <c r="A39" s="299" t="s">
        <v>2398</v>
      </c>
      <c r="B39" s="254" t="s">
        <v>2399</v>
      </c>
      <c r="C39" s="276">
        <f ca="1">ROUND(C33*F20,0)</f>
        <v>0</v>
      </c>
      <c r="D39" s="276"/>
      <c r="E39" s="276"/>
      <c r="F39" s="277"/>
      <c r="G39" s="278" t="s">
        <v>2400</v>
      </c>
    </row>
    <row r="40" spans="1:7" s="258" customFormat="1" ht="13.5" customHeight="1">
      <c r="A40" s="299" t="s">
        <v>2401</v>
      </c>
      <c r="B40" s="254" t="s">
        <v>2402</v>
      </c>
      <c r="C40" s="1728">
        <f>F21</f>
        <v>0</v>
      </c>
      <c r="D40" s="280" t="s">
        <v>2403</v>
      </c>
      <c r="E40" s="276"/>
      <c r="F40" s="277"/>
      <c r="G40" s="278" t="s">
        <v>2404</v>
      </c>
    </row>
    <row r="41" spans="1:7" s="258" customFormat="1" ht="13.5" customHeight="1">
      <c r="A41" s="299" t="s">
        <v>2405</v>
      </c>
      <c r="B41" s="254" t="s">
        <v>2406</v>
      </c>
      <c r="C41" s="276" t="e">
        <f ca="1">ROUND(SUM(C42:C43),0)</f>
        <v>#VALUE!</v>
      </c>
      <c r="D41" s="279" t="e">
        <f ca="1">C44</f>
        <v>#VALUE!</v>
      </c>
      <c r="E41" s="280" t="s">
        <v>2403</v>
      </c>
      <c r="F41" s="281"/>
      <c r="G41" s="278" t="str">
        <f>IF('数据-取费表'!B22&lt;=1,"单利计息","复利计息")</f>
        <v>单利计息</v>
      </c>
    </row>
    <row r="42" spans="1:7" ht="13.5" customHeight="1">
      <c r="A42" s="951" t="s">
        <v>791</v>
      </c>
      <c r="B42" s="259" t="s">
        <v>2407</v>
      </c>
      <c r="C42" s="282" t="e">
        <f ca="1">ROUND(IF('数据-取费表'!B22&lt;=1,C33*F22*'数据-取费表'!B21/2,C33*(POWER((1+F22),'数据-取费表'!B21/2)-1)),0)</f>
        <v>#VALUE!</v>
      </c>
      <c r="D42" s="282"/>
      <c r="E42" s="282"/>
      <c r="F42" s="283"/>
      <c r="G42" s="3184" t="s">
        <v>2408</v>
      </c>
    </row>
    <row r="43" spans="1:7" ht="13.5" customHeight="1">
      <c r="A43" s="951" t="s">
        <v>792</v>
      </c>
      <c r="B43" s="259" t="s">
        <v>2409</v>
      </c>
      <c r="C43" s="282" t="e">
        <f ca="1">ROUND(IF('数据-取费表'!B22&lt;=1,C39*F22*'数据-取费表'!B21/2,C39*(POWER((1+F22),'数据-取费表'!B21/2)-1)),0)</f>
        <v>#VALUE!</v>
      </c>
      <c r="D43" s="282"/>
      <c r="E43" s="282"/>
      <c r="F43" s="283"/>
      <c r="G43" s="3185"/>
    </row>
    <row r="44" spans="1:7" ht="13.5" customHeight="1">
      <c r="A44" s="951" t="s">
        <v>793</v>
      </c>
      <c r="B44" s="259" t="s">
        <v>2410</v>
      </c>
      <c r="C44" s="282" t="e">
        <f ca="1">ROUND(IF('数据-取费表'!B22&lt;=1,C40*F22*'数据-取费表'!B21/2,C40*(POWER((1+F22),'数据-取费表'!B21/2)-1)),4)</f>
        <v>#VALUE!</v>
      </c>
      <c r="D44" s="282"/>
      <c r="E44" s="282"/>
      <c r="F44" s="283"/>
      <c r="G44" s="3186"/>
    </row>
    <row r="45" spans="1:7" s="258" customFormat="1" ht="13.5" customHeight="1">
      <c r="A45" s="299" t="s">
        <v>2411</v>
      </c>
      <c r="B45" s="288" t="s">
        <v>2377</v>
      </c>
      <c r="C45" s="289" t="e">
        <f ca="1">C46</f>
        <v>#DIV/0!</v>
      </c>
      <c r="D45" s="279" t="e">
        <f ca="1">C47</f>
        <v>#DIV/0!</v>
      </c>
      <c r="E45" s="280" t="s">
        <v>2403</v>
      </c>
      <c r="F45" s="290"/>
      <c r="G45" s="291" t="s">
        <v>2412</v>
      </c>
    </row>
    <row r="46" spans="1:7" s="258" customFormat="1" ht="13.5" customHeight="1">
      <c r="A46" s="951" t="s">
        <v>791</v>
      </c>
      <c r="B46" s="292" t="s">
        <v>2413</v>
      </c>
      <c r="C46" s="293" t="e">
        <f ca="1">ROUND((C33+C39)*F27,0)</f>
        <v>#DIV/0!</v>
      </c>
      <c r="D46" s="307"/>
      <c r="E46" s="280"/>
      <c r="F46" s="290"/>
      <c r="G46" s="291"/>
    </row>
    <row r="47" spans="1:7" s="258" customFormat="1" ht="13.5" customHeight="1">
      <c r="A47" s="951" t="s">
        <v>792</v>
      </c>
      <c r="B47" s="292" t="s">
        <v>2414</v>
      </c>
      <c r="C47" s="282" t="e">
        <f ca="1">ROUND(C40*F27,4)</f>
        <v>#DIV/0!</v>
      </c>
      <c r="D47" s="307"/>
      <c r="E47" s="280"/>
      <c r="F47" s="290"/>
      <c r="G47" s="291"/>
    </row>
    <row r="48" spans="1:7" s="258" customFormat="1" ht="13.5" customHeight="1">
      <c r="A48" s="299" t="s">
        <v>2376</v>
      </c>
      <c r="B48" s="254" t="s">
        <v>2415</v>
      </c>
      <c r="C48" s="1728">
        <f>ROUND(F30/(1+'数据-取费表'!C42),4)</f>
        <v>0</v>
      </c>
      <c r="D48" s="280" t="s">
        <v>2403</v>
      </c>
      <c r="E48" s="276"/>
      <c r="F48" s="281"/>
      <c r="G48" s="278" t="s">
        <v>2416</v>
      </c>
    </row>
    <row r="49" spans="1:7" ht="16.5" customHeight="1">
      <c r="A49" s="299" t="s">
        <v>2382</v>
      </c>
      <c r="B49" s="254" t="s">
        <v>2417</v>
      </c>
      <c r="C49" s="276" t="e">
        <f ca="1">ROUND((C33+C39+C41+C45)/(1-C40-D41-D45-C48),0)</f>
        <v>#VALUE!</v>
      </c>
      <c r="D49" s="276"/>
      <c r="E49" s="276"/>
      <c r="F49" s="308"/>
      <c r="G49" s="278" t="s">
        <v>2418</v>
      </c>
    </row>
    <row r="50" spans="1:7" s="302" customFormat="1" ht="30">
      <c r="A50" s="299" t="s">
        <v>2419</v>
      </c>
      <c r="B50" s="254" t="s">
        <v>2420</v>
      </c>
      <c r="C50" s="276"/>
      <c r="D50" s="276"/>
      <c r="E50" s="276"/>
      <c r="F50" s="308" t="e">
        <f>IF('数据-取费表'!B24=0,'数据-取费表'!N16,1)</f>
        <v>#DIV/0!</v>
      </c>
      <c r="G50" s="291" t="s">
        <v>2421</v>
      </c>
    </row>
    <row r="51" spans="1:7" ht="16.5" customHeight="1">
      <c r="A51" s="299" t="s">
        <v>2422</v>
      </c>
      <c r="B51" s="254" t="s">
        <v>2423</v>
      </c>
      <c r="C51" s="276" t="e">
        <f ca="1">ROUND(C49*F50,0)</f>
        <v>#VALUE!</v>
      </c>
      <c r="D51" s="276"/>
      <c r="E51" s="276"/>
      <c r="F51" s="308"/>
      <c r="G51" s="278" t="s">
        <v>2424</v>
      </c>
    </row>
    <row r="52" spans="1:7" s="252" customFormat="1" ht="17" thickBot="1">
      <c r="A52" s="309" t="s">
        <v>2425</v>
      </c>
      <c r="B52" s="310"/>
      <c r="C52" s="311" t="e">
        <f ca="1">C31+C51</f>
        <v>#VALUE!</v>
      </c>
      <c r="D52" s="310"/>
      <c r="E52" s="310"/>
      <c r="F52" s="310"/>
      <c r="G52" s="312"/>
    </row>
    <row r="55" spans="1:7" ht="16">
      <c r="B55" s="314" t="s">
        <v>2426</v>
      </c>
      <c r="C55" s="315"/>
    </row>
    <row r="56" spans="1:7" ht="14">
      <c r="B56" s="317" t="s">
        <v>1507</v>
      </c>
      <c r="C56" s="319" t="e">
        <f ca="1">1-C57</f>
        <v>#VALUE!</v>
      </c>
    </row>
    <row r="57" spans="1:7" ht="14">
      <c r="B57" s="317" t="s">
        <v>1508</v>
      </c>
      <c r="C57" s="318" t="e">
        <f ca="1">ROUND(C51/C52,3)</f>
        <v>#VALUE!</v>
      </c>
    </row>
  </sheetData>
  <sheetProtection password="C66D" sheet="1" objects="1" scenarios="1" formatCells="0"/>
  <mergeCells count="1">
    <mergeCell ref="G42:G44"/>
  </mergeCells>
  <phoneticPr fontId="14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C15" sqref="C15"/>
    </sheetView>
  </sheetViews>
  <sheetFormatPr baseColWidth="10" defaultColWidth="9" defaultRowHeight="14"/>
  <cols>
    <col min="1" max="1" width="3.5" style="1015" customWidth="1"/>
    <col min="2" max="9" width="10" style="1015" customWidth="1"/>
    <col min="10" max="16384" width="9" style="1015"/>
  </cols>
  <sheetData>
    <row r="36" spans="1:9">
      <c r="A36" s="1014" t="s">
        <v>818</v>
      </c>
      <c r="B36" s="1014" t="s">
        <v>819</v>
      </c>
    </row>
    <row r="37" spans="1:9" ht="27.75" customHeight="1">
      <c r="A37" s="1014"/>
      <c r="B37" s="2993" t="str">
        <f>项目基本情况!B1</f>
        <v>北京市北京经济技术开发区河西区X90R1、X90S1地块出让国有建设用地使用权及在建建筑物房地产市场价值预评估</v>
      </c>
      <c r="C37" s="2993"/>
      <c r="D37" s="2993"/>
      <c r="E37" s="2993"/>
      <c r="F37" s="2993"/>
      <c r="G37" s="2993"/>
      <c r="H37" s="2993"/>
      <c r="I37" s="2993"/>
    </row>
    <row r="38" spans="1:9">
      <c r="A38" s="1016"/>
      <c r="B38" s="1016"/>
    </row>
    <row r="39" spans="1:9">
      <c r="A39" s="1014" t="s">
        <v>818</v>
      </c>
      <c r="B39" s="1014" t="s">
        <v>820</v>
      </c>
    </row>
    <row r="40" spans="1:9">
      <c r="A40" s="1014"/>
      <c r="B40" s="1941" t="str">
        <f>项目基本情况!B5</f>
        <v>北京博大新元房地产开发有限公司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 ca="1">项目基本情况!K4</f>
        <v>叶凌（注册号：1119970111)、陈颖（注册号：1120060040)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B6" sqref="B6:C6"/>
    </sheetView>
  </sheetViews>
  <sheetFormatPr baseColWidth="10" defaultColWidth="8.33203125" defaultRowHeight="13"/>
  <cols>
    <col min="1" max="1" width="9.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8" width="10.6640625" style="295" customWidth="1"/>
    <col min="9" max="254" width="9" style="295" customWidth="1"/>
    <col min="255" max="16384" width="8.33203125" style="295"/>
  </cols>
  <sheetData>
    <row r="1" spans="1:8" s="244" customFormat="1" ht="20">
      <c r="A1" s="240" t="s">
        <v>2325</v>
      </c>
      <c r="B1" s="1936"/>
      <c r="C1" s="2551" t="s">
        <v>2427</v>
      </c>
      <c r="D1" s="242"/>
      <c r="E1" s="242"/>
      <c r="F1" s="242"/>
      <c r="G1" s="1379">
        <f>MATCH(B1,'数据-取费表'!A6:A16,0)+5</f>
        <v>7</v>
      </c>
      <c r="H1" s="1282" t="str">
        <f>IF(ISERROR(FIND("住宅",B1)),"非住宅","住宅")</f>
        <v>非住宅</v>
      </c>
    </row>
    <row r="2" spans="1:8" s="244" customFormat="1" ht="18" customHeight="1">
      <c r="A2" s="245" t="s">
        <v>2326</v>
      </c>
      <c r="B2" s="246" t="e">
        <f ca="1">ROUND(IF(D2="——",C52/10000,C52/10000-E2),0)</f>
        <v>#VALUE!</v>
      </c>
      <c r="C2" s="243" t="s">
        <v>2327</v>
      </c>
      <c r="D2" s="2545" t="s">
        <v>70</v>
      </c>
      <c r="E2" s="1440" t="e">
        <f ca="1">SUMIF(INDIRECT("'"&amp;G2&amp;"'"&amp;"!A:A"),"承租人权益价值",INDIRECT("'"&amp;G2&amp;"'"&amp;"!c:c"))</f>
        <v>#REF!</v>
      </c>
      <c r="F2" s="2546" t="s">
        <v>2327</v>
      </c>
      <c r="G2" s="2547"/>
    </row>
    <row r="3" spans="1:8" s="244" customFormat="1" ht="18" customHeight="1" thickBot="1">
      <c r="A3" s="247" t="s">
        <v>2328</v>
      </c>
      <c r="B3" s="248" t="e">
        <f ca="1">ROUND(B2*10000/(IF(B1="",'数据-汇总表'!E3,INDIRECT("'数据-取费表'!k"&amp;$G$1))),0)</f>
        <v>#VALUE!</v>
      </c>
      <c r="C3" s="243" t="s">
        <v>2329</v>
      </c>
      <c r="D3" s="243"/>
      <c r="E3" s="243"/>
      <c r="F3" s="243"/>
      <c r="G3" s="243"/>
    </row>
    <row r="4" spans="1:8" s="252" customFormat="1" ht="16">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0</v>
      </c>
      <c r="G7" s="263"/>
    </row>
    <row r="8" spans="1:8" s="267" customFormat="1" ht="14">
      <c r="A8" s="949" t="s">
        <v>2340</v>
      </c>
      <c r="B8" s="259" t="s">
        <v>2341</v>
      </c>
      <c r="C8" s="264">
        <f ca="1">IF(G8="已包含在土地购买价格中",0,C9+C10)</f>
        <v>0</v>
      </c>
      <c r="D8" s="266"/>
      <c r="E8" s="264"/>
      <c r="F8" s="265"/>
      <c r="G8" s="2548"/>
    </row>
    <row r="9" spans="1:8" s="258" customFormat="1" ht="13.5" customHeight="1">
      <c r="A9" s="950" t="s">
        <v>800</v>
      </c>
      <c r="B9" s="268" t="s">
        <v>2342</v>
      </c>
      <c r="C9" s="269">
        <f ca="1">ROUND(D9*E9,0)</f>
        <v>0</v>
      </c>
      <c r="D9" s="1032">
        <f ca="1">IF(B1="",'数据-汇总表'!E5,IF(INDIRECT("'数据-取费表'!c"&amp;$G$1)="住宅",INDIRECT("'数据-取费表'!k"&amp;$G$1),0))</f>
        <v>86971.4</v>
      </c>
      <c r="E9" s="269">
        <f>'数据-取费表'!B27</f>
        <v>0</v>
      </c>
      <c r="F9" s="265"/>
      <c r="G9" s="270"/>
    </row>
    <row r="10" spans="1:8" s="258" customFormat="1" ht="13.5" customHeight="1">
      <c r="A10" s="950" t="s">
        <v>801</v>
      </c>
      <c r="B10" s="268" t="s">
        <v>2344</v>
      </c>
      <c r="C10" s="269">
        <f ca="1">ROUND(D10*E10,0)</f>
        <v>0</v>
      </c>
      <c r="D10" s="1032">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0</v>
      </c>
      <c r="D19" s="1036">
        <f ca="1">D9+D10</f>
        <v>86971.4</v>
      </c>
      <c r="E19" s="255">
        <f>'数据-取费表'!B31</f>
        <v>0</v>
      </c>
      <c r="F19" s="275"/>
      <c r="G19" s="2548"/>
    </row>
    <row r="20" spans="1:7" s="258" customFormat="1" ht="13.5" customHeight="1">
      <c r="A20" s="299" t="s">
        <v>2438</v>
      </c>
      <c r="B20" s="254" t="s">
        <v>2439</v>
      </c>
      <c r="C20" s="276">
        <f ca="1">ROUND((C5+C19)*F20,0)</f>
        <v>0</v>
      </c>
      <c r="D20" s="276"/>
      <c r="E20" s="276"/>
      <c r="F20" s="277">
        <f>'数据-取费表'!B37</f>
        <v>0</v>
      </c>
      <c r="G20" s="278" t="s">
        <v>2440</v>
      </c>
    </row>
    <row r="21" spans="1:7" s="258" customFormat="1" ht="13.5" customHeight="1">
      <c r="A21" s="299" t="s">
        <v>2441</v>
      </c>
      <c r="B21" s="254" t="s">
        <v>2442</v>
      </c>
      <c r="C21" s="279">
        <f>F21</f>
        <v>0</v>
      </c>
      <c r="D21" s="280" t="s">
        <v>2443</v>
      </c>
      <c r="E21" s="276"/>
      <c r="F21" s="277">
        <f>'数据-取费表'!B38</f>
        <v>0</v>
      </c>
      <c r="G21" s="278" t="s">
        <v>2444</v>
      </c>
    </row>
    <row r="22" spans="1:7" s="258" customFormat="1" ht="13.5" customHeight="1">
      <c r="A22" s="299" t="s">
        <v>2445</v>
      </c>
      <c r="B22" s="254" t="s">
        <v>2446</v>
      </c>
      <c r="C22" s="1380" t="e">
        <f ca="1">ROUND(SUM(C23:C25),0)</f>
        <v>#VALUE!</v>
      </c>
      <c r="D22" s="279" t="e">
        <f ca="1">C26</f>
        <v>#VALUE!</v>
      </c>
      <c r="E22" s="280" t="s">
        <v>2443</v>
      </c>
      <c r="F22" s="281" t="e">
        <f ca="1">'数据-取费表'!B40</f>
        <v>#VALUE!</v>
      </c>
      <c r="G22" s="278" t="str">
        <f>IF('数据-取费表'!B22&lt;=1,"单利计息","复利计息")</f>
        <v>单利计息</v>
      </c>
    </row>
    <row r="23" spans="1:7" s="258" customFormat="1" ht="13.5" customHeight="1">
      <c r="A23" s="951" t="s">
        <v>2336</v>
      </c>
      <c r="B23" s="259" t="s">
        <v>2447</v>
      </c>
      <c r="C23" s="1381" t="e">
        <f ca="1">ROUND(IF('数据-取费表'!B22&lt;=1,C5*F22*'数据-取费表'!B22,C5*(POWER((1+F22),'数据-取费表'!B22)-1)),0)</f>
        <v>#VALUE!</v>
      </c>
      <c r="D23" s="282"/>
      <c r="E23" s="282"/>
      <c r="F23" s="283"/>
      <c r="G23" s="284" t="s">
        <v>2448</v>
      </c>
    </row>
    <row r="24" spans="1:7" s="258" customFormat="1" ht="13.5" customHeight="1">
      <c r="A24" s="951" t="s">
        <v>2338</v>
      </c>
      <c r="B24" s="259" t="s">
        <v>2449</v>
      </c>
      <c r="C24" s="1381" t="e">
        <f ca="1">ROUND(IF('数据-取费表'!B22&lt;=1,C19*F22*('数据-取费表'!B19/2+'数据-取费表'!B20),C19*(POWER((1+F22),('数据-取费表'!B19/2+'数据-取费表'!B20))-1)),0)</f>
        <v>#VALUE!</v>
      </c>
      <c r="D24" s="282"/>
      <c r="E24" s="282"/>
      <c r="F24" s="283"/>
      <c r="G24" s="284" t="s">
        <v>2450</v>
      </c>
    </row>
    <row r="25" spans="1:7" s="258" customFormat="1" ht="30">
      <c r="A25" s="951" t="s">
        <v>2340</v>
      </c>
      <c r="B25" s="259" t="s">
        <v>2451</v>
      </c>
      <c r="C25" s="1381" t="e">
        <f ca="1">ROUND(IF('数据-取费表'!B22&lt;=1,C20*F22*'数据-取费表'!B22/2,C20*(POWER((1+F22),'数据-取费表'!B22/2)-1)),0)</f>
        <v>#VALUE!</v>
      </c>
      <c r="D25" s="282"/>
      <c r="E25" s="285"/>
      <c r="F25" s="283"/>
      <c r="G25" s="286" t="s">
        <v>2452</v>
      </c>
    </row>
    <row r="26" spans="1:7" s="258" customFormat="1" ht="14">
      <c r="A26" s="951" t="s">
        <v>795</v>
      </c>
      <c r="B26" s="259" t="s">
        <v>2375</v>
      </c>
      <c r="C26" s="282" t="e">
        <f ca="1">ROUND(IF('数据-取费表'!B22&lt;=1,F21*F22*'数据-取费表'!B22/2,F21*(POWER((1+F22),'数据-取费表'!B22/2)-1)),4)</f>
        <v>#VALUE!</v>
      </c>
      <c r="D26" s="282"/>
      <c r="E26" s="285"/>
      <c r="F26" s="283"/>
      <c r="G26" s="287"/>
    </row>
    <row r="27" spans="1:7" s="258" customFormat="1" ht="30">
      <c r="A27" s="299" t="s">
        <v>2376</v>
      </c>
      <c r="B27" s="288" t="s">
        <v>2377</v>
      </c>
      <c r="C27" s="289" t="e">
        <f ca="1">C28</f>
        <v>#DIV/0!</v>
      </c>
      <c r="D27" s="279" t="e">
        <f ca="1">C29</f>
        <v>#DIV/0!</v>
      </c>
      <c r="E27" s="280" t="s">
        <v>2378</v>
      </c>
      <c r="F27" s="290" t="e">
        <f ca="1">IF(B1="",'数据-取费表'!Q16,INDIRECT("'数据-取费表'!q"&amp;$G$1))</f>
        <v>#DIV/0!</v>
      </c>
      <c r="G27" s="291" t="s">
        <v>2379</v>
      </c>
    </row>
    <row r="28" spans="1:7" s="258" customFormat="1" ht="13.5" customHeight="1">
      <c r="A28" s="951" t="s">
        <v>791</v>
      </c>
      <c r="B28" s="292" t="s">
        <v>2380</v>
      </c>
      <c r="C28" s="293" t="e">
        <f ca="1">ROUND((C5+C19+C20)*F27,0)</f>
        <v>#DIV/0!</v>
      </c>
      <c r="D28" s="279"/>
      <c r="E28" s="280"/>
      <c r="F28" s="290"/>
      <c r="G28" s="291"/>
    </row>
    <row r="29" spans="1:7" s="258" customFormat="1" ht="13.5" customHeight="1">
      <c r="A29" s="951" t="s">
        <v>792</v>
      </c>
      <c r="B29" s="292" t="s">
        <v>2381</v>
      </c>
      <c r="C29" s="282" t="e">
        <f ca="1">ROUND(C21*F27,4)</f>
        <v>#DIV/0!</v>
      </c>
      <c r="D29" s="279"/>
      <c r="E29" s="280"/>
      <c r="F29" s="290"/>
      <c r="G29" s="291"/>
    </row>
    <row r="30" spans="1:7" s="258" customFormat="1" ht="13.5" customHeight="1">
      <c r="A30" s="299" t="s">
        <v>2382</v>
      </c>
      <c r="B30" s="254" t="s">
        <v>2383</v>
      </c>
      <c r="C30" s="279">
        <f>ROUND(F30/(1+'数据-取费表'!C42),4)</f>
        <v>0</v>
      </c>
      <c r="D30" s="280" t="s">
        <v>2378</v>
      </c>
      <c r="E30" s="285"/>
      <c r="F30" s="281">
        <f>'数据-取费表'!B41</f>
        <v>0</v>
      </c>
      <c r="G30" s="278" t="s">
        <v>2384</v>
      </c>
    </row>
    <row r="31" spans="1:7" ht="16.5" customHeight="1">
      <c r="A31" s="253">
        <v>1</v>
      </c>
      <c r="B31" s="254" t="s">
        <v>2385</v>
      </c>
      <c r="C31" s="255" t="e">
        <f ca="1">ROUND((C5+C19+C20+C22+C27)/(1-C21-D22-D27-C30),0)</f>
        <v>#VALUE!</v>
      </c>
      <c r="D31" s="274"/>
      <c r="E31" s="255"/>
      <c r="F31" s="294"/>
      <c r="G31" s="278" t="s">
        <v>2386</v>
      </c>
    </row>
    <row r="32" spans="1:7" s="252" customFormat="1" ht="16">
      <c r="A32" s="296" t="s">
        <v>2453</v>
      </c>
      <c r="B32" s="297"/>
      <c r="C32" s="297"/>
      <c r="D32" s="297"/>
      <c r="E32" s="297"/>
      <c r="F32" s="297"/>
      <c r="G32" s="298"/>
    </row>
    <row r="33" spans="1:7" s="258" customFormat="1" ht="13.5" customHeight="1">
      <c r="A33" s="299" t="s">
        <v>782</v>
      </c>
      <c r="B33" s="254" t="s">
        <v>2454</v>
      </c>
      <c r="C33" s="300">
        <f ca="1">SUM(C34:C38)</f>
        <v>0</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0</v>
      </c>
      <c r="D34" s="261"/>
      <c r="E34" s="264"/>
      <c r="F34" s="301"/>
      <c r="G34" s="263"/>
    </row>
    <row r="35" spans="1:7" ht="13.5" customHeight="1">
      <c r="A35" s="951" t="s">
        <v>796</v>
      </c>
      <c r="B35" s="259" t="s">
        <v>2391</v>
      </c>
      <c r="C35" s="264">
        <f ca="1">ROUND(C34*F35,0)</f>
        <v>0</v>
      </c>
      <c r="D35" s="264"/>
      <c r="E35" s="264"/>
      <c r="F35" s="303">
        <f>'数据-取费表'!B33</f>
        <v>0</v>
      </c>
      <c r="G35" s="263" t="s">
        <v>2392</v>
      </c>
    </row>
    <row r="36" spans="1:7" ht="30">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0</v>
      </c>
      <c r="D37" s="261">
        <f ca="1">D19</f>
        <v>86971.4</v>
      </c>
      <c r="E37" s="293">
        <f>'数据-取费表'!B35</f>
        <v>0</v>
      </c>
      <c r="F37" s="303"/>
      <c r="G37" s="305"/>
    </row>
    <row r="38" spans="1:7" ht="13.5" customHeight="1">
      <c r="A38" s="951" t="s">
        <v>799</v>
      </c>
      <c r="B38" s="259" t="s">
        <v>2397</v>
      </c>
      <c r="C38" s="264">
        <f ca="1">ROUND(C34*F38,0)</f>
        <v>0</v>
      </c>
      <c r="D38" s="264"/>
      <c r="E38" s="264"/>
      <c r="F38" s="303">
        <f>'数据-取费表'!B36</f>
        <v>0</v>
      </c>
      <c r="G38" s="263" t="s">
        <v>2392</v>
      </c>
    </row>
    <row r="39" spans="1:7" s="258" customFormat="1" ht="13.5" customHeight="1">
      <c r="A39" s="299" t="s">
        <v>2398</v>
      </c>
      <c r="B39" s="254" t="s">
        <v>2399</v>
      </c>
      <c r="C39" s="276">
        <f ca="1">ROUND(C33*F20,0)</f>
        <v>0</v>
      </c>
      <c r="D39" s="276"/>
      <c r="E39" s="276"/>
      <c r="F39" s="277"/>
      <c r="G39" s="278" t="s">
        <v>2400</v>
      </c>
    </row>
    <row r="40" spans="1:7" s="258" customFormat="1" ht="13.5" customHeight="1">
      <c r="A40" s="299" t="s">
        <v>2401</v>
      </c>
      <c r="B40" s="254" t="s">
        <v>2402</v>
      </c>
      <c r="C40" s="1728">
        <f>F21</f>
        <v>0</v>
      </c>
      <c r="D40" s="280" t="s">
        <v>2403</v>
      </c>
      <c r="E40" s="276"/>
      <c r="F40" s="277"/>
      <c r="G40" s="278" t="s">
        <v>2404</v>
      </c>
    </row>
    <row r="41" spans="1:7" s="258" customFormat="1" ht="13.5" customHeight="1">
      <c r="A41" s="299" t="s">
        <v>2405</v>
      </c>
      <c r="B41" s="254" t="s">
        <v>2406</v>
      </c>
      <c r="C41" s="276" t="e">
        <f ca="1">ROUND(SUM(C42:C43),0)</f>
        <v>#VALUE!</v>
      </c>
      <c r="D41" s="279" t="e">
        <f ca="1">C44</f>
        <v>#VALUE!</v>
      </c>
      <c r="E41" s="280" t="s">
        <v>2403</v>
      </c>
      <c r="F41" s="281"/>
      <c r="G41" s="278" t="str">
        <f>IF('数据-取费表'!B22&lt;=1,"单利计息","复利计息")</f>
        <v>单利计息</v>
      </c>
    </row>
    <row r="42" spans="1:7" ht="13.5" customHeight="1">
      <c r="A42" s="951" t="s">
        <v>791</v>
      </c>
      <c r="B42" s="259" t="s">
        <v>2407</v>
      </c>
      <c r="C42" s="282" t="e">
        <f ca="1">ROUND(IF('数据-取费表'!B22&lt;=1,C33*F22*'数据-取费表'!B20/2,C33*(POWER((1+F22),'数据-取费表'!B20/2)-1)),0)</f>
        <v>#VALUE!</v>
      </c>
      <c r="D42" s="282"/>
      <c r="E42" s="282"/>
      <c r="F42" s="283"/>
      <c r="G42" s="3184" t="s">
        <v>2455</v>
      </c>
    </row>
    <row r="43" spans="1:7" ht="13.5" customHeight="1">
      <c r="A43" s="951" t="s">
        <v>792</v>
      </c>
      <c r="B43" s="259" t="s">
        <v>2409</v>
      </c>
      <c r="C43" s="282" t="e">
        <f ca="1">ROUND(IF('数据-取费表'!B22&lt;=1,C39*F22*'数据-取费表'!B20/2,C39*(POWER((1+F22),'数据-取费表'!B20/2)-1)),0)</f>
        <v>#VALUE!</v>
      </c>
      <c r="D43" s="282"/>
      <c r="E43" s="282"/>
      <c r="F43" s="283"/>
      <c r="G43" s="3185"/>
    </row>
    <row r="44" spans="1:7" ht="13.5" customHeight="1">
      <c r="A44" s="951" t="s">
        <v>793</v>
      </c>
      <c r="B44" s="259" t="s">
        <v>2410</v>
      </c>
      <c r="C44" s="282" t="e">
        <f ca="1">ROUND(IF('数据-取费表'!B22&lt;=1,C40*F22*'数据-取费表'!B20/2,C40*(POWER((1+F22),'数据-取费表'!B20/2)-1)),4)</f>
        <v>#VALUE!</v>
      </c>
      <c r="D44" s="282"/>
      <c r="E44" s="282"/>
      <c r="F44" s="283"/>
      <c r="G44" s="3186"/>
    </row>
    <row r="45" spans="1:7" s="258" customFormat="1" ht="13.5" customHeight="1">
      <c r="A45" s="299" t="s">
        <v>2411</v>
      </c>
      <c r="B45" s="288" t="s">
        <v>2377</v>
      </c>
      <c r="C45" s="289" t="e">
        <f ca="1">C46</f>
        <v>#DIV/0!</v>
      </c>
      <c r="D45" s="279" t="e">
        <f ca="1">C47</f>
        <v>#DIV/0!</v>
      </c>
      <c r="E45" s="280" t="s">
        <v>2403</v>
      </c>
      <c r="F45" s="290"/>
      <c r="G45" s="291" t="s">
        <v>2412</v>
      </c>
    </row>
    <row r="46" spans="1:7" s="258" customFormat="1" ht="13.5" customHeight="1">
      <c r="A46" s="951" t="s">
        <v>791</v>
      </c>
      <c r="B46" s="292" t="s">
        <v>2413</v>
      </c>
      <c r="C46" s="293" t="e">
        <f ca="1">ROUND((C33+C39)*F27,0)</f>
        <v>#DIV/0!</v>
      </c>
      <c r="D46" s="307"/>
      <c r="E46" s="280"/>
      <c r="F46" s="290"/>
      <c r="G46" s="291"/>
    </row>
    <row r="47" spans="1:7" s="258" customFormat="1" ht="13.5" customHeight="1">
      <c r="A47" s="951" t="s">
        <v>792</v>
      </c>
      <c r="B47" s="292" t="s">
        <v>2414</v>
      </c>
      <c r="C47" s="282" t="e">
        <f ca="1">ROUND(C40*F27,4)</f>
        <v>#DIV/0!</v>
      </c>
      <c r="D47" s="307"/>
      <c r="E47" s="280"/>
      <c r="F47" s="290"/>
      <c r="G47" s="291"/>
    </row>
    <row r="48" spans="1:7" s="258" customFormat="1" ht="13.5" customHeight="1">
      <c r="A48" s="299" t="s">
        <v>2376</v>
      </c>
      <c r="B48" s="254" t="s">
        <v>2415</v>
      </c>
      <c r="C48" s="306">
        <f>ROUND(F30/(1+'数据-取费表'!C42),4)</f>
        <v>0</v>
      </c>
      <c r="D48" s="280" t="s">
        <v>2403</v>
      </c>
      <c r="E48" s="276"/>
      <c r="F48" s="281"/>
      <c r="G48" s="278" t="s">
        <v>2416</v>
      </c>
    </row>
    <row r="49" spans="1:7" ht="16.5" customHeight="1">
      <c r="A49" s="299" t="s">
        <v>2382</v>
      </c>
      <c r="B49" s="254" t="s">
        <v>2456</v>
      </c>
      <c r="C49" s="276" t="e">
        <f ca="1">ROUND((C33+C39+C41+C45)/(1-C40-D41-D45-C48),0)</f>
        <v>#VALUE!</v>
      </c>
      <c r="D49" s="276"/>
      <c r="E49" s="276"/>
      <c r="F49" s="308"/>
      <c r="G49" s="278" t="s">
        <v>2418</v>
      </c>
    </row>
    <row r="50" spans="1:7" s="302" customFormat="1" ht="14">
      <c r="A50" s="299" t="s">
        <v>2419</v>
      </c>
      <c r="B50" s="254" t="s">
        <v>2420</v>
      </c>
      <c r="C50" s="276"/>
      <c r="D50" s="276"/>
      <c r="E50" s="276"/>
      <c r="F50" s="308" t="e">
        <f>IF('数据-取费表'!B24=0,'数据-取费表'!N16,1)</f>
        <v>#DIV/0!</v>
      </c>
      <c r="G50" s="291"/>
    </row>
    <row r="51" spans="1:7" ht="16.5" customHeight="1">
      <c r="A51" s="299" t="s">
        <v>2422</v>
      </c>
      <c r="B51" s="254" t="s">
        <v>2457</v>
      </c>
      <c r="C51" s="276" t="e">
        <f ca="1">ROUND(C49*F50,0)</f>
        <v>#VALUE!</v>
      </c>
      <c r="D51" s="276"/>
      <c r="E51" s="276"/>
      <c r="F51" s="308"/>
      <c r="G51" s="278" t="s">
        <v>2424</v>
      </c>
    </row>
    <row r="52" spans="1:7" s="252" customFormat="1" ht="17" thickBot="1">
      <c r="A52" s="309" t="s">
        <v>2425</v>
      </c>
      <c r="B52" s="310"/>
      <c r="C52" s="311" t="e">
        <f ca="1">C31+C51</f>
        <v>#VALUE!</v>
      </c>
      <c r="D52" s="310"/>
      <c r="E52" s="310"/>
      <c r="F52" s="310"/>
      <c r="G52" s="312"/>
    </row>
    <row r="55" spans="1:7" ht="16">
      <c r="B55" s="314" t="s">
        <v>2426</v>
      </c>
      <c r="C55" s="315"/>
    </row>
    <row r="56" spans="1:7" ht="14">
      <c r="B56" s="317" t="s">
        <v>1507</v>
      </c>
      <c r="C56" s="319" t="e">
        <f ca="1">1-C57</f>
        <v>#VALUE!</v>
      </c>
    </row>
    <row r="57" spans="1:7" ht="14">
      <c r="B57" s="317" t="s">
        <v>1508</v>
      </c>
      <c r="C57" s="318" t="e">
        <f ca="1">ROUND(C51/C52,3)</f>
        <v>#VALUE!</v>
      </c>
    </row>
  </sheetData>
  <sheetProtection password="C66D" sheet="1" objects="1" scenarios="1" formatCells="0"/>
  <mergeCells count="1">
    <mergeCell ref="G42:G44"/>
  </mergeCells>
  <phoneticPr fontId="14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topLeftCell="A4" workbookViewId="0">
      <selection activeCell="F24" sqref="F24"/>
    </sheetView>
  </sheetViews>
  <sheetFormatPr baseColWidth="10" defaultColWidth="6.6640625" defaultRowHeight="13"/>
  <cols>
    <col min="1" max="1" width="9.6640625" style="798" customWidth="1"/>
    <col min="2" max="2" width="25.6640625" style="952" customWidth="1"/>
    <col min="3" max="3" width="10.33203125" style="995" customWidth="1"/>
    <col min="4" max="4" width="9.83203125" style="952" customWidth="1"/>
    <col min="5" max="5" width="9.5" style="798" customWidth="1"/>
    <col min="6" max="6" width="10.1640625" style="952" customWidth="1"/>
    <col min="7" max="7" width="10.664062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640625" style="952"/>
  </cols>
  <sheetData>
    <row r="1" spans="1:33" ht="20">
      <c r="A1" s="240" t="s">
        <v>2458</v>
      </c>
      <c r="B1" s="1581"/>
      <c r="C1" s="1582"/>
      <c r="D1" s="1580"/>
      <c r="E1" s="320"/>
      <c r="F1" s="320"/>
      <c r="G1" s="1581"/>
      <c r="H1" s="320"/>
      <c r="I1" s="320"/>
      <c r="J1" s="320"/>
      <c r="K1" s="320">
        <f>MATCH(C1,'数据-取费表'!A6:A16,0)+5</f>
        <v>7</v>
      </c>
    </row>
    <row r="2" spans="1:33" ht="18" customHeight="1">
      <c r="A2" s="245" t="s">
        <v>2326</v>
      </c>
      <c r="B2" s="248" t="e">
        <f ca="1">C32</f>
        <v>#VALUE!</v>
      </c>
      <c r="C2" s="320" t="s">
        <v>2459</v>
      </c>
      <c r="D2" s="320"/>
      <c r="E2" s="320"/>
      <c r="F2" s="320"/>
      <c r="G2" s="320"/>
      <c r="H2" s="320"/>
      <c r="I2" s="320"/>
      <c r="J2" s="320"/>
      <c r="K2" s="320"/>
    </row>
    <row r="3" spans="1:33" ht="18" customHeight="1" thickBot="1">
      <c r="A3" s="247" t="s">
        <v>2328</v>
      </c>
      <c r="B3" s="248" t="e">
        <f ca="1">ROUND(B2*10000/IF(C1="",'数据-汇总表'!E3,INDIRECT("'数据-取费表'!K"&amp;$K$1)),0)</f>
        <v>#VALUE!</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30">
      <c r="A5" s="957" t="s">
        <v>2462</v>
      </c>
      <c r="B5" s="958" t="s">
        <v>2463</v>
      </c>
      <c r="C5" s="2552" t="s">
        <v>2464</v>
      </c>
      <c r="D5" s="2552" t="s">
        <v>2465</v>
      </c>
      <c r="E5" s="2552" t="s">
        <v>2466</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86971.4</v>
      </c>
      <c r="E14" s="24">
        <f>'数据-取费表'!B35</f>
        <v>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0</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86971.4</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4"/>
      <c r="H18" s="1577"/>
      <c r="I18" s="2555"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86971.4</v>
      </c>
      <c r="E19" s="24">
        <f>'数据-取费表'!B27</f>
        <v>0</v>
      </c>
      <c r="F19" s="976"/>
      <c r="G19" s="15"/>
      <c r="H19" s="1579"/>
      <c r="I19" s="981"/>
      <c r="J19" s="981"/>
      <c r="K19" s="982"/>
    </row>
    <row r="20" spans="1:33" s="975" customFormat="1" ht="13.5" customHeight="1">
      <c r="A20" s="971" t="s">
        <v>806</v>
      </c>
      <c r="B20" s="972" t="s">
        <v>2494</v>
      </c>
      <c r="C20" s="24">
        <f ca="1">ROUND(D20*E20/10000,0)</f>
        <v>0</v>
      </c>
      <c r="D20" s="1033">
        <f ca="1">IF(C1="",'数据-汇总表'!E6,IF(INDIRECT("'数据-取费表'!c"&amp;$K$1)="住宅",INDIRECT("'数据-取费表'!s"&amp;$K$1),INDIRECT("'数据-取费表'!k"&amp;$K$1)+INDIRECT("'数据-取费表'!s"&amp;$K$1)))</f>
        <v>0</v>
      </c>
      <c r="E20" s="24">
        <f>'数据-取费表'!B28</f>
        <v>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v>
      </c>
      <c r="G23" s="8" t="s">
        <v>2500</v>
      </c>
      <c r="H23" s="968"/>
      <c r="I23" s="968"/>
      <c r="J23" s="968"/>
      <c r="K23" s="969"/>
    </row>
    <row r="24" spans="1:33" s="975" customFormat="1" ht="13.5" customHeight="1">
      <c r="A24" s="961" t="s">
        <v>2501</v>
      </c>
      <c r="B24" s="985" t="s">
        <v>2502</v>
      </c>
      <c r="C24" s="324">
        <f>ROUND(F24/(1+'数据-取费表'!C42),4)</f>
        <v>0</v>
      </c>
      <c r="D24" s="325" t="s">
        <v>15</v>
      </c>
      <c r="E24" s="325"/>
      <c r="F24" s="988">
        <f>IF(项目基本情况!B8="出让",0,'数据-取费表'!B48+'数据-取费表'!B49)</f>
        <v>0</v>
      </c>
      <c r="G24" s="8" t="s">
        <v>2503</v>
      </c>
      <c r="H24" s="990"/>
      <c r="I24" s="990"/>
      <c r="J24" s="990"/>
      <c r="K24" s="991"/>
    </row>
    <row r="25" spans="1:33" s="975" customFormat="1" ht="13.5" customHeight="1">
      <c r="A25" s="961" t="s">
        <v>2504</v>
      </c>
      <c r="B25" s="987" t="s">
        <v>2505</v>
      </c>
      <c r="C25" s="1356" t="e">
        <f ca="1">C27</f>
        <v>#VALUE!</v>
      </c>
      <c r="D25" s="324" t="e">
        <f ca="1">C26</f>
        <v>#VALUE!</v>
      </c>
      <c r="E25" s="326" t="s">
        <v>15</v>
      </c>
      <c r="F25" s="327" t="e">
        <f ca="1">'数据-取费表'!B40</f>
        <v>#VALUE!</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2506</v>
      </c>
      <c r="C26" s="1357" t="e">
        <f ca="1">ROUND(IF('数据-取费表'!B22&lt;=1,(1+C24)*F25*'数据-取费表'!B24,(1+C24)*(POWER((1+F25),'数据-取费表'!B24)-1)),4)</f>
        <v>#VALUE!</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2507</v>
      </c>
      <c r="C27" s="1358" t="e">
        <f ca="1">ROUND(IF('数据-取费表'!B22&lt;=1,(C21+C22+C23)*F25*'数据-取费表'!B24/2,(C21+C22+C23)*(POWER((1+F25),'数据-取费表'!B24/2)-1)),0)</f>
        <v>#VALUE!</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2508</v>
      </c>
      <c r="B28" s="2557" t="s">
        <v>2509</v>
      </c>
      <c r="C28" s="331" t="e">
        <f ca="1">C30</f>
        <v>#DIV/0!</v>
      </c>
      <c r="D28" s="324" t="e">
        <f ca="1">C29</f>
        <v>#DIV/0!</v>
      </c>
      <c r="E28" s="326" t="s">
        <v>15</v>
      </c>
      <c r="F28" s="332" t="e">
        <f ca="1">IF(C1="",'数据-取费表'!Q16,INDIRECT("'数据-取费表'!q"&amp;$K$1))</f>
        <v>#DIV/0!</v>
      </c>
      <c r="G28" s="989"/>
      <c r="H28" s="990"/>
      <c r="I28" s="990"/>
      <c r="J28" s="990"/>
      <c r="K28" s="991"/>
    </row>
    <row r="29" spans="1:33" s="335" customFormat="1" ht="13.5" customHeight="1">
      <c r="A29" s="971" t="s">
        <v>803</v>
      </c>
      <c r="B29" s="994" t="s">
        <v>2510</v>
      </c>
      <c r="C29" s="328" t="e">
        <f ca="1">ROUND((1+C24)*F28*'数据-取费表'!B24/'数据-取费表'!B20,4)</f>
        <v>#DIV/0!</v>
      </c>
      <c r="D29" s="328"/>
      <c r="E29" s="329"/>
      <c r="F29" s="334"/>
      <c r="G29" s="140" t="s">
        <v>2511</v>
      </c>
      <c r="H29" s="979"/>
      <c r="I29" s="979"/>
      <c r="J29" s="979"/>
      <c r="K29" s="980"/>
    </row>
    <row r="30" spans="1:33" s="335" customFormat="1" ht="13.5" customHeight="1">
      <c r="A30" s="971" t="s">
        <v>804</v>
      </c>
      <c r="B30" s="994" t="s">
        <v>2512</v>
      </c>
      <c r="C30" s="336" t="e">
        <f ca="1">ROUND((C21+C22+C23)*F28,0)</f>
        <v>#DIV/0!</v>
      </c>
      <c r="D30" s="328"/>
      <c r="E30" s="329"/>
      <c r="F30" s="334"/>
      <c r="G30" s="140"/>
      <c r="H30" s="979"/>
      <c r="I30" s="979"/>
      <c r="J30" s="979"/>
      <c r="K30" s="980"/>
    </row>
    <row r="31" spans="1:33" s="975" customFormat="1" ht="13.5" customHeight="1" thickBot="1">
      <c r="A31" s="2558" t="s">
        <v>2513</v>
      </c>
      <c r="B31" s="1005" t="s">
        <v>2514</v>
      </c>
      <c r="C31" s="1006">
        <f>ROUND(C4*F31/(1+'数据-取费表'!C42),0)</f>
        <v>0</v>
      </c>
      <c r="D31" s="1007"/>
      <c r="E31" s="1008"/>
      <c r="F31" s="1009">
        <f>'数据-取费表'!B41</f>
        <v>0</v>
      </c>
      <c r="G31" s="1010" t="s">
        <v>2515</v>
      </c>
      <c r="H31" s="1011"/>
      <c r="I31" s="1011"/>
      <c r="J31" s="1011"/>
      <c r="K31" s="1012"/>
    </row>
    <row r="32" spans="1:33" s="970" customFormat="1" ht="13.5" customHeight="1" thickBot="1">
      <c r="A32" s="1000" t="s">
        <v>2516</v>
      </c>
      <c r="B32" s="1001"/>
      <c r="C32" s="1002" t="e">
        <f ca="1">ROUND((C4-C21-C22-C23-C25-C28-C31)/(1+C24+D25+D28),0)</f>
        <v>#VALUE!</v>
      </c>
      <c r="D32" s="1001"/>
      <c r="E32" s="1001"/>
      <c r="F32" s="1001"/>
      <c r="G32" s="1003" t="s">
        <v>2517</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zoomScale="70" zoomScaleNormal="70" zoomScaleSheetLayoutView="90" workbookViewId="0">
      <selection activeCell="B6" sqref="B6:C6"/>
    </sheetView>
  </sheetViews>
  <sheetFormatPr baseColWidth="10" defaultColWidth="9" defaultRowHeight="13"/>
  <cols>
    <col min="1" max="1" width="9" style="302" customWidth="1"/>
    <col min="2" max="2" width="20.6640625" style="707" customWidth="1"/>
    <col min="3" max="3" width="11.83203125" style="707" customWidth="1"/>
    <col min="4" max="4" width="40.5" style="302" customWidth="1"/>
    <col min="5" max="5" width="15.66406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5.1640625" style="1934" customWidth="1"/>
    <col min="12" max="12" width="16.33203125" style="302" customWidth="1"/>
    <col min="13" max="13" width="13" style="302" customWidth="1"/>
    <col min="14" max="14" width="13.6640625" style="1842" customWidth="1"/>
    <col min="15" max="15" width="5.1640625" style="1842" customWidth="1"/>
    <col min="16" max="16" width="25.6640625" style="1842" customWidth="1"/>
    <col min="17" max="17" width="13.6640625" style="1842" customWidth="1"/>
    <col min="18" max="18" width="20.5" style="1842" customWidth="1"/>
    <col min="19" max="19" width="13.1640625" style="1842" customWidth="1"/>
    <col min="20" max="37" width="9" style="1842"/>
    <col min="38" max="16384" width="9" style="302"/>
  </cols>
  <sheetData>
    <row r="1" spans="1:37" s="337" customFormat="1" ht="20">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t="e">
        <f ca="1">C40+J29+L46</f>
        <v>#VALUE!</v>
      </c>
      <c r="C2" s="1845" t="s">
        <v>1510</v>
      </c>
      <c r="D2" s="1845"/>
      <c r="E2" s="1846"/>
      <c r="F2" s="1847"/>
      <c r="G2" s="1848"/>
      <c r="H2" s="1840"/>
      <c r="I2" s="1840"/>
      <c r="J2" s="1840"/>
      <c r="K2" s="1841"/>
      <c r="L2" s="1840"/>
      <c r="M2" s="1840"/>
    </row>
    <row r="3" spans="1:37" ht="18" customHeight="1" thickBot="1">
      <c r="A3" s="1849" t="s">
        <v>1511</v>
      </c>
      <c r="B3" s="1850">
        <f ca="1">IF(ISERROR(B2*10000/F43),0,ROUND(B2*10000/F43,0))</f>
        <v>0</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0</v>
      </c>
      <c r="D5" s="1822" t="s">
        <v>1396</v>
      </c>
      <c r="E5" s="1293"/>
      <c r="F5" s="1294"/>
      <c r="G5" s="1851"/>
      <c r="H5" s="344">
        <v>1</v>
      </c>
      <c r="I5" s="345" t="s">
        <v>1395</v>
      </c>
      <c r="J5" s="1292">
        <f ca="1">J6+J10+J12</f>
        <v>0</v>
      </c>
      <c r="K5" s="1822" t="s">
        <v>1396</v>
      </c>
      <c r="L5" s="1293"/>
      <c r="M5" s="1294"/>
    </row>
    <row r="6" spans="1:37" ht="18" customHeight="1">
      <c r="A6" s="1291" t="s">
        <v>1031</v>
      </c>
      <c r="B6" s="3189" t="s">
        <v>1397</v>
      </c>
      <c r="C6" s="1296">
        <f ca="1">ROUND(F6*F8*F7*(1-F9)/10000,0)</f>
        <v>0</v>
      </c>
      <c r="D6" s="164" t="s">
        <v>3030</v>
      </c>
      <c r="E6" s="347" t="s">
        <v>1399</v>
      </c>
      <c r="F6" s="348">
        <f ca="1">INDIRECT("'数据-取费表'!u"&amp;$G$1)</f>
        <v>0</v>
      </c>
      <c r="G6" s="1851"/>
      <c r="H6" s="1291" t="s">
        <v>1031</v>
      </c>
      <c r="I6" s="3189" t="s">
        <v>1397</v>
      </c>
      <c r="J6" s="346">
        <f ca="1">ROUND(M6*M8*M7*(1-M9)/10000,0)</f>
        <v>0</v>
      </c>
      <c r="K6" s="164" t="s">
        <v>3029</v>
      </c>
      <c r="L6" s="347" t="s">
        <v>1399</v>
      </c>
      <c r="M6" s="348">
        <f ca="1">INDIRECT("'数据-取费表'!z"&amp;$G$1)</f>
        <v>0</v>
      </c>
    </row>
    <row r="7" spans="1:37" ht="18" customHeight="1">
      <c r="A7" s="1295"/>
      <c r="B7" s="3190"/>
      <c r="C7" s="1297"/>
      <c r="D7" s="352"/>
      <c r="E7" s="1298" t="s">
        <v>1400</v>
      </c>
      <c r="F7" s="348">
        <f ca="1">IF(INDIRECT("'数据-取费表'!ah"&amp;$G$1)="",INDIRECT("'数据-取费表'!k"&amp;$G$1),INDIRECT("'数据-取费表'!ah"&amp;$G$1))</f>
        <v>0</v>
      </c>
      <c r="G7" s="1851"/>
      <c r="H7" s="349"/>
      <c r="I7" s="3190"/>
      <c r="J7" s="351"/>
      <c r="K7" s="352"/>
      <c r="L7" s="347" t="s">
        <v>1400</v>
      </c>
      <c r="M7" s="348">
        <f ca="1">F7</f>
        <v>0</v>
      </c>
    </row>
    <row r="8" spans="1:37" ht="18" customHeight="1">
      <c r="A8" s="349"/>
      <c r="B8" s="3190"/>
      <c r="C8" s="351"/>
      <c r="D8" s="352"/>
      <c r="E8" s="347" t="s">
        <v>1401</v>
      </c>
      <c r="F8" s="348">
        <f ca="1">INDIRECT("'数据-取费表'!ai"&amp;$G$1)</f>
        <v>0</v>
      </c>
      <c r="G8" s="1851"/>
      <c r="H8" s="349"/>
      <c r="I8" s="3190"/>
      <c r="J8" s="351"/>
      <c r="K8" s="352"/>
      <c r="L8" s="347" t="s">
        <v>1401</v>
      </c>
      <c r="M8" s="348">
        <f ca="1">INDIRECT("'数据-取费表'!ai"&amp;$G$1)</f>
        <v>0</v>
      </c>
    </row>
    <row r="9" spans="1:37" ht="18" customHeight="1">
      <c r="A9" s="349"/>
      <c r="B9" s="3191"/>
      <c r="C9" s="351"/>
      <c r="D9" s="352"/>
      <c r="E9" s="347" t="s">
        <v>1402</v>
      </c>
      <c r="F9" s="357">
        <f ca="1">INDIRECT("'数据-取费表'!w"&amp;$G$1)</f>
        <v>0</v>
      </c>
      <c r="G9" s="1851"/>
      <c r="H9" s="349"/>
      <c r="I9" s="3191"/>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3039</v>
      </c>
      <c r="E10" s="358" t="s">
        <v>1404</v>
      </c>
      <c r="F10" s="1366"/>
      <c r="G10" s="1851"/>
      <c r="H10" s="1291" t="s">
        <v>1035</v>
      </c>
      <c r="I10" s="1823" t="s">
        <v>1403</v>
      </c>
      <c r="J10" s="346">
        <f ca="1">ROUND(IF(M10="押一",J6/12*M11,IF(M10="押二",J6/12*2*M11,IF(M10="押三",J6/12*3*M11,J11*M11))),0)</f>
        <v>0</v>
      </c>
      <c r="K10" s="1824" t="s">
        <v>3038</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t="e">
        <f ca="1">ROUND(C29*F13,0)</f>
        <v>#VALUE!</v>
      </c>
      <c r="D13" s="1331" t="s">
        <v>1409</v>
      </c>
      <c r="E13" s="1331" t="s">
        <v>1410</v>
      </c>
      <c r="F13" s="1332">
        <f ca="1">INDIRECT("'数据-取费表'!y"&amp;$G$1)</f>
        <v>0</v>
      </c>
      <c r="G13" s="1851"/>
      <c r="H13" s="1329">
        <v>2</v>
      </c>
      <c r="I13" s="1330" t="s">
        <v>1408</v>
      </c>
      <c r="J13" s="1290" t="e">
        <f ca="1">ROUND(J14*J15,0)</f>
        <v>#VALUE!</v>
      </c>
      <c r="K13" s="1337" t="s">
        <v>1409</v>
      </c>
      <c r="L13" s="1852"/>
      <c r="M13" s="1853"/>
    </row>
    <row r="14" spans="1:37" ht="18" customHeight="1">
      <c r="A14" s="1201" t="s">
        <v>1030</v>
      </c>
      <c r="B14" s="347" t="s">
        <v>1411</v>
      </c>
      <c r="C14" s="363">
        <f ca="1">INDIRECT("'数据-取费表'!m"&amp;$G$1)+INDIRECT("'数据-取费表'!t"&amp;$G$1)</f>
        <v>0</v>
      </c>
      <c r="D14" s="1800" t="s">
        <v>1412</v>
      </c>
      <c r="E14" s="1794"/>
      <c r="F14" s="364"/>
      <c r="G14" s="1851"/>
      <c r="H14" s="1201" t="s">
        <v>1031</v>
      </c>
      <c r="I14" s="347" t="s">
        <v>1413</v>
      </c>
      <c r="J14" s="24" t="e">
        <f ca="1">C29</f>
        <v>#VALUE!</v>
      </c>
      <c r="K14" s="15"/>
      <c r="L14" s="979"/>
      <c r="M14" s="980"/>
    </row>
    <row r="15" spans="1:37" s="1858" customFormat="1" ht="18" customHeight="1" thickBot="1">
      <c r="A15" s="1201" t="s">
        <v>1032</v>
      </c>
      <c r="B15" s="347" t="s">
        <v>1414</v>
      </c>
      <c r="C15" s="24">
        <f ca="1">ROUND(C14*F15,0)</f>
        <v>0</v>
      </c>
      <c r="D15" s="365" t="s">
        <v>1415</v>
      </c>
      <c r="E15" s="365" t="s">
        <v>1416</v>
      </c>
      <c r="F15" s="366">
        <f>'数据-取费表'!B33</f>
        <v>0</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t="e">
        <f ca="1">ROUND(J17+J22+J23+J24,0)</f>
        <v>#VALUE!</v>
      </c>
      <c r="K16" s="1337" t="s">
        <v>1419</v>
      </c>
      <c r="L16" s="1338"/>
      <c r="M16" s="1294"/>
    </row>
    <row r="17" spans="1:37" s="1858" customFormat="1" ht="18" customHeight="1">
      <c r="A17" s="1201" t="s">
        <v>1384</v>
      </c>
      <c r="B17" s="347" t="s">
        <v>1420</v>
      </c>
      <c r="C17" s="24">
        <f ca="1">ROUND(F17*(F43+INDIRECT("'数据-取费表'!S"&amp;$G$1))/10000,0)</f>
        <v>0</v>
      </c>
      <c r="D17" s="347" t="s">
        <v>1421</v>
      </c>
      <c r="E17" s="347" t="s">
        <v>1422</v>
      </c>
      <c r="F17" s="26">
        <f>'数据-取费表'!B35</f>
        <v>0</v>
      </c>
      <c r="G17" s="1854"/>
      <c r="H17" s="1201" t="s">
        <v>1031</v>
      </c>
      <c r="I17" s="347" t="s">
        <v>1423</v>
      </c>
      <c r="J17" s="24" t="e">
        <f ca="1">ROUND(IF(项目基本情况!B11="自然人",J6*M17/(1+'数据-取费表'!C42),J18+J19+J20),1)</f>
        <v>#VALUE!</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0</v>
      </c>
      <c r="G18" s="1854"/>
      <c r="H18" s="1201" t="s">
        <v>1030</v>
      </c>
      <c r="I18" s="347" t="s">
        <v>1427</v>
      </c>
      <c r="J18" s="24">
        <f ca="1">ROUND(J6*M18/(1+'数据-取费表'!C42),2)</f>
        <v>0</v>
      </c>
      <c r="K18" s="1798" t="s">
        <v>1428</v>
      </c>
      <c r="L18" s="347" t="s">
        <v>1416</v>
      </c>
      <c r="M18" s="367">
        <f>'数据-取费表'!B41</f>
        <v>0</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t="e">
        <f ca="1">IF(K19="按租金收入计税",ROUND(J6*M19/(1+'数据-取费表'!C42),2),ROUND(C29*M19*0.7,2))</f>
        <v>#VALUE!</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t="e">
        <f ca="1">ROUND(J14*M22,1)</f>
        <v>#VALUE!</v>
      </c>
      <c r="K22" s="1798" t="s">
        <v>1444</v>
      </c>
      <c r="L22" s="347" t="s">
        <v>1416</v>
      </c>
      <c r="M22" s="374">
        <f ca="1">INDIRECT("'数据-取费表'!Ak"&amp;$G$1)</f>
        <v>0</v>
      </c>
    </row>
    <row r="23" spans="1:37" s="1858" customFormat="1" ht="18" customHeight="1">
      <c r="A23" s="1201" t="s">
        <v>1030</v>
      </c>
      <c r="B23" s="347" t="s">
        <v>1445</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1446</v>
      </c>
      <c r="F23" s="371">
        <f>'数据-取费表'!B20</f>
        <v>0</v>
      </c>
      <c r="G23" s="1854"/>
      <c r="H23" s="1201" t="s">
        <v>1071</v>
      </c>
      <c r="I23" s="347" t="s">
        <v>1447</v>
      </c>
      <c r="J23" s="24" t="e">
        <f ca="1">ROUND(J13*M23,1)</f>
        <v>#VALUE!</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t="e">
        <f ca="1">ROUND(IF('数据-取费表'!B22&lt;=1,F21*F24*F23/2,F21*(POWER((1+F24),F23/2)-1)),4)</f>
        <v>#VALUE!</v>
      </c>
      <c r="D24" s="375" t="str">
        <f>IF(F23&lt;=1,"销售费用×利率×(建设周期÷2)","销售费用×((1+利率)^(建设周期÷2)-1)")</f>
        <v>销售费用×利率×(建设周期÷2)</v>
      </c>
      <c r="E24" s="347" t="s">
        <v>1452</v>
      </c>
      <c r="F24" s="377" t="e">
        <f ca="1">'数据-取费表'!B40</f>
        <v>#VALUE!</v>
      </c>
      <c r="G24" s="1854"/>
      <c r="H24" s="1339" t="s">
        <v>1387</v>
      </c>
      <c r="I24" s="1340" t="s">
        <v>1433</v>
      </c>
      <c r="J24" s="1341">
        <f ca="1">ROUND(J5*M24,1)</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t="e">
        <f ca="1">J5-J16</f>
        <v>#VALUE!</v>
      </c>
      <c r="K25" s="1345" t="s">
        <v>1458</v>
      </c>
      <c r="L25" s="1346"/>
      <c r="M25" s="1347"/>
    </row>
    <row r="26" spans="1:37" ht="15">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0</v>
      </c>
      <c r="D28" s="369" t="s">
        <v>1470</v>
      </c>
      <c r="E28" s="347" t="s">
        <v>1416</v>
      </c>
      <c r="F28" s="367">
        <f>'数据-取费表'!B41</f>
        <v>0</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t="e">
        <f ca="1">ROUND((C19+C20+C23+C26)/(1-F21-C24-C27-C28),0)</f>
        <v>#VALUE!</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t="e">
        <f ca="1">ROUND(C31+C36+C37+C38,0)</f>
        <v>#VALUE!</v>
      </c>
      <c r="D30" s="1337" t="s">
        <v>1419</v>
      </c>
      <c r="E30" s="1338"/>
      <c r="F30" s="1294"/>
      <c r="G30" s="1851"/>
      <c r="H30" s="745"/>
      <c r="I30" s="746"/>
      <c r="J30" s="747"/>
      <c r="K30" s="748"/>
      <c r="L30" s="749"/>
      <c r="M30" s="750"/>
    </row>
    <row r="31" spans="1:37" ht="18" customHeight="1">
      <c r="A31" s="1201" t="s">
        <v>1031</v>
      </c>
      <c r="B31" s="347" t="s">
        <v>1423</v>
      </c>
      <c r="C31" s="24" t="e">
        <f ca="1">ROUND(IF(项目基本情况!B11="自然人",C6*F31/(1+'数据-取费表'!C42),C32+C33+C34),1)</f>
        <v>#VALUE!</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0</v>
      </c>
      <c r="D32" s="1798" t="s">
        <v>1428</v>
      </c>
      <c r="E32" s="347" t="s">
        <v>1416</v>
      </c>
      <c r="F32" s="377">
        <f>'数据-取费表'!B41</f>
        <v>0</v>
      </c>
      <c r="G32" s="1851"/>
      <c r="H32" s="745"/>
      <c r="I32" s="746"/>
      <c r="J32" s="747"/>
      <c r="K32" s="748"/>
      <c r="L32" s="749"/>
      <c r="M32" s="750"/>
    </row>
    <row r="33" spans="1:18" ht="18" customHeight="1">
      <c r="A33" s="1201" t="s">
        <v>1032</v>
      </c>
      <c r="B33" s="347" t="s">
        <v>1431</v>
      </c>
      <c r="C33" s="24" t="e">
        <f ca="1">IF(项目基本情况!B11="自然人","——",IF(D33="按租金收入计税",ROUND(C6*F33/(1+'数据-取费表'!C42),2),IF(D33="按房产原值计税",ROUND(C29*F33*0.7,2),INDIRECT("'数据-取费表'!Aj"&amp;$G$1))))</f>
        <v>#VALUE!</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t="e">
        <f ca="1">ROUND(C29*F36,1)</f>
        <v>#VALUE!</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t="e">
        <f ca="1">ROUND(C13*F37,1)</f>
        <v>#VALUE!</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5" customHeight="1" thickTop="1">
      <c r="A39" s="1329" t="s">
        <v>1027</v>
      </c>
      <c r="B39" s="1344" t="s">
        <v>1477</v>
      </c>
      <c r="C39" s="355" t="e">
        <f ca="1">C5-C30</f>
        <v>#VALUE!</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#VALUE!</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ROUND(C40*10000/F43,0)</f>
        <v>#VALUE!</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6" thickBot="1">
      <c r="A46" s="1870" t="s">
        <v>1514</v>
      </c>
      <c r="C46" s="1871" t="e">
        <f ca="1">C68-C40</f>
        <v>#VALUE!</v>
      </c>
      <c r="D46" s="1872" t="str">
        <f>C2</f>
        <v>万元</v>
      </c>
      <c r="E46" s="1866"/>
      <c r="F46" s="1866"/>
      <c r="I46" s="1873" t="s">
        <v>1515</v>
      </c>
      <c r="J46" s="1874"/>
      <c r="K46" s="1875"/>
      <c r="L46" s="1876" t="e">
        <f ca="1">IF(M47="住宅",0,IF(L48&gt;J51,L60,J60))</f>
        <v>#VALUE!</v>
      </c>
      <c r="O46" s="1877" t="s">
        <v>1516</v>
      </c>
      <c r="P46" s="1878" t="s">
        <v>1517</v>
      </c>
      <c r="Q46" s="1879" t="s">
        <v>1518</v>
      </c>
      <c r="R46" s="1879" t="s">
        <v>1519</v>
      </c>
    </row>
    <row r="47" spans="1:18" s="1842" customFormat="1" ht="16" thickBot="1">
      <c r="A47" s="1165" t="s">
        <v>1390</v>
      </c>
      <c r="B47" s="1197" t="s">
        <v>1391</v>
      </c>
      <c r="C47" s="136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#VALUE!</v>
      </c>
      <c r="R47" s="1886" t="s">
        <v>1523</v>
      </c>
    </row>
    <row r="48" spans="1:18" s="1842" customFormat="1" ht="50"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#VALUE!</v>
      </c>
      <c r="R48" s="1886" t="s">
        <v>1527</v>
      </c>
    </row>
    <row r="49" spans="1:18" s="1842" customFormat="1" ht="16" thickBot="1">
      <c r="A49" s="1194" t="s">
        <v>1132</v>
      </c>
      <c r="B49" s="1829" t="s">
        <v>1484</v>
      </c>
      <c r="C49" s="1364">
        <f ca="1">ROUND(F49*F51*F50*(1-F52)/10000,0)</f>
        <v>0</v>
      </c>
      <c r="D49" s="1276" t="s">
        <v>3031</v>
      </c>
      <c r="E49" s="1830" t="s">
        <v>1485</v>
      </c>
      <c r="F49" s="1281"/>
      <c r="G49" s="1891"/>
      <c r="H49" s="793"/>
      <c r="I49" s="1887" t="s">
        <v>1528</v>
      </c>
      <c r="J49" s="1892"/>
      <c r="K49" s="1889" t="s">
        <v>1529</v>
      </c>
      <c r="L49" s="1893"/>
      <c r="O49" s="1894" t="s">
        <v>1038</v>
      </c>
      <c r="P49" s="1885" t="s">
        <v>1530</v>
      </c>
      <c r="Q49" s="1886" t="e">
        <f ca="1">C29</f>
        <v>#VALUE!</v>
      </c>
      <c r="R49" s="1886" t="s">
        <v>1523</v>
      </c>
    </row>
    <row r="50" spans="1:18" s="1842" customFormat="1" ht="15" thickBot="1">
      <c r="A50" s="1195"/>
      <c r="B50" s="1198"/>
      <c r="C50" s="1368"/>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5" thickBot="1">
      <c r="A51" s="1196"/>
      <c r="B51" s="1198"/>
      <c r="C51" s="1199"/>
      <c r="D51" s="1172"/>
      <c r="E51" s="1200" t="s">
        <v>1401</v>
      </c>
      <c r="F51" s="348">
        <f ca="1">F8</f>
        <v>0</v>
      </c>
      <c r="I51" s="1898" t="s">
        <v>1534</v>
      </c>
      <c r="J51" s="1899">
        <f>IF(J49="",J50,J49+J50-YEAR('数据-取费表'!B2))</f>
        <v>0</v>
      </c>
      <c r="K51" s="1900" t="s">
        <v>1535</v>
      </c>
      <c r="L51" s="1901" t="e">
        <f ca="1">ROUND(-PV(INDIRECT("'数据-取费表'!h"&amp;$G$1),L48,(C39-C13*C76),0),0)</f>
        <v>#VALUE!</v>
      </c>
      <c r="M51" s="1902"/>
      <c r="O51" s="1894" t="s">
        <v>1040</v>
      </c>
      <c r="P51" s="1885" t="s">
        <v>1536</v>
      </c>
      <c r="Q51" s="1897">
        <f>J52</f>
        <v>0</v>
      </c>
      <c r="R51" s="1886"/>
    </row>
    <row r="52" spans="1:18" s="1842" customFormat="1" ht="16"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1" thickBot="1">
      <c r="A53" s="1405" t="s">
        <v>1133</v>
      </c>
      <c r="B53" s="1831" t="s">
        <v>1403</v>
      </c>
      <c r="C53" s="361">
        <f ca="1">ROUND(IF(F53="押一",C49/12*F11,IF(F53="押二",C49/12*2*F11,IF(F53="押三",C49/12*3*F11,C54*F11))),0)</f>
        <v>0</v>
      </c>
      <c r="D53" s="1824" t="s">
        <v>3038</v>
      </c>
      <c r="E53" s="358" t="s">
        <v>1404</v>
      </c>
      <c r="F53" s="1366"/>
      <c r="I53" s="1905" t="s">
        <v>1541</v>
      </c>
      <c r="J53" s="2948">
        <f ca="1">IF(M47="住宅",IF(D1="——",MAX(J51,L48),MAX(J51,L48-'数据-取费表'!B24)),IF(D1="——",MIN(J51,L48),MIN(J51,L48-'数据-取费表'!B24)))</f>
        <v>0</v>
      </c>
      <c r="K53" s="3187" t="s">
        <v>1542</v>
      </c>
      <c r="L53" s="3188"/>
      <c r="O53" s="1884" t="s">
        <v>1042</v>
      </c>
      <c r="P53" s="1885" t="s">
        <v>1543</v>
      </c>
      <c r="Q53" s="1886" t="e">
        <f ca="1">Q47+Q48</f>
        <v>#VALUE!</v>
      </c>
      <c r="R53" s="1886" t="s">
        <v>1043</v>
      </c>
    </row>
    <row r="54" spans="1:18" s="1842" customFormat="1" ht="16"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6" thickBot="1">
      <c r="A55" s="1333" t="s">
        <v>1071</v>
      </c>
      <c r="B55" s="1827" t="s">
        <v>1407</v>
      </c>
      <c r="C55" s="1334"/>
      <c r="D55" s="1824"/>
      <c r="E55" s="1832"/>
      <c r="F55" s="1906"/>
      <c r="I55" s="1909" t="s">
        <v>1545</v>
      </c>
      <c r="J55" s="1910" t="e">
        <f ca="1">ROUND(IF(J47="钢混",J57/J50,1-(1-2%)*(J50-J57)/J50),3)</f>
        <v>#DIV/0!</v>
      </c>
      <c r="K55" s="1911" t="s">
        <v>1546</v>
      </c>
      <c r="L55" s="1912" t="s">
        <v>1547</v>
      </c>
      <c r="O55" s="1877" t="s">
        <v>1516</v>
      </c>
      <c r="P55" s="1878" t="s">
        <v>1517</v>
      </c>
      <c r="Q55" s="1879" t="s">
        <v>1518</v>
      </c>
      <c r="R55" s="1879" t="s">
        <v>1519</v>
      </c>
    </row>
    <row r="56" spans="1:18" s="1842" customFormat="1" ht="32" thickTop="1" thickBot="1">
      <c r="A56" s="1176">
        <v>2</v>
      </c>
      <c r="B56" s="1177" t="s">
        <v>1408</v>
      </c>
      <c r="C56" s="276" t="e">
        <f ca="1">C13</f>
        <v>#VALUE!</v>
      </c>
      <c r="D56" s="1913"/>
      <c r="E56" s="1914"/>
      <c r="F56" s="1906"/>
      <c r="I56" s="1915" t="s">
        <v>1548</v>
      </c>
      <c r="J56" s="1916"/>
      <c r="K56" s="1887" t="s">
        <v>1549</v>
      </c>
      <c r="L56" s="1890">
        <f ca="1">IF(L48&lt;J51,"——",L48-J53)</f>
        <v>0</v>
      </c>
      <c r="O56" s="1884" t="s">
        <v>1036</v>
      </c>
      <c r="P56" s="1885" t="s">
        <v>1522</v>
      </c>
      <c r="Q56" s="1886" t="e">
        <f ca="1">C40+J29</f>
        <v>#VALUE!</v>
      </c>
      <c r="R56" s="1886" t="s">
        <v>1523</v>
      </c>
    </row>
    <row r="57" spans="1:18" s="1842" customFormat="1" ht="31" thickBot="1">
      <c r="A57" s="1917"/>
      <c r="B57" s="1169" t="s">
        <v>1472</v>
      </c>
      <c r="C57" s="282" t="e">
        <f ca="1">C29</f>
        <v>#VALUE!</v>
      </c>
      <c r="D57" s="1918"/>
      <c r="E57" s="1919"/>
      <c r="F57" s="1920"/>
      <c r="I57" s="1921" t="s">
        <v>1550</v>
      </c>
      <c r="J57" s="1922">
        <f ca="1">IF(OR(M47="住宅",J51&lt;L48,J56="是"),"——",J51-L48)</f>
        <v>0</v>
      </c>
      <c r="K57" s="1887" t="s">
        <v>1551</v>
      </c>
      <c r="L57" s="1890" t="e">
        <f ca="1">IF(L48&lt;J51,"——",IF(L55="比较法",L49,IF(L55="基准地价",L50,L51)))</f>
        <v>#VALUE!</v>
      </c>
      <c r="O57" s="1884" t="s">
        <v>1037</v>
      </c>
      <c r="P57" s="1885" t="s">
        <v>1552</v>
      </c>
      <c r="Q57" s="1886" t="e">
        <f ca="1">L60</f>
        <v>#VALUE!</v>
      </c>
      <c r="R57" s="1886" t="s">
        <v>1553</v>
      </c>
    </row>
    <row r="58" spans="1:18" s="1842" customFormat="1" ht="31" thickBot="1">
      <c r="A58" s="360" t="s">
        <v>1026</v>
      </c>
      <c r="B58" s="1177" t="s">
        <v>1418</v>
      </c>
      <c r="C58" s="361" t="e">
        <f ca="1">ROUND(C59+C64+C65+C66,0)</f>
        <v>#VALUE!</v>
      </c>
      <c r="D58" s="1179" t="s">
        <v>1419</v>
      </c>
      <c r="E58" s="1180"/>
      <c r="F58" s="1181"/>
      <c r="I58" s="1921" t="s">
        <v>1554</v>
      </c>
      <c r="J58" s="1923" t="e">
        <f ca="1">IF(J55&lt;0.4,0.4,J55)</f>
        <v>#DIV/0!</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31" thickBot="1">
      <c r="A59" s="1201" t="s">
        <v>1031</v>
      </c>
      <c r="B59" s="1169" t="s">
        <v>1423</v>
      </c>
      <c r="C59" s="24" t="e">
        <f ca="1">ROUND(IF(项目基本情况!B11="自然人",C48*F59,C60+C61+C62),1)</f>
        <v>#VALUE!</v>
      </c>
      <c r="D59" s="1182" t="s">
        <v>1424</v>
      </c>
      <c r="E59" s="1183" t="s">
        <v>1425</v>
      </c>
      <c r="F59" s="368" t="str">
        <f ca="1">IF(项目基本情况!B11="企业","",IF(INDIRECT("'数据-取费表'!c"&amp;$G$1)="住宅",5%,IF(F49*F50*F51/12/(1+'数据-取费表'!C42)&gt;20000,12%,7%)))</f>
        <v/>
      </c>
      <c r="I59" s="1921" t="s">
        <v>1557</v>
      </c>
      <c r="J59" s="1922" t="e">
        <f ca="1">IF(OR(M47="住宅",J51&lt;L48,J56="是"),"——",ROUND(C29*J58,0))</f>
        <v>#VALUE!</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 thickBot="1">
      <c r="A60" s="1201" t="s">
        <v>1030</v>
      </c>
      <c r="B60" s="1169" t="s">
        <v>1427</v>
      </c>
      <c r="C60" s="24">
        <f ca="1">IF(项目基本情况!B11="自然人","——",ROUND(C48*F60/(1+'数据-取费表'!C42),2))</f>
        <v>0</v>
      </c>
      <c r="D60" s="1183" t="s">
        <v>1428</v>
      </c>
      <c r="E60" s="1169" t="s">
        <v>1416</v>
      </c>
      <c r="F60" s="377">
        <f t="shared" ref="F60:F66" si="0">F32</f>
        <v>0</v>
      </c>
      <c r="I60" s="1924" t="s">
        <v>1559</v>
      </c>
      <c r="J60" s="1925" t="e">
        <f ca="1">IF(OR(M47="住宅",J51&lt;L48,J56="是"),"0",ROUND(J59/(1+J52)^J53,0))</f>
        <v>#VALUE!</v>
      </c>
      <c r="K60" s="1926" t="s">
        <v>1560</v>
      </c>
      <c r="L60" s="1925" t="e">
        <f ca="1">IF(OR(M47="住宅",L48&lt;J51),0,ROUND(L57*(L58/L59-1),0))</f>
        <v>#VALUE!</v>
      </c>
      <c r="O60" s="1894" t="s">
        <v>1040</v>
      </c>
      <c r="P60" s="1885" t="s">
        <v>1561</v>
      </c>
      <c r="Q60" s="1886" t="e">
        <f ca="1">L58</f>
        <v>#DIV/0!</v>
      </c>
      <c r="R60" s="1886" t="s">
        <v>1562</v>
      </c>
    </row>
    <row r="61" spans="1:18" s="1842" customFormat="1" ht="16" thickBot="1">
      <c r="A61" s="1201" t="s">
        <v>1486</v>
      </c>
      <c r="B61" s="1169" t="s">
        <v>1487</v>
      </c>
      <c r="C61" s="24" t="e">
        <f ca="1">IF(项目基本情况!B11="自然人","——",IF(D61="按租金收入计税",ROUND(C48*F61,2),IF(D61="按房产原值计税",ROUND(C57*F61*0.7,2),INDIRECT("'数据-取费表'!Aj"&amp;$G$1))))</f>
        <v>#VALUE!</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6"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#VALUE!</v>
      </c>
      <c r="R62" s="1886" t="s">
        <v>1043</v>
      </c>
    </row>
    <row r="63" spans="1:18" s="1842" customFormat="1" ht="1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6" thickBot="1">
      <c r="A64" s="1201" t="s">
        <v>1494</v>
      </c>
      <c r="B64" s="1169" t="s">
        <v>1495</v>
      </c>
      <c r="C64" s="24" t="e">
        <f ca="1">ROUND(C57*F64,1)</f>
        <v>#VALUE!</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6" thickBot="1">
      <c r="A65" s="1201" t="s">
        <v>1497</v>
      </c>
      <c r="B65" s="1169" t="s">
        <v>1447</v>
      </c>
      <c r="C65" s="24" t="e">
        <f ca="1">ROUND(C56*F65,1)</f>
        <v>#VALUE!</v>
      </c>
      <c r="D65" s="1183" t="s">
        <v>1448</v>
      </c>
      <c r="E65" s="1169" t="s">
        <v>1449</v>
      </c>
      <c r="F65" s="376">
        <f t="shared" ca="1" si="0"/>
        <v>0</v>
      </c>
      <c r="I65" s="1928" t="s">
        <v>1573</v>
      </c>
      <c r="J65" s="1929">
        <v>40</v>
      </c>
      <c r="K65" s="1929">
        <v>30</v>
      </c>
      <c r="L65" s="1929">
        <v>50</v>
      </c>
      <c r="M65" s="1931">
        <v>0.02</v>
      </c>
      <c r="O65" s="1884" t="s">
        <v>1036</v>
      </c>
      <c r="P65" s="1885" t="s">
        <v>1574</v>
      </c>
      <c r="Q65" s="1886" t="e">
        <f ca="1">C40+J29</f>
        <v>#VALUE!</v>
      </c>
      <c r="R65" s="1886" t="s">
        <v>1523</v>
      </c>
    </row>
    <row r="66" spans="1:18" s="1842" customFormat="1" ht="17" thickBot="1">
      <c r="A66" s="1201" t="s">
        <v>1498</v>
      </c>
      <c r="B66" s="1169" t="s">
        <v>1433</v>
      </c>
      <c r="C66" s="24">
        <f ca="1">ROUND(C48*F66,1)</f>
        <v>0</v>
      </c>
      <c r="D66" s="1183" t="s">
        <v>1499</v>
      </c>
      <c r="E66" s="1169" t="s">
        <v>1416</v>
      </c>
      <c r="F66" s="357">
        <f t="shared" ca="1" si="0"/>
        <v>0</v>
      </c>
      <c r="O66" s="1884" t="s">
        <v>1037</v>
      </c>
      <c r="P66" s="1885" t="s">
        <v>1552</v>
      </c>
      <c r="Q66" s="1886" t="e">
        <f ca="1">L60</f>
        <v>#VALUE!</v>
      </c>
      <c r="R66" s="1886" t="s">
        <v>1575</v>
      </c>
    </row>
    <row r="67" spans="1:18" s="1842" customFormat="1" ht="18" thickBot="1">
      <c r="A67" s="1176" t="s">
        <v>1027</v>
      </c>
      <c r="B67" s="1186" t="s">
        <v>1457</v>
      </c>
      <c r="C67" s="361" t="e">
        <f ca="1">C48-C58</f>
        <v>#VALUE!</v>
      </c>
      <c r="D67" s="1182" t="s">
        <v>1458</v>
      </c>
      <c r="E67" s="1187"/>
      <c r="F67" s="1188"/>
      <c r="O67" s="1894" t="s">
        <v>1038</v>
      </c>
      <c r="P67" s="1885" t="s">
        <v>1556</v>
      </c>
      <c r="Q67" s="1932" t="e">
        <f ca="1">L51</f>
        <v>#VALUE!</v>
      </c>
      <c r="R67" s="1886" t="s">
        <v>1576</v>
      </c>
    </row>
    <row r="68" spans="1:18" s="1842" customFormat="1" ht="16" thickBot="1">
      <c r="A68" s="1166" t="s">
        <v>1028</v>
      </c>
      <c r="B68" s="1167" t="s">
        <v>1479</v>
      </c>
      <c r="C68" s="346" t="e">
        <f ca="1">ROUND(C67*(1-((1+F70)/(1+F68))^F69)/(F68-F70),0)</f>
        <v>#VALUE!</v>
      </c>
      <c r="D68" s="1184" t="s">
        <v>1463</v>
      </c>
      <c r="E68" s="1169" t="s">
        <v>1464</v>
      </c>
      <c r="F68" s="357">
        <f ca="1">F40</f>
        <v>0</v>
      </c>
      <c r="O68" s="1894" t="s">
        <v>1039</v>
      </c>
      <c r="P68" s="1933" t="s">
        <v>1577</v>
      </c>
      <c r="Q68" s="1886" t="e">
        <f ca="1">ROUND(Q69-Q70*Q71,0)</f>
        <v>#VALUE!</v>
      </c>
      <c r="R68" s="1886" t="s">
        <v>1047</v>
      </c>
    </row>
    <row r="69" spans="1:18" s="1842" customFormat="1" ht="16" thickBot="1">
      <c r="A69" s="1170"/>
      <c r="B69" s="1171"/>
      <c r="C69" s="351"/>
      <c r="D69" s="1189" t="s">
        <v>1467</v>
      </c>
      <c r="E69" s="1169" t="s">
        <v>1468</v>
      </c>
      <c r="F69" s="379">
        <f ca="1">F41</f>
        <v>0</v>
      </c>
      <c r="O69" s="1894" t="s">
        <v>1044</v>
      </c>
      <c r="P69" s="1933" t="s">
        <v>1578</v>
      </c>
      <c r="Q69" s="1886" t="e">
        <f ca="1">C39</f>
        <v>#VALUE!</v>
      </c>
      <c r="R69" s="1886" t="s">
        <v>1523</v>
      </c>
    </row>
    <row r="70" spans="1:18" s="1842" customFormat="1" ht="16" thickBot="1">
      <c r="A70" s="1173"/>
      <c r="B70" s="1174"/>
      <c r="C70" s="355"/>
      <c r="D70" s="1185"/>
      <c r="E70" s="1169" t="s">
        <v>1471</v>
      </c>
      <c r="F70" s="1275"/>
      <c r="O70" s="1894" t="s">
        <v>1045</v>
      </c>
      <c r="P70" s="1933" t="s">
        <v>1579</v>
      </c>
      <c r="Q70" s="1886" t="e">
        <f ca="1">C13</f>
        <v>#VALUE!</v>
      </c>
      <c r="R70" s="1886" t="s">
        <v>1523</v>
      </c>
    </row>
    <row r="71" spans="1:18" s="1842" customFormat="1" ht="15" thickBot="1">
      <c r="A71" s="1190" t="s">
        <v>1029</v>
      </c>
      <c r="B71" s="1191" t="s">
        <v>1481</v>
      </c>
      <c r="C71" s="382" t="e">
        <f ca="1">ROUND(C68*10000/F71,0)</f>
        <v>#VALUE!</v>
      </c>
      <c r="D71" s="1192" t="s">
        <v>1482</v>
      </c>
      <c r="E71" s="1193" t="s">
        <v>1483</v>
      </c>
      <c r="F71" s="385">
        <f ca="1">F43</f>
        <v>0</v>
      </c>
      <c r="O71" s="1894" t="s">
        <v>1046</v>
      </c>
      <c r="P71" s="1933" t="s">
        <v>1580</v>
      </c>
      <c r="Q71" s="1897">
        <f ca="1">C76</f>
        <v>0</v>
      </c>
      <c r="R71" s="1886"/>
    </row>
    <row r="72" spans="1:18" s="1842" customFormat="1" ht="15" thickBot="1">
      <c r="B72" s="796"/>
      <c r="C72" s="796"/>
      <c r="O72" s="1894" t="s">
        <v>1040</v>
      </c>
      <c r="P72" s="1885" t="s">
        <v>1558</v>
      </c>
      <c r="Q72" s="1897">
        <f>L52</f>
        <v>0</v>
      </c>
      <c r="R72" s="1886"/>
    </row>
    <row r="73" spans="1:18" ht="16" thickBot="1">
      <c r="A73" s="1842"/>
      <c r="B73" s="796"/>
      <c r="C73" s="796"/>
      <c r="D73" s="1842"/>
      <c r="E73" s="1842"/>
      <c r="F73" s="1842"/>
      <c r="O73" s="1894" t="s">
        <v>1041</v>
      </c>
      <c r="P73" s="1885" t="s">
        <v>1561</v>
      </c>
      <c r="Q73" s="1886" t="e">
        <f ca="1">L58</f>
        <v>#DIV/0!</v>
      </c>
      <c r="R73" s="1886" t="s">
        <v>1562</v>
      </c>
    </row>
    <row r="74" spans="1:18" ht="16"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5" thickBot="1">
      <c r="A75" s="1842"/>
      <c r="B75" s="386" t="s">
        <v>1500</v>
      </c>
      <c r="C75" s="387" t="e">
        <f ca="1">ROUND(C13*C76,0)</f>
        <v>#VALUE!</v>
      </c>
      <c r="D75" s="1842"/>
      <c r="E75" s="1842"/>
      <c r="F75" s="1842"/>
      <c r="K75" s="1868"/>
      <c r="L75" s="1842"/>
      <c r="O75" s="1884" t="s">
        <v>1042</v>
      </c>
      <c r="P75" s="1885" t="s">
        <v>1543</v>
      </c>
      <c r="Q75" s="1886" t="e">
        <f ca="1">Q65+Q66</f>
        <v>#VALUE!</v>
      </c>
      <c r="R75" s="1886" t="s">
        <v>1043</v>
      </c>
    </row>
    <row r="76" spans="1:18" ht="15">
      <c r="B76" s="388" t="s">
        <v>1501</v>
      </c>
      <c r="C76" s="389">
        <f ca="1">INDIRECT("'数据-取费表'!j"&amp;$G$1)</f>
        <v>0</v>
      </c>
      <c r="I76" s="1842"/>
      <c r="J76" s="1842"/>
      <c r="K76" s="1868"/>
      <c r="L76" s="1842"/>
    </row>
    <row r="77" spans="1:18" ht="14">
      <c r="B77" s="390" t="s">
        <v>1502</v>
      </c>
      <c r="C77" s="391"/>
      <c r="I77" s="1842"/>
      <c r="J77" s="1842"/>
      <c r="K77" s="1868"/>
      <c r="L77" s="1842"/>
    </row>
    <row r="78" spans="1:18" ht="14">
      <c r="B78" s="314" t="s">
        <v>1503</v>
      </c>
      <c r="C78" s="392"/>
    </row>
    <row r="79" spans="1:18" ht="14">
      <c r="B79" s="386" t="s">
        <v>1504</v>
      </c>
      <c r="C79" s="318" t="e">
        <f ca="1">1-C80</f>
        <v>#VALUE!</v>
      </c>
    </row>
    <row r="80" spans="1:18" ht="14">
      <c r="B80" s="386" t="s">
        <v>1505</v>
      </c>
      <c r="C80" s="318" t="e">
        <f ca="1">ROUND(C75/C39,3)</f>
        <v>#VALUE!</v>
      </c>
    </row>
    <row r="81" spans="2:3" ht="14">
      <c r="B81" s="314" t="s">
        <v>1506</v>
      </c>
      <c r="C81" s="282"/>
    </row>
    <row r="82" spans="2:3" ht="14">
      <c r="B82" s="317" t="s">
        <v>1507</v>
      </c>
      <c r="C82" s="319" t="e">
        <f ca="1">1-C83</f>
        <v>#VALUE!</v>
      </c>
    </row>
    <row r="83" spans="2:3" ht="14">
      <c r="B83" s="317" t="s">
        <v>1508</v>
      </c>
      <c r="C83" s="318" t="e">
        <f ca="1">ROUND(C13/C40,3)</f>
        <v>#VALUE!</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opLeftCell="A22" zoomScale="70" zoomScaleNormal="70" zoomScaleSheetLayoutView="90" workbookViewId="0">
      <selection activeCell="B6" sqref="B6:C6"/>
    </sheetView>
  </sheetViews>
  <sheetFormatPr baseColWidth="10" defaultColWidth="9" defaultRowHeight="13"/>
  <cols>
    <col min="1" max="1" width="9" style="302" customWidth="1"/>
    <col min="2" max="2" width="20.6640625" style="707" customWidth="1"/>
    <col min="3" max="3" width="11.83203125" style="707" customWidth="1"/>
    <col min="4" max="4" width="40.5" style="302" customWidth="1"/>
    <col min="5" max="5" width="15.66406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0.1640625" style="1934" customWidth="1"/>
    <col min="12" max="12" width="16.33203125" style="302" customWidth="1"/>
    <col min="13" max="13" width="13" style="302" customWidth="1"/>
    <col min="14" max="14" width="13.6640625" style="1842" customWidth="1"/>
    <col min="15" max="15" width="5.1640625" style="1842" customWidth="1"/>
    <col min="16" max="16" width="25.6640625" style="1842" customWidth="1"/>
    <col min="17" max="17" width="13.6640625" style="1842" customWidth="1"/>
    <col min="18" max="18" width="20.5" style="1842" customWidth="1"/>
    <col min="19" max="19" width="13.1640625" style="1842" customWidth="1"/>
    <col min="20" max="37" width="9" style="1842"/>
    <col min="38" max="16384" width="9" style="302"/>
  </cols>
  <sheetData>
    <row r="1" spans="1:37" s="337" customFormat="1" ht="20">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#VALUE!</v>
      </c>
      <c r="C2" s="1845" t="s">
        <v>1585</v>
      </c>
      <c r="D2" s="1937" t="e">
        <f ca="1">C40+J29+L46</f>
        <v>#VALUE!</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89" t="s">
        <v>1397</v>
      </c>
      <c r="C6" s="1296">
        <f ca="1">ROUND(F6*F8*F7*(1-F9),0)</f>
        <v>0</v>
      </c>
      <c r="D6" s="164" t="s">
        <v>3027</v>
      </c>
      <c r="E6" s="347" t="s">
        <v>1399</v>
      </c>
      <c r="F6" s="348">
        <f ca="1">INDIRECT("'数据-取费表'!u"&amp;$G$1)</f>
        <v>0</v>
      </c>
      <c r="G6" s="1851"/>
      <c r="H6" s="1291" t="s">
        <v>1031</v>
      </c>
      <c r="I6" s="3189" t="s">
        <v>1397</v>
      </c>
      <c r="J6" s="346">
        <f ca="1">ROUND(M6*M8*M7*(1-M9),0)</f>
        <v>0</v>
      </c>
      <c r="K6" s="1834" t="s">
        <v>3028</v>
      </c>
      <c r="L6" s="347" t="s">
        <v>1399</v>
      </c>
      <c r="M6" s="348">
        <f ca="1">INDIRECT("'数据-取费表'!z"&amp;$G$1)</f>
        <v>0</v>
      </c>
    </row>
    <row r="7" spans="1:37" ht="18" customHeight="1">
      <c r="A7" s="1295"/>
      <c r="B7" s="3190"/>
      <c r="C7" s="1297"/>
      <c r="D7" s="352"/>
      <c r="E7" s="1298" t="s">
        <v>1400</v>
      </c>
      <c r="F7" s="348">
        <f ca="1">IF(INDIRECT("'数据-取费表'!ah"&amp;$G$1)="",INDIRECT("'数据-取费表'!k"&amp;$G$1),INDIRECT("'数据-取费表'!ah"&amp;$G$1))</f>
        <v>0</v>
      </c>
      <c r="G7" s="1851"/>
      <c r="H7" s="349"/>
      <c r="I7" s="3190"/>
      <c r="J7" s="351"/>
      <c r="K7" s="352"/>
      <c r="L7" s="347" t="s">
        <v>1400</v>
      </c>
      <c r="M7" s="348">
        <f ca="1">F7</f>
        <v>0</v>
      </c>
    </row>
    <row r="8" spans="1:37" ht="18" customHeight="1">
      <c r="A8" s="349"/>
      <c r="B8" s="3190"/>
      <c r="C8" s="351"/>
      <c r="D8" s="352"/>
      <c r="E8" s="347" t="s">
        <v>1401</v>
      </c>
      <c r="F8" s="348">
        <f ca="1">INDIRECT("'数据-取费表'!ai"&amp;$G$1)</f>
        <v>0</v>
      </c>
      <c r="G8" s="1851"/>
      <c r="H8" s="349"/>
      <c r="I8" s="3190"/>
      <c r="J8" s="351"/>
      <c r="K8" s="352"/>
      <c r="L8" s="347" t="s">
        <v>1401</v>
      </c>
      <c r="M8" s="348">
        <f ca="1">INDIRECT("'数据-取费表'!ai"&amp;$G$1)</f>
        <v>0</v>
      </c>
    </row>
    <row r="9" spans="1:37" ht="18" customHeight="1">
      <c r="A9" s="349"/>
      <c r="B9" s="3191"/>
      <c r="C9" s="351"/>
      <c r="D9" s="352"/>
      <c r="E9" s="347" t="s">
        <v>1402</v>
      </c>
      <c r="F9" s="357">
        <f ca="1">INDIRECT("'数据-取费表'!w"&amp;$G$1)</f>
        <v>0</v>
      </c>
      <c r="G9" s="1851"/>
      <c r="H9" s="349"/>
      <c r="I9" s="3191"/>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c r="G10" s="1851"/>
      <c r="H10" s="1291" t="s">
        <v>1035</v>
      </c>
      <c r="I10" s="1823" t="s">
        <v>1403</v>
      </c>
      <c r="J10" s="346">
        <f ca="1">ROUND(IF(M10="押一",J6/12*M11,IF(M10="押二",J6/12*2*M11,IF(M10="押三",J6/12*3*M11,J11*M11))),0)</f>
        <v>0</v>
      </c>
      <c r="K10" s="1835" t="s">
        <v>3040</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t="e">
        <f ca="1">ROUND(C29*F13,0)</f>
        <v>#VALUE!</v>
      </c>
      <c r="D13" s="1331" t="s">
        <v>1409</v>
      </c>
      <c r="E13" s="1331" t="s">
        <v>1410</v>
      </c>
      <c r="F13" s="1332">
        <f ca="1">INDIRECT("'数据-取费表'!y"&amp;$G$1)</f>
        <v>0</v>
      </c>
      <c r="G13" s="1851"/>
      <c r="H13" s="1329">
        <v>2</v>
      </c>
      <c r="I13" s="1330" t="s">
        <v>1408</v>
      </c>
      <c r="J13" s="1290" t="e">
        <f ca="1">ROUND(J14*J15,0)</f>
        <v>#VALUE!</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t="e">
        <f ca="1">C29</f>
        <v>#VALUE!</v>
      </c>
      <c r="K14" s="15"/>
      <c r="L14" s="979"/>
      <c r="M14" s="980"/>
    </row>
    <row r="15" spans="1:37" s="1858" customFormat="1" ht="18" customHeight="1" thickBot="1">
      <c r="A15" s="1201" t="s">
        <v>1032</v>
      </c>
      <c r="B15" s="347" t="s">
        <v>1414</v>
      </c>
      <c r="C15" s="24">
        <f ca="1">ROUND(C14*F15,0)</f>
        <v>0</v>
      </c>
      <c r="D15" s="365" t="s">
        <v>1415</v>
      </c>
      <c r="E15" s="365" t="s">
        <v>1416</v>
      </c>
      <c r="F15" s="366">
        <f>'数据-取费表'!B33</f>
        <v>0</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t="e">
        <f ca="1">ROUND(J17+J22+J23+J24,0)</f>
        <v>#VALUE!</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0</v>
      </c>
      <c r="G17" s="1854"/>
      <c r="H17" s="1201" t="s">
        <v>1031</v>
      </c>
      <c r="I17" s="347" t="s">
        <v>1423</v>
      </c>
      <c r="J17" s="24" t="e">
        <f ca="1">ROUND(IF(项目基本情况!B11="自然人",J6*M17/(1+'数据-取费表'!C42),J18+J19+J20),0)</f>
        <v>#VALUE!</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0</v>
      </c>
      <c r="G18" s="1854"/>
      <c r="H18" s="1201" t="s">
        <v>1030</v>
      </c>
      <c r="I18" s="347" t="s">
        <v>1427</v>
      </c>
      <c r="J18" s="24">
        <f ca="1">ROUND(J6*M18/(1+'数据-取费表'!C42),0)</f>
        <v>0</v>
      </c>
      <c r="K18" s="1798" t="s">
        <v>1428</v>
      </c>
      <c r="L18" s="347" t="s">
        <v>1416</v>
      </c>
      <c r="M18" s="367">
        <f>'数据-取费表'!B41</f>
        <v>0</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t="e">
        <f ca="1">IF(K19="按租金收入计税",ROUND(J6*M19/(1+'数据-取费表'!C42),0),ROUND(C29*M19*0.7,0))</f>
        <v>#VALUE!</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t="e">
        <f ca="1">ROUND(J14*M22,0)</f>
        <v>#VALUE!</v>
      </c>
      <c r="K22" s="1798" t="s">
        <v>1444</v>
      </c>
      <c r="L22" s="347" t="s">
        <v>1416</v>
      </c>
      <c r="M22" s="374">
        <f ca="1">INDIRECT("'数据-取费表'!Ak"&amp;$G$1)</f>
        <v>0</v>
      </c>
    </row>
    <row r="23" spans="1:37" s="1858" customFormat="1" ht="18" customHeight="1">
      <c r="A23" s="1201" t="s">
        <v>1030</v>
      </c>
      <c r="B23" s="347" t="s">
        <v>1445</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1446</v>
      </c>
      <c r="F23" s="371">
        <f>'数据-取费表'!B20</f>
        <v>0</v>
      </c>
      <c r="G23" s="1854"/>
      <c r="H23" s="1201" t="s">
        <v>1071</v>
      </c>
      <c r="I23" s="347" t="s">
        <v>1447</v>
      </c>
      <c r="J23" s="24" t="e">
        <f ca="1">ROUND(J13*M23,0)</f>
        <v>#VALUE!</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t="e">
        <f ca="1">ROUND(IF('数据-取费表'!B22&lt;=1,F21*F24*F23/2,F21*(POWER((1+F24),F23/2)-1)),4)</f>
        <v>#VALUE!</v>
      </c>
      <c r="D24" s="375" t="str">
        <f>IF(F23&lt;=1,"销售费用×利率×(建设周期÷2)","销售费用×((1+利率)^(建设周期÷2)-1)")</f>
        <v>销售费用×利率×(建设周期÷2)</v>
      </c>
      <c r="E24" s="347" t="s">
        <v>1452</v>
      </c>
      <c r="F24" s="377" t="e">
        <f ca="1">'数据-取费表'!B40</f>
        <v>#VALUE!</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t="e">
        <f ca="1">J5-J16</f>
        <v>#VALUE!</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0</v>
      </c>
      <c r="D28" s="369" t="s">
        <v>1470</v>
      </c>
      <c r="E28" s="347" t="s">
        <v>1416</v>
      </c>
      <c r="F28" s="367">
        <f>'数据-取费表'!B41</f>
        <v>0</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t="e">
        <f ca="1">ROUND((C19+C20+C23+C26)/(1-F21-C24-C27-C28),0)</f>
        <v>#VALUE!</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t="e">
        <f ca="1">ROUND(C31+C36+C37+C38,0)</f>
        <v>#VALUE!</v>
      </c>
      <c r="D30" s="1337" t="s">
        <v>1419</v>
      </c>
      <c r="E30" s="1338"/>
      <c r="F30" s="1294"/>
      <c r="G30" s="1851"/>
      <c r="H30" s="745"/>
      <c r="I30" s="746"/>
      <c r="J30" s="747"/>
      <c r="K30" s="748"/>
      <c r="L30" s="749"/>
      <c r="M30" s="750"/>
    </row>
    <row r="31" spans="1:37" ht="18" customHeight="1">
      <c r="A31" s="1201" t="s">
        <v>1031</v>
      </c>
      <c r="B31" s="347" t="s">
        <v>1423</v>
      </c>
      <c r="C31" s="24" t="e">
        <f ca="1">ROUND(IF(项目基本情况!B11="自然人",C6*F31/(1+'数据-取费表'!C42),C32+C33+C34),0)</f>
        <v>#VALUE!</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0</v>
      </c>
      <c r="G32" s="1851"/>
      <c r="H32" s="745"/>
      <c r="I32" s="746"/>
      <c r="J32" s="747"/>
      <c r="K32" s="748"/>
      <c r="L32" s="749"/>
      <c r="M32" s="750"/>
    </row>
    <row r="33" spans="1:18" ht="18" customHeight="1">
      <c r="A33" s="1201" t="s">
        <v>1032</v>
      </c>
      <c r="B33" s="347" t="s">
        <v>1431</v>
      </c>
      <c r="C33" s="24" t="e">
        <f ca="1">IF(项目基本情况!B11="自然人","——",IF(D33="按租金收入计税",ROUND(C6*F33/(1+'数据-取费表'!C42),0),IF(D33="按房产原值计税",ROUND(C29*F33*0.7,0),INDIRECT("'数据-取费表'!Aj"&amp;$G$1))))</f>
        <v>#VALUE!</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t="e">
        <f ca="1">ROUND(C29*F36,0)</f>
        <v>#VALUE!</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t="e">
        <f ca="1">ROUND(C13*F37,0)</f>
        <v>#VALUE!</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5" customHeight="1" thickTop="1">
      <c r="A39" s="1329" t="s">
        <v>1027</v>
      </c>
      <c r="B39" s="1344" t="s">
        <v>1477</v>
      </c>
      <c r="C39" s="355" t="e">
        <f ca="1">C5-C30</f>
        <v>#VALUE!</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#VALUE!</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#VALUE!</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#VALUE!</v>
      </c>
      <c r="D45" s="1939" t="s">
        <v>1598</v>
      </c>
      <c r="E45" s="1866"/>
      <c r="F45" s="1866"/>
      <c r="O45" s="1869" t="s">
        <v>1513</v>
      </c>
      <c r="P45" s="1839"/>
      <c r="Q45" s="1839"/>
      <c r="R45" s="1839"/>
    </row>
    <row r="46" spans="1:18" s="1842" customFormat="1" ht="16" thickBot="1">
      <c r="A46" s="1870" t="s">
        <v>1514</v>
      </c>
      <c r="C46" s="1871" t="e">
        <f ca="1">ROUND(C45/10000,0)</f>
        <v>#VALUE!</v>
      </c>
      <c r="D46" s="1872" t="str">
        <f>C2</f>
        <v>万元</v>
      </c>
      <c r="I46" s="1873" t="s">
        <v>1515</v>
      </c>
      <c r="J46" s="1874"/>
      <c r="K46" s="1875"/>
      <c r="L46" s="1876" t="e">
        <f ca="1">IF(M47="住宅",0,IF(L48&gt;J51,L60,J60))</f>
        <v>#VALUE!</v>
      </c>
      <c r="O46" s="1877" t="s">
        <v>1516</v>
      </c>
      <c r="P46" s="1878" t="s">
        <v>1517</v>
      </c>
      <c r="Q46" s="1879" t="s">
        <v>1518</v>
      </c>
      <c r="R46" s="1879" t="s">
        <v>1519</v>
      </c>
    </row>
    <row r="47" spans="1:18" s="1842" customFormat="1" ht="16"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#VALUE!</v>
      </c>
      <c r="R47" s="1886" t="s">
        <v>1523</v>
      </c>
    </row>
    <row r="48" spans="1:18" s="1842" customFormat="1" ht="50"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#VALUE!</v>
      </c>
      <c r="R48" s="1886" t="s">
        <v>1527</v>
      </c>
    </row>
    <row r="49" spans="1:18" s="1842" customFormat="1" ht="16"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t="e">
        <f ca="1">C29</f>
        <v>#VALUE!</v>
      </c>
      <c r="R49" s="1886" t="s">
        <v>1523</v>
      </c>
    </row>
    <row r="50" spans="1:18" s="1842" customFormat="1" ht="1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5" thickBot="1">
      <c r="A51" s="1196"/>
      <c r="B51" s="1198"/>
      <c r="C51" s="1199"/>
      <c r="D51" s="1172"/>
      <c r="E51" s="1200" t="s">
        <v>1401</v>
      </c>
      <c r="F51" s="348">
        <f ca="1">F8</f>
        <v>0</v>
      </c>
      <c r="I51" s="1898" t="s">
        <v>1534</v>
      </c>
      <c r="J51" s="1899">
        <f>IF(J49="",J50,J49+J50-YEAR('数据-取费表'!B2))</f>
        <v>0</v>
      </c>
      <c r="K51" s="1900" t="s">
        <v>1535</v>
      </c>
      <c r="L51" s="1901" t="e">
        <f ca="1">ROUND(-PV(INDIRECT("'数据-取费表'!h"&amp;$G$1),L48,(C39-C13*C76),0),0)</f>
        <v>#VALUE!</v>
      </c>
      <c r="M51" s="1902"/>
      <c r="O51" s="1894" t="s">
        <v>1040</v>
      </c>
      <c r="P51" s="1885" t="s">
        <v>1536</v>
      </c>
      <c r="Q51" s="1897">
        <f>J52</f>
        <v>0</v>
      </c>
      <c r="R51" s="1886"/>
    </row>
    <row r="52" spans="1:18" s="1842" customFormat="1" ht="16"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3041</v>
      </c>
      <c r="E53" s="358" t="s">
        <v>1404</v>
      </c>
      <c r="F53" s="1366"/>
      <c r="I53" s="1905" t="s">
        <v>1541</v>
      </c>
      <c r="J53" s="2948">
        <f ca="1">IF(M47="住宅",IF(D1="——",MAX(J51,L48),MAX(J51,L48-'数据-取费表'!B24)),IF(D1="——",MIN(J51,L48),MIN(J51,L48-'数据-取费表'!B24)))</f>
        <v>0</v>
      </c>
      <c r="K53" s="3187" t="s">
        <v>1542</v>
      </c>
      <c r="L53" s="3188"/>
      <c r="O53" s="1884" t="s">
        <v>1042</v>
      </c>
      <c r="P53" s="1885" t="s">
        <v>1543</v>
      </c>
      <c r="Q53" s="1886" t="e">
        <f ca="1">Q47+Q48</f>
        <v>#VALUE!</v>
      </c>
      <c r="R53" s="1886" t="s">
        <v>1043</v>
      </c>
    </row>
    <row r="54" spans="1:18" s="1842" customFormat="1" ht="16"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6"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t="e">
        <f ca="1">C13</f>
        <v>#VALUE!</v>
      </c>
      <c r="D56" s="1913"/>
      <c r="E56" s="1914"/>
      <c r="F56" s="1906"/>
      <c r="I56" s="1915" t="s">
        <v>1548</v>
      </c>
      <c r="J56" s="1916"/>
      <c r="K56" s="1887" t="s">
        <v>1549</v>
      </c>
      <c r="L56" s="1890">
        <f ca="1">IF(L48&lt;J51,"——",L48-J51)</f>
        <v>0</v>
      </c>
      <c r="O56" s="1884" t="s">
        <v>1036</v>
      </c>
      <c r="P56" s="1885" t="s">
        <v>1522</v>
      </c>
      <c r="Q56" s="1886" t="e">
        <f ca="1">C40+J29</f>
        <v>#VALUE!</v>
      </c>
      <c r="R56" s="1886" t="s">
        <v>1523</v>
      </c>
    </row>
    <row r="57" spans="1:18" s="1842" customFormat="1" ht="31" thickBot="1">
      <c r="A57" s="1917"/>
      <c r="B57" s="1169" t="s">
        <v>1472</v>
      </c>
      <c r="C57" s="282" t="e">
        <f ca="1">C29</f>
        <v>#VALUE!</v>
      </c>
      <c r="D57" s="1918"/>
      <c r="E57" s="1919"/>
      <c r="F57" s="1920"/>
      <c r="I57" s="1921" t="s">
        <v>1550</v>
      </c>
      <c r="J57" s="1922">
        <f ca="1">IF(OR(M47="住宅",J51&lt;L48,J56="是"),"——",J51-L48)</f>
        <v>0</v>
      </c>
      <c r="K57" s="1887" t="s">
        <v>1599</v>
      </c>
      <c r="L57" s="1890" t="e">
        <f ca="1">IF(L48&lt;J51,"——",IF(L55="比较法",L49,IF(L55="基准地价",L50,L51)))</f>
        <v>#VALUE!</v>
      </c>
      <c r="O57" s="1884" t="s">
        <v>1037</v>
      </c>
      <c r="P57" s="1885" t="s">
        <v>1600</v>
      </c>
      <c r="Q57" s="1886" t="e">
        <f ca="1">L60</f>
        <v>#VALUE!</v>
      </c>
      <c r="R57" s="1886" t="s">
        <v>1601</v>
      </c>
    </row>
    <row r="58" spans="1:18" s="1842" customFormat="1" ht="31" thickBot="1">
      <c r="A58" s="360" t="s">
        <v>1026</v>
      </c>
      <c r="B58" s="1177" t="s">
        <v>1418</v>
      </c>
      <c r="C58" s="361" t="e">
        <f ca="1">ROUND(C59+C64+C65+C66,0)</f>
        <v>#VALUE!</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31" thickBot="1">
      <c r="A59" s="1201" t="s">
        <v>1031</v>
      </c>
      <c r="B59" s="1169" t="s">
        <v>1423</v>
      </c>
      <c r="C59" s="24" t="e">
        <f ca="1">ROUND(IF(项目基本情况!B11="自然人",C48*F59,C60+C61+C62),0)</f>
        <v>#VALUE!</v>
      </c>
      <c r="D59" s="1182" t="s">
        <v>1424</v>
      </c>
      <c r="E59" s="1183" t="s">
        <v>1425</v>
      </c>
      <c r="F59" s="368" t="str">
        <f ca="1">IF(项目基本情况!B11="企业","",IF(INDIRECT("'数据-取费表'!c"&amp;$G$1)="住宅",5%,IF(F49*F50*F51/12/(1+'数据-取费表'!C42)&gt;20000,12%,7%)))</f>
        <v/>
      </c>
      <c r="I59" s="1921" t="s">
        <v>1557</v>
      </c>
      <c r="J59" s="1922" t="e">
        <f ca="1">IF(OR(M47="住宅",J51&lt;L48,J56="是"),"——",ROUND(C29*J58,0))</f>
        <v>#VALUE!</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 thickBot="1">
      <c r="A60" s="1201" t="s">
        <v>1030</v>
      </c>
      <c r="B60" s="1169" t="s">
        <v>1427</v>
      </c>
      <c r="C60" s="24">
        <f ca="1">IF(项目基本情况!B11="自然人","——",ROUND(C48*F60/(1+'数据-取费表'!C42),0))</f>
        <v>0</v>
      </c>
      <c r="D60" s="1183" t="s">
        <v>1428</v>
      </c>
      <c r="E60" s="1169" t="s">
        <v>1416</v>
      </c>
      <c r="F60" s="377">
        <f t="shared" ref="F60:F66" si="0">F32</f>
        <v>0</v>
      </c>
      <c r="I60" s="1924" t="s">
        <v>1559</v>
      </c>
      <c r="J60" s="1925" t="e">
        <f ca="1">IF(OR(M47="住宅",J51&lt;L48,J56="是"),"0",ROUND(J59/(1+J52)^J53,0))</f>
        <v>#VALUE!</v>
      </c>
      <c r="K60" s="1926" t="s">
        <v>1560</v>
      </c>
      <c r="L60" s="1925" t="e">
        <f ca="1">IF(OR(M47="住宅",L48&lt;J51),0,ROUND(L57*(L58/L59-1),0))</f>
        <v>#VALUE!</v>
      </c>
      <c r="O60" s="1894" t="s">
        <v>1040</v>
      </c>
      <c r="P60" s="1885" t="s">
        <v>1561</v>
      </c>
      <c r="Q60" s="1886" t="e">
        <f ca="1">L58</f>
        <v>#DIV/0!</v>
      </c>
      <c r="R60" s="1886" t="s">
        <v>1562</v>
      </c>
    </row>
    <row r="61" spans="1:18" s="1842" customFormat="1" ht="16" thickBot="1">
      <c r="A61" s="1201" t="s">
        <v>1486</v>
      </c>
      <c r="B61" s="1169" t="s">
        <v>1487</v>
      </c>
      <c r="C61" s="24" t="e">
        <f ca="1">IF(项目基本情况!B11="自然人","——",IF(D61="按租金收入计税",ROUND(C48*F61,0),IF(D61="按房产原值计税",ROUND(C57*F61*0.7,0),INDIRECT("'数据-取费表'!Aj"&amp;$G$1))))</f>
        <v>#VALUE!</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6"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#VALUE!</v>
      </c>
      <c r="R62" s="1886" t="s">
        <v>1043</v>
      </c>
    </row>
    <row r="63" spans="1:18" s="1842" customFormat="1" ht="1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6" thickBot="1">
      <c r="A64" s="1201" t="s">
        <v>1494</v>
      </c>
      <c r="B64" s="1169" t="s">
        <v>1495</v>
      </c>
      <c r="C64" s="24" t="e">
        <f ca="1">ROUND(C57*F64,0)</f>
        <v>#VALUE!</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6" thickBot="1">
      <c r="A65" s="1201" t="s">
        <v>1497</v>
      </c>
      <c r="B65" s="1169" t="s">
        <v>1447</v>
      </c>
      <c r="C65" s="24" t="e">
        <f ca="1">ROUND(C56*F65,0)</f>
        <v>#VALUE!</v>
      </c>
      <c r="D65" s="1183" t="s">
        <v>1448</v>
      </c>
      <c r="E65" s="1169" t="s">
        <v>1449</v>
      </c>
      <c r="F65" s="376">
        <f t="shared" ca="1" si="0"/>
        <v>0</v>
      </c>
      <c r="I65" s="1928" t="s">
        <v>1573</v>
      </c>
      <c r="J65" s="1929">
        <v>40</v>
      </c>
      <c r="K65" s="1929">
        <v>30</v>
      </c>
      <c r="L65" s="1929">
        <v>50</v>
      </c>
      <c r="M65" s="1931">
        <v>0.02</v>
      </c>
      <c r="O65" s="1884" t="s">
        <v>1036</v>
      </c>
      <c r="P65" s="1885" t="s">
        <v>1574</v>
      </c>
      <c r="Q65" s="1886" t="e">
        <f ca="1">C40+J29</f>
        <v>#VALUE!</v>
      </c>
      <c r="R65" s="1886" t="s">
        <v>1523</v>
      </c>
    </row>
    <row r="66" spans="1:18" s="1842" customFormat="1" ht="17" thickBot="1">
      <c r="A66" s="1201" t="s">
        <v>1498</v>
      </c>
      <c r="B66" s="1169" t="s">
        <v>1433</v>
      </c>
      <c r="C66" s="24">
        <f ca="1">ROUND(C48*F66,0)</f>
        <v>0</v>
      </c>
      <c r="D66" s="1183" t="s">
        <v>1499</v>
      </c>
      <c r="E66" s="1169" t="s">
        <v>1416</v>
      </c>
      <c r="F66" s="357">
        <f t="shared" ca="1" si="0"/>
        <v>0</v>
      </c>
      <c r="O66" s="1884" t="s">
        <v>1037</v>
      </c>
      <c r="P66" s="1885" t="s">
        <v>1552</v>
      </c>
      <c r="Q66" s="1886" t="e">
        <f ca="1">L60</f>
        <v>#VALUE!</v>
      </c>
      <c r="R66" s="1886" t="s">
        <v>1575</v>
      </c>
    </row>
    <row r="67" spans="1:18" s="1842" customFormat="1" ht="18" thickBot="1">
      <c r="A67" s="1176" t="s">
        <v>1027</v>
      </c>
      <c r="B67" s="1186" t="s">
        <v>1457</v>
      </c>
      <c r="C67" s="361" t="e">
        <f ca="1">C48-C58</f>
        <v>#VALUE!</v>
      </c>
      <c r="D67" s="1182" t="s">
        <v>1458</v>
      </c>
      <c r="E67" s="1187"/>
      <c r="F67" s="1188"/>
      <c r="O67" s="1894" t="s">
        <v>1038</v>
      </c>
      <c r="P67" s="1885" t="s">
        <v>1556</v>
      </c>
      <c r="Q67" s="1932" t="e">
        <f ca="1">L51</f>
        <v>#VALUE!</v>
      </c>
      <c r="R67" s="1886" t="s">
        <v>1576</v>
      </c>
    </row>
    <row r="68" spans="1:18" s="1842" customFormat="1" ht="16" thickBot="1">
      <c r="A68" s="1166" t="s">
        <v>1028</v>
      </c>
      <c r="B68" s="1167" t="s">
        <v>1479</v>
      </c>
      <c r="C68" s="346" t="e">
        <f ca="1">ROUND(C67*(1-((1+F70)/(1+F68))^F69)/(F68-F70),0)</f>
        <v>#VALUE!</v>
      </c>
      <c r="D68" s="1184" t="s">
        <v>1463</v>
      </c>
      <c r="E68" s="1169" t="s">
        <v>1464</v>
      </c>
      <c r="F68" s="357">
        <f ca="1">F40</f>
        <v>0</v>
      </c>
      <c r="O68" s="1894" t="s">
        <v>1039</v>
      </c>
      <c r="P68" s="1933" t="s">
        <v>1577</v>
      </c>
      <c r="Q68" s="1886" t="e">
        <f ca="1">ROUND(Q69-Q70*Q71,0)</f>
        <v>#VALUE!</v>
      </c>
      <c r="R68" s="1886" t="s">
        <v>1047</v>
      </c>
    </row>
    <row r="69" spans="1:18" s="1842" customFormat="1" ht="16" thickBot="1">
      <c r="A69" s="1170"/>
      <c r="B69" s="1171"/>
      <c r="C69" s="351"/>
      <c r="D69" s="1189" t="s">
        <v>1467</v>
      </c>
      <c r="E69" s="1169" t="s">
        <v>1468</v>
      </c>
      <c r="F69" s="379">
        <f ca="1">F41</f>
        <v>0</v>
      </c>
      <c r="O69" s="1894" t="s">
        <v>1044</v>
      </c>
      <c r="P69" s="1933" t="s">
        <v>1578</v>
      </c>
      <c r="Q69" s="1886" t="e">
        <f ca="1">C39</f>
        <v>#VALUE!</v>
      </c>
      <c r="R69" s="1886" t="s">
        <v>1523</v>
      </c>
    </row>
    <row r="70" spans="1:18" s="1842" customFormat="1" ht="16" thickBot="1">
      <c r="A70" s="1173"/>
      <c r="B70" s="1174"/>
      <c r="C70" s="355"/>
      <c r="D70" s="1185"/>
      <c r="E70" s="1169" t="s">
        <v>1471</v>
      </c>
      <c r="F70" s="1275">
        <f ca="1">F42</f>
        <v>0</v>
      </c>
      <c r="O70" s="1894" t="s">
        <v>1045</v>
      </c>
      <c r="P70" s="1933" t="s">
        <v>1579</v>
      </c>
      <c r="Q70" s="1886" t="e">
        <f ca="1">C13</f>
        <v>#VALUE!</v>
      </c>
      <c r="R70" s="1886" t="s">
        <v>1523</v>
      </c>
    </row>
    <row r="71" spans="1:18" s="1842" customFormat="1" ht="15" thickBot="1">
      <c r="A71" s="1190" t="s">
        <v>1029</v>
      </c>
      <c r="B71" s="1191" t="s">
        <v>1481</v>
      </c>
      <c r="C71" s="382" t="e">
        <f ca="1">ROUND(C68/F71,0)</f>
        <v>#VALUE!</v>
      </c>
      <c r="D71" s="1192" t="s">
        <v>1482</v>
      </c>
      <c r="E71" s="1193" t="s">
        <v>1483</v>
      </c>
      <c r="F71" s="385">
        <f ca="1">F43</f>
        <v>0</v>
      </c>
      <c r="O71" s="1894" t="s">
        <v>1046</v>
      </c>
      <c r="P71" s="1933" t="s">
        <v>1580</v>
      </c>
      <c r="Q71" s="1897">
        <f ca="1">C76</f>
        <v>0</v>
      </c>
      <c r="R71" s="1886"/>
    </row>
    <row r="72" spans="1:18" s="1842" customFormat="1" ht="15" thickBot="1">
      <c r="B72" s="796"/>
      <c r="C72" s="796"/>
      <c r="O72" s="1894" t="s">
        <v>1040</v>
      </c>
      <c r="P72" s="1885" t="s">
        <v>1558</v>
      </c>
      <c r="Q72" s="1897">
        <f>L52</f>
        <v>0</v>
      </c>
      <c r="R72" s="1886"/>
    </row>
    <row r="73" spans="1:18" ht="16" thickBot="1">
      <c r="A73" s="1842"/>
      <c r="B73" s="796"/>
      <c r="C73" s="796"/>
      <c r="D73" s="1842"/>
      <c r="E73" s="1842"/>
      <c r="F73" s="1842"/>
      <c r="O73" s="1894" t="s">
        <v>1041</v>
      </c>
      <c r="P73" s="1885" t="s">
        <v>1561</v>
      </c>
      <c r="Q73" s="1886" t="e">
        <f ca="1">L58</f>
        <v>#DIV/0!</v>
      </c>
      <c r="R73" s="1886" t="s">
        <v>1562</v>
      </c>
    </row>
    <row r="74" spans="1:18" ht="16"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5" thickBot="1">
      <c r="A75" s="1842"/>
      <c r="B75" s="386" t="s">
        <v>1500</v>
      </c>
      <c r="C75" s="387" t="e">
        <f ca="1">ROUND(C13*C76,0)</f>
        <v>#VALUE!</v>
      </c>
      <c r="D75" s="1842"/>
      <c r="E75" s="1842"/>
      <c r="F75" s="1842"/>
      <c r="K75" s="1868"/>
      <c r="L75" s="1842"/>
      <c r="O75" s="1884" t="s">
        <v>1042</v>
      </c>
      <c r="P75" s="1885" t="s">
        <v>1543</v>
      </c>
      <c r="Q75" s="1886" t="e">
        <f ca="1">Q65+Q66</f>
        <v>#VALUE!</v>
      </c>
      <c r="R75" s="1886" t="s">
        <v>1043</v>
      </c>
    </row>
    <row r="76" spans="1:18" ht="15">
      <c r="B76" s="388" t="s">
        <v>1501</v>
      </c>
      <c r="C76" s="389">
        <f ca="1">INDIRECT("'数据-取费表'!j"&amp;$G$1)</f>
        <v>0</v>
      </c>
      <c r="I76" s="1842"/>
      <c r="J76" s="1842"/>
      <c r="K76" s="1868"/>
      <c r="L76" s="1842"/>
    </row>
    <row r="77" spans="1:18" ht="14">
      <c r="B77" s="390" t="s">
        <v>1502</v>
      </c>
      <c r="C77" s="391"/>
      <c r="I77" s="1842"/>
      <c r="J77" s="1842"/>
      <c r="K77" s="1868"/>
      <c r="L77" s="1842"/>
    </row>
    <row r="78" spans="1:18" ht="14">
      <c r="B78" s="314" t="s">
        <v>1503</v>
      </c>
      <c r="C78" s="392"/>
    </row>
    <row r="79" spans="1:18" ht="14">
      <c r="B79" s="386" t="s">
        <v>1504</v>
      </c>
      <c r="C79" s="318" t="e">
        <f ca="1">1-C80</f>
        <v>#VALUE!</v>
      </c>
    </row>
    <row r="80" spans="1:18" ht="14">
      <c r="B80" s="386" t="s">
        <v>1505</v>
      </c>
      <c r="C80" s="318" t="e">
        <f ca="1">ROUND(C75/C39,3)</f>
        <v>#VALUE!</v>
      </c>
    </row>
    <row r="81" spans="2:3" ht="14">
      <c r="B81" s="314" t="s">
        <v>1506</v>
      </c>
      <c r="C81" s="282"/>
    </row>
    <row r="82" spans="2:3" ht="14">
      <c r="B82" s="317" t="s">
        <v>1507</v>
      </c>
      <c r="C82" s="319" t="e">
        <f ca="1">1-C83</f>
        <v>#VALUE!</v>
      </c>
    </row>
    <row r="83" spans="2:3" ht="14">
      <c r="B83" s="317" t="s">
        <v>1508</v>
      </c>
      <c r="C83" s="318" t="e">
        <f ca="1">ROUND(C13/C40,3)</f>
        <v>#VALUE!</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F13"/>
  <sheetViews>
    <sheetView workbookViewId="0">
      <selection activeCell="B6" sqref="B6:C6"/>
    </sheetView>
  </sheetViews>
  <sheetFormatPr baseColWidth="10" defaultColWidth="9" defaultRowHeight="14"/>
  <cols>
    <col min="1" max="1" width="23.6640625" style="1944" customWidth="1"/>
    <col min="2" max="2" width="12" style="1944" customWidth="1"/>
    <col min="3" max="3" width="9" style="1944"/>
    <col min="4" max="4" width="14.1640625" style="1944" customWidth="1"/>
    <col min="5" max="5" width="9" style="1944"/>
    <col min="6" max="6" width="12.83203125" style="1944" customWidth="1"/>
    <col min="7" max="16384" width="9" style="1944"/>
  </cols>
  <sheetData>
    <row r="1" spans="1:6" ht="20">
      <c r="A1" s="2559" t="s">
        <v>2525</v>
      </c>
      <c r="B1" s="2560"/>
      <c r="C1" s="2560"/>
      <c r="D1" s="2560"/>
      <c r="E1" s="2561"/>
    </row>
    <row r="2" spans="1:6" ht="16">
      <c r="A2" s="2562" t="s">
        <v>2326</v>
      </c>
      <c r="B2" s="2563">
        <f ca="1">SUMIF(B6:B13,"&lt;&gt;#ref!",B6:B13)</f>
        <v>0</v>
      </c>
      <c r="C2" s="2564" t="s">
        <v>2518</v>
      </c>
      <c r="D2" s="2565" t="s">
        <v>2519</v>
      </c>
      <c r="E2" s="2566">
        <f>SUM(E6:E13)</f>
        <v>0</v>
      </c>
    </row>
    <row r="3" spans="1:6" ht="16">
      <c r="A3" s="2562" t="s">
        <v>1389</v>
      </c>
      <c r="B3" s="2563" t="e">
        <f ca="1">ROUND(B2*10000/E2,0)</f>
        <v>#DIV/0!</v>
      </c>
      <c r="C3" s="2564" t="s">
        <v>2526</v>
      </c>
      <c r="D3" s="2567"/>
      <c r="E3" s="2568"/>
    </row>
    <row r="4" spans="1:6" ht="16">
      <c r="A4" s="2569"/>
      <c r="B4" s="2567"/>
      <c r="C4" s="2567"/>
      <c r="D4" s="2567"/>
      <c r="E4" s="2568"/>
    </row>
    <row r="5" spans="1:6">
      <c r="A5" s="2570" t="s">
        <v>2520</v>
      </c>
      <c r="B5" s="3192" t="s">
        <v>2521</v>
      </c>
      <c r="C5" s="3192"/>
      <c r="D5" s="2571"/>
      <c r="E5" s="2572" t="s">
        <v>2522</v>
      </c>
      <c r="F5" s="2573" t="s">
        <v>2523</v>
      </c>
    </row>
    <row r="6" spans="1:6">
      <c r="A6" s="2574">
        <f>'数据-取费表'!AN6</f>
        <v>0</v>
      </c>
      <c r="B6" s="2573" t="e">
        <f ca="1">IF(F6="是",'数据-取费表'!AO6,0)</f>
        <v>#REF!</v>
      </c>
      <c r="C6" s="2564" t="s">
        <v>2518</v>
      </c>
      <c r="D6" s="2567"/>
      <c r="E6" s="2575">
        <f>IF(OR(A6=0,F6="否"),0,'数据-取费表'!K6+'数据-取费表'!S6)</f>
        <v>0</v>
      </c>
      <c r="F6" s="2576" t="s">
        <v>2524</v>
      </c>
    </row>
    <row r="7" spans="1:6">
      <c r="A7" s="2574">
        <f>'数据-取费表'!AN7</f>
        <v>0</v>
      </c>
      <c r="B7" s="2573" t="e">
        <f ca="1">IF(F7="是",'数据-取费表'!AO7,0)</f>
        <v>#REF!</v>
      </c>
      <c r="C7" s="2564" t="s">
        <v>2518</v>
      </c>
      <c r="D7" s="2567"/>
      <c r="E7" s="2575">
        <f>IF(OR(A7=0,F7="否"),0,'数据-取费表'!K7+'数据-取费表'!S7)</f>
        <v>0</v>
      </c>
      <c r="F7" s="2576" t="s">
        <v>2524</v>
      </c>
    </row>
    <row r="8" spans="1:6">
      <c r="A8" s="2574">
        <f>'数据-取费表'!AN8</f>
        <v>0</v>
      </c>
      <c r="B8" s="2573" t="e">
        <f ca="1">IF(F8="是",'数据-取费表'!AO8,0)</f>
        <v>#REF!</v>
      </c>
      <c r="C8" s="2564" t="s">
        <v>2518</v>
      </c>
      <c r="D8" s="2567"/>
      <c r="E8" s="2575">
        <f>IF(OR(A8=0,F8="否"),0,'数据-取费表'!K8+'数据-取费表'!S8)</f>
        <v>0</v>
      </c>
      <c r="F8" s="2576" t="s">
        <v>2524</v>
      </c>
    </row>
    <row r="9" spans="1:6">
      <c r="A9" s="2574">
        <f>'数据-取费表'!AN9</f>
        <v>0</v>
      </c>
      <c r="B9" s="2573" t="e">
        <f ca="1">IF(F9="是",'数据-取费表'!AO9,0)</f>
        <v>#REF!</v>
      </c>
      <c r="C9" s="2564" t="s">
        <v>2518</v>
      </c>
      <c r="D9" s="2567"/>
      <c r="E9" s="2575">
        <f>IF(OR(A9=0,F9="否"),0,'数据-取费表'!K9+'数据-取费表'!S9)</f>
        <v>0</v>
      </c>
      <c r="F9" s="2576" t="s">
        <v>2524</v>
      </c>
    </row>
    <row r="10" spans="1:6">
      <c r="A10" s="2574">
        <f>'数据-取费表'!AN10</f>
        <v>0</v>
      </c>
      <c r="B10" s="2573" t="e">
        <f ca="1">IF(F10="是",'数据-取费表'!AO10,0)</f>
        <v>#REF!</v>
      </c>
      <c r="C10" s="2564" t="s">
        <v>2518</v>
      </c>
      <c r="D10" s="2567"/>
      <c r="E10" s="2575">
        <f>IF(OR(A10=0,F10="否"),0,'数据-取费表'!K10+'数据-取费表'!S10)</f>
        <v>0</v>
      </c>
      <c r="F10" s="2576" t="s">
        <v>2524</v>
      </c>
    </row>
    <row r="11" spans="1:6">
      <c r="A11" s="2574">
        <f>'数据-取费表'!AN11</f>
        <v>0</v>
      </c>
      <c r="B11" s="2573" t="e">
        <f ca="1">IF(F11="是",'数据-取费表'!AO11,0)</f>
        <v>#REF!</v>
      </c>
      <c r="C11" s="2564" t="s">
        <v>2518</v>
      </c>
      <c r="D11" s="2567"/>
      <c r="E11" s="2575">
        <f>IF(OR(A11=0,F11="否"),0,'数据-取费表'!K11+'数据-取费表'!S11)</f>
        <v>0</v>
      </c>
      <c r="F11" s="2576" t="s">
        <v>2524</v>
      </c>
    </row>
    <row r="12" spans="1:6">
      <c r="A12" s="2574">
        <f>'数据-取费表'!AN12</f>
        <v>0</v>
      </c>
      <c r="B12" s="2573" t="e">
        <f ca="1">IF(F12="是",'数据-取费表'!AO12,0)</f>
        <v>#REF!</v>
      </c>
      <c r="C12" s="2564" t="s">
        <v>2518</v>
      </c>
      <c r="D12" s="2567"/>
      <c r="E12" s="2575">
        <f>IF(OR(A12=0,F12="否"),0,'数据-取费表'!K12+'数据-取费表'!S12)</f>
        <v>0</v>
      </c>
      <c r="F12" s="2576" t="s">
        <v>2524</v>
      </c>
    </row>
    <row r="13" spans="1:6" ht="15" thickBot="1">
      <c r="A13" s="2577">
        <f>'数据-取费表'!AN13</f>
        <v>0</v>
      </c>
      <c r="B13" s="2573" t="e">
        <f ca="1">IF(F13="是",'数据-取费表'!AO13,0)</f>
        <v>#REF!</v>
      </c>
      <c r="C13" s="2578" t="s">
        <v>2518</v>
      </c>
      <c r="D13" s="2579"/>
      <c r="E13" s="2575">
        <f>IF(OR(A13=0,F13="否"),0,'数据-取费表'!K13+'数据-取费表'!S13)</f>
        <v>0</v>
      </c>
      <c r="F13" s="2576" t="s">
        <v>2524</v>
      </c>
    </row>
  </sheetData>
  <sheetProtection password="C66D" sheet="1" objects="1" scenarios="1" formatCells="0"/>
  <mergeCells count="1">
    <mergeCell ref="B5:C5"/>
  </mergeCells>
  <phoneticPr fontId="144" type="noConversion"/>
  <dataValidations count="1">
    <dataValidation type="list" allowBlank="1" showInputMessage="1" showErrorMessage="1" sqref="F6:F13" xr:uid="{00000000-0002-0000-1700-000000000000}">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workbookViewId="0">
      <selection activeCell="B6" sqref="B6:C6"/>
    </sheetView>
  </sheetViews>
  <sheetFormatPr baseColWidth="10" defaultColWidth="8.83203125" defaultRowHeight="14"/>
  <cols>
    <col min="1" max="1" width="10.5" customWidth="1"/>
    <col min="2" max="2" width="12.83203125" customWidth="1"/>
    <col min="3" max="3" width="8.6640625" customWidth="1"/>
  </cols>
  <sheetData>
    <row r="1" spans="1:9" ht="15">
      <c r="A1" s="3209" t="s">
        <v>1072</v>
      </c>
      <c r="B1" s="3210"/>
      <c r="C1" s="3211"/>
      <c r="D1" s="3212">
        <f>SUM(I10,I15,I20,I21,I23)</f>
        <v>0</v>
      </c>
      <c r="E1" s="3212"/>
      <c r="F1" s="3212"/>
      <c r="G1" s="3212"/>
      <c r="H1" s="3212"/>
      <c r="I1" s="3213"/>
    </row>
    <row r="2" spans="1:9">
      <c r="A2" s="3199" t="s">
        <v>1073</v>
      </c>
      <c r="B2" s="3200" t="s">
        <v>1074</v>
      </c>
      <c r="C2" s="3200"/>
      <c r="D2" s="1301" t="s">
        <v>1075</v>
      </c>
      <c r="E2" s="1301" t="s">
        <v>1076</v>
      </c>
      <c r="F2" s="1301" t="s">
        <v>1077</v>
      </c>
      <c r="G2" s="1301" t="s">
        <v>1078</v>
      </c>
      <c r="H2" s="1301" t="s">
        <v>1079</v>
      </c>
      <c r="I2" s="1302" t="s">
        <v>1080</v>
      </c>
    </row>
    <row r="3" spans="1:9">
      <c r="A3" s="3199"/>
      <c r="B3" s="3200" t="s">
        <v>1081</v>
      </c>
      <c r="C3" s="3200"/>
      <c r="D3" s="1303"/>
      <c r="E3" s="1301"/>
      <c r="F3" s="1304"/>
      <c r="G3" s="1304"/>
      <c r="H3" s="1305"/>
      <c r="I3" s="1306">
        <f>ROUND(D3*E3*F3*G3*H3/10000,0)</f>
        <v>0</v>
      </c>
    </row>
    <row r="4" spans="1:9">
      <c r="A4" s="3199"/>
      <c r="B4" s="3200" t="s">
        <v>1082</v>
      </c>
      <c r="C4" s="3200"/>
      <c r="D4" s="1303"/>
      <c r="E4" s="1301"/>
      <c r="F4" s="1304"/>
      <c r="G4" s="1304"/>
      <c r="H4" s="1305"/>
      <c r="I4" s="1306">
        <f t="shared" ref="I4:I9" si="0">ROUND(D4*E4*F4*G4*H4/10000,0)</f>
        <v>0</v>
      </c>
    </row>
    <row r="5" spans="1:9">
      <c r="A5" s="3199"/>
      <c r="B5" s="3200" t="s">
        <v>1083</v>
      </c>
      <c r="C5" s="3200"/>
      <c r="D5" s="1303"/>
      <c r="E5" s="1301"/>
      <c r="F5" s="1304"/>
      <c r="G5" s="1304"/>
      <c r="H5" s="1305"/>
      <c r="I5" s="1306">
        <f t="shared" si="0"/>
        <v>0</v>
      </c>
    </row>
    <row r="6" spans="1:9">
      <c r="A6" s="3199"/>
      <c r="B6" s="3200" t="s">
        <v>1084</v>
      </c>
      <c r="C6" s="3200"/>
      <c r="D6" s="1303"/>
      <c r="E6" s="1301"/>
      <c r="F6" s="1304"/>
      <c r="G6" s="1304"/>
      <c r="H6" s="1305"/>
      <c r="I6" s="1306">
        <f t="shared" si="0"/>
        <v>0</v>
      </c>
    </row>
    <row r="7" spans="1:9">
      <c r="A7" s="3199"/>
      <c r="B7" s="3200" t="s">
        <v>1085</v>
      </c>
      <c r="C7" s="3200"/>
      <c r="D7" s="1303"/>
      <c r="E7" s="1301"/>
      <c r="F7" s="1304"/>
      <c r="G7" s="1304"/>
      <c r="H7" s="1305"/>
      <c r="I7" s="1306">
        <f t="shared" si="0"/>
        <v>0</v>
      </c>
    </row>
    <row r="8" spans="1:9">
      <c r="A8" s="3199"/>
      <c r="B8" s="3200" t="s">
        <v>1086</v>
      </c>
      <c r="C8" s="3200"/>
      <c r="D8" s="1303"/>
      <c r="E8" s="1301"/>
      <c r="F8" s="1304"/>
      <c r="G8" s="1304"/>
      <c r="H8" s="1305"/>
      <c r="I8" s="1306">
        <f t="shared" si="0"/>
        <v>0</v>
      </c>
    </row>
    <row r="9" spans="1:9">
      <c r="A9" s="3199"/>
      <c r="B9" s="3200" t="s">
        <v>1087</v>
      </c>
      <c r="C9" s="3200"/>
      <c r="D9" s="1303"/>
      <c r="E9" s="1301"/>
      <c r="F9" s="1304"/>
      <c r="G9" s="1304"/>
      <c r="H9" s="1305"/>
      <c r="I9" s="1306">
        <f t="shared" si="0"/>
        <v>0</v>
      </c>
    </row>
    <row r="10" spans="1:9">
      <c r="A10" s="3199"/>
      <c r="B10" s="3201" t="s">
        <v>1088</v>
      </c>
      <c r="C10" s="3201"/>
      <c r="D10" s="1307"/>
      <c r="E10" s="1307" t="e">
        <f>ROUND(D1*10000/D10/H9,0)</f>
        <v>#DIV/0!</v>
      </c>
      <c r="F10" s="1308"/>
      <c r="G10" s="1308"/>
      <c r="H10" s="1309"/>
      <c r="I10" s="1310">
        <f>SUM(I3:I9)</f>
        <v>0</v>
      </c>
    </row>
    <row r="11" spans="1:9" ht="15">
      <c r="A11" s="3199" t="s">
        <v>1089</v>
      </c>
      <c r="B11" s="3200" t="s">
        <v>1090</v>
      </c>
      <c r="C11" s="3200"/>
      <c r="D11" s="1303" t="s">
        <v>1091</v>
      </c>
      <c r="E11" s="1303" t="s">
        <v>1092</v>
      </c>
      <c r="F11" s="1304" t="s">
        <v>1093</v>
      </c>
      <c r="G11" s="1304" t="s">
        <v>1079</v>
      </c>
      <c r="H11" s="1311" t="s">
        <v>1094</v>
      </c>
      <c r="I11" s="1302" t="s">
        <v>1080</v>
      </c>
    </row>
    <row r="12" spans="1:9">
      <c r="A12" s="3199"/>
      <c r="B12" s="3200" t="s">
        <v>1095</v>
      </c>
      <c r="C12" s="3200"/>
      <c r="D12" s="1303"/>
      <c r="E12" s="1303"/>
      <c r="F12" s="1304"/>
      <c r="G12" s="1305"/>
      <c r="H12" s="1312"/>
      <c r="I12" s="1302">
        <f>ROUND(D12*E12*F12*G12/10000,0)</f>
        <v>0</v>
      </c>
    </row>
    <row r="13" spans="1:9">
      <c r="A13" s="3199"/>
      <c r="B13" s="3200" t="s">
        <v>1096</v>
      </c>
      <c r="C13" s="3200"/>
      <c r="D13" s="1303"/>
      <c r="E13" s="1303"/>
      <c r="F13" s="1304"/>
      <c r="G13" s="1305"/>
      <c r="H13" s="1312"/>
      <c r="I13" s="1302">
        <f>ROUND(D13*E13*F13*G13/10000,0)</f>
        <v>0</v>
      </c>
    </row>
    <row r="14" spans="1:9">
      <c r="A14" s="3199"/>
      <c r="B14" s="3200" t="s">
        <v>1097</v>
      </c>
      <c r="C14" s="3200"/>
      <c r="D14" s="1303"/>
      <c r="E14" s="1303"/>
      <c r="F14" s="1304"/>
      <c r="G14" s="1305"/>
      <c r="H14" s="1312"/>
      <c r="I14" s="1302">
        <f>ROUND(D14*E14*F14*G14/10000,0)</f>
        <v>0</v>
      </c>
    </row>
    <row r="15" spans="1:9">
      <c r="A15" s="3199"/>
      <c r="B15" s="3201" t="s">
        <v>1088</v>
      </c>
      <c r="C15" s="3201"/>
      <c r="D15" s="1307"/>
      <c r="E15" s="1307">
        <f>SUM(E12:E14)</f>
        <v>0</v>
      </c>
      <c r="F15" s="1308"/>
      <c r="G15" s="1305"/>
      <c r="H15" s="1312"/>
      <c r="I15" s="1313">
        <f>SUM(I12:I14)</f>
        <v>0</v>
      </c>
    </row>
    <row r="16" spans="1:9" ht="30">
      <c r="A16" s="3199" t="s">
        <v>1098</v>
      </c>
      <c r="B16" s="3200" t="s">
        <v>1099</v>
      </c>
      <c r="C16" s="3200"/>
      <c r="D16" s="1303" t="s">
        <v>1075</v>
      </c>
      <c r="E16" s="1314" t="s">
        <v>1100</v>
      </c>
      <c r="F16" s="1304" t="s">
        <v>1101</v>
      </c>
      <c r="G16" s="1305" t="s">
        <v>1079</v>
      </c>
      <c r="H16" s="1311" t="s">
        <v>1094</v>
      </c>
      <c r="I16" s="1302" t="s">
        <v>1080</v>
      </c>
    </row>
    <row r="17" spans="1:9" ht="15">
      <c r="A17" s="3199"/>
      <c r="B17" s="3200" t="s">
        <v>1102</v>
      </c>
      <c r="C17" s="3200"/>
      <c r="D17" s="1303"/>
      <c r="E17" s="1303"/>
      <c r="F17" s="1304"/>
      <c r="G17" s="1305"/>
      <c r="H17" s="1315"/>
      <c r="I17" s="1316">
        <f>ROUND(D17*E17*F17*G17/10000,0)</f>
        <v>0</v>
      </c>
    </row>
    <row r="18" spans="1:9" ht="15">
      <c r="A18" s="3199"/>
      <c r="B18" s="3200" t="s">
        <v>1103</v>
      </c>
      <c r="C18" s="3200"/>
      <c r="D18" s="1303"/>
      <c r="E18" s="1303"/>
      <c r="F18" s="1304"/>
      <c r="G18" s="1305"/>
      <c r="H18" s="1315"/>
      <c r="I18" s="1316">
        <f>ROUND(D18*E18*F18*G18/10000,0)</f>
        <v>0</v>
      </c>
    </row>
    <row r="19" spans="1:9" ht="15">
      <c r="A19" s="3199"/>
      <c r="B19" s="3200" t="s">
        <v>1104</v>
      </c>
      <c r="C19" s="3200"/>
      <c r="D19" s="1303"/>
      <c r="E19" s="1303"/>
      <c r="F19" s="1304"/>
      <c r="G19" s="1305"/>
      <c r="H19" s="1315"/>
      <c r="I19" s="1316">
        <f>ROUND(D19*E19*F19*G19/10000,0)</f>
        <v>0</v>
      </c>
    </row>
    <row r="20" spans="1:9">
      <c r="A20" s="3199"/>
      <c r="B20" s="3201" t="s">
        <v>1088</v>
      </c>
      <c r="C20" s="3201"/>
      <c r="D20" s="1307">
        <f>SUM(D17:D19)</f>
        <v>0</v>
      </c>
      <c r="E20" s="1307"/>
      <c r="F20" s="1308"/>
      <c r="G20" s="1305"/>
      <c r="H20" s="1312"/>
      <c r="I20" s="1313">
        <f>SUM(I17:I19)</f>
        <v>0</v>
      </c>
    </row>
    <row r="21" spans="1:9">
      <c r="A21" s="3199" t="s">
        <v>1105</v>
      </c>
      <c r="B21" s="3202"/>
      <c r="C21" s="3202"/>
      <c r="D21" s="3202"/>
      <c r="E21" s="3202"/>
      <c r="F21" s="3202"/>
      <c r="G21" s="3202"/>
      <c r="H21" s="1765">
        <v>0.1</v>
      </c>
      <c r="I21" s="1310">
        <f>ROUND(I10*H21,0)</f>
        <v>0</v>
      </c>
    </row>
    <row r="22" spans="1:9" ht="15">
      <c r="A22" s="3203" t="s">
        <v>1106</v>
      </c>
      <c r="B22" s="3204"/>
      <c r="C22" s="3205"/>
      <c r="D22" s="1317" t="s">
        <v>1107</v>
      </c>
      <c r="E22" s="1317" t="s">
        <v>1108</v>
      </c>
      <c r="F22" s="1318" t="s">
        <v>1109</v>
      </c>
      <c r="G22" s="1318" t="s">
        <v>1110</v>
      </c>
      <c r="H22" s="1311" t="s">
        <v>1111</v>
      </c>
      <c r="I22" s="1302" t="s">
        <v>1112</v>
      </c>
    </row>
    <row r="23" spans="1:9" ht="15" thickBot="1">
      <c r="A23" s="3206"/>
      <c r="B23" s="3207"/>
      <c r="C23" s="3208"/>
      <c r="D23" s="1319"/>
      <c r="E23" s="1319"/>
      <c r="F23" s="1319"/>
      <c r="G23" s="1320"/>
      <c r="H23" s="1321"/>
      <c r="I23" s="1322">
        <f>ROUND(E23*D23*F23*(1-G23)/10000,0)</f>
        <v>0</v>
      </c>
    </row>
    <row r="26" spans="1:9">
      <c r="A26" s="1323" t="s">
        <v>1113</v>
      </c>
      <c r="B26" s="1323"/>
      <c r="C26" s="1323"/>
      <c r="D26" s="1323"/>
      <c r="E26" s="3196">
        <f>C27-C30-C31-C32</f>
        <v>0</v>
      </c>
      <c r="F26" s="3196"/>
      <c r="G26" s="3196"/>
      <c r="H26" s="1737" t="s">
        <v>1335</v>
      </c>
    </row>
    <row r="27" spans="1:9">
      <c r="A27" s="1324">
        <v>1</v>
      </c>
      <c r="B27" s="1325" t="s">
        <v>1114</v>
      </c>
      <c r="C27" s="1325">
        <f>C28+C29</f>
        <v>0</v>
      </c>
      <c r="D27" s="1325"/>
      <c r="E27" s="3197"/>
      <c r="F27" s="3197"/>
      <c r="G27" s="3197"/>
    </row>
    <row r="28" spans="1:9">
      <c r="A28" s="1326" t="s">
        <v>1115</v>
      </c>
      <c r="B28" s="1325" t="s">
        <v>1116</v>
      </c>
      <c r="C28" s="1325"/>
      <c r="D28" s="1325"/>
      <c r="E28" s="3197"/>
      <c r="F28" s="3197"/>
      <c r="G28" s="3197"/>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98"/>
      <c r="F32" s="3198"/>
      <c r="G32" s="3198"/>
    </row>
    <row r="33" spans="1:7" hidden="1">
      <c r="A33" s="3193" t="s">
        <v>1125</v>
      </c>
      <c r="B33" s="3194"/>
      <c r="C33" s="3194"/>
      <c r="D33" s="3195"/>
      <c r="E33" s="3196"/>
      <c r="F33" s="3196"/>
      <c r="G33" s="3196"/>
    </row>
    <row r="34" spans="1:7" hidden="1">
      <c r="A34" s="1328">
        <v>1</v>
      </c>
      <c r="B34" s="1325" t="s">
        <v>1126</v>
      </c>
      <c r="C34" s="1325"/>
      <c r="D34" s="1325"/>
      <c r="E34" s="3197"/>
      <c r="F34" s="3197"/>
      <c r="G34" s="3197"/>
    </row>
    <row r="35" spans="1:7" hidden="1">
      <c r="A35" s="1328">
        <v>2</v>
      </c>
      <c r="B35" s="1325" t="s">
        <v>1127</v>
      </c>
      <c r="C35" s="1325"/>
      <c r="D35" s="1325"/>
      <c r="E35" s="3197"/>
      <c r="F35" s="3197"/>
      <c r="G35" s="3197"/>
    </row>
    <row r="36" spans="1:7" hidden="1">
      <c r="A36" s="1328">
        <v>3</v>
      </c>
      <c r="B36" s="1325" t="s">
        <v>1128</v>
      </c>
      <c r="C36" s="1325"/>
      <c r="D36" s="1325"/>
      <c r="E36" s="3197"/>
      <c r="F36" s="3197"/>
      <c r="G36" s="3197"/>
    </row>
    <row r="37" spans="1:7" hidden="1">
      <c r="A37" s="1328">
        <v>4</v>
      </c>
      <c r="B37" s="1325" t="s">
        <v>1129</v>
      </c>
      <c r="C37" s="1325"/>
      <c r="D37" s="1325"/>
      <c r="E37" s="3197"/>
      <c r="F37" s="3197"/>
      <c r="G37" s="3197"/>
    </row>
    <row r="38" spans="1:7" hidden="1">
      <c r="A38" s="3193" t="s">
        <v>1130</v>
      </c>
      <c r="B38" s="3194"/>
      <c r="C38" s="3194"/>
      <c r="D38" s="3195"/>
      <c r="E38" s="3196"/>
      <c r="F38" s="3196"/>
      <c r="G38" s="31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12"/>
  <sheetViews>
    <sheetView workbookViewId="0">
      <selection activeCell="B13" sqref="B13"/>
    </sheetView>
  </sheetViews>
  <sheetFormatPr baseColWidth="10" defaultColWidth="9" defaultRowHeight="14"/>
  <cols>
    <col min="1" max="1" width="11.33203125" style="2991" bestFit="1" customWidth="1"/>
    <col min="2" max="5" width="9" style="2990"/>
    <col min="6" max="6" width="12.6640625" style="2990" hidden="1" customWidth="1"/>
    <col min="7" max="16384" width="9" style="2990"/>
  </cols>
  <sheetData>
    <row r="1" spans="1:7">
      <c r="A1" s="2991">
        <v>43466</v>
      </c>
      <c r="B1" s="2990">
        <v>100.6</v>
      </c>
      <c r="E1" s="2990">
        <f>B1/100*B2/100*B3/100*B4/100*B5/100*1*B7/100*B8/100*1*B10/100*B11/100*B12/100</f>
        <v>1.0541749864639656</v>
      </c>
      <c r="F1" s="2990">
        <f>E1-1</f>
        <v>5.4174986463965569E-2</v>
      </c>
      <c r="G1" s="2990">
        <f>POWER(E1,1/12)</f>
        <v>1.0044062170909134</v>
      </c>
    </row>
    <row r="2" spans="1:7">
      <c r="A2" s="2991">
        <v>43497</v>
      </c>
      <c r="B2" s="2990">
        <v>100.2</v>
      </c>
    </row>
    <row r="3" spans="1:7">
      <c r="A3" s="2991">
        <v>43525</v>
      </c>
      <c r="B3" s="2990">
        <v>100.4</v>
      </c>
      <c r="G3" s="2992">
        <f>G1-1</f>
        <v>4.406217090913378E-3</v>
      </c>
    </row>
    <row r="4" spans="1:7">
      <c r="A4" s="2991">
        <v>43556</v>
      </c>
      <c r="B4" s="2990">
        <v>100.5</v>
      </c>
    </row>
    <row r="5" spans="1:7">
      <c r="A5" s="2991">
        <v>43586</v>
      </c>
      <c r="B5" s="2990">
        <v>100.6</v>
      </c>
    </row>
    <row r="6" spans="1:7">
      <c r="A6" s="2991">
        <v>43617</v>
      </c>
      <c r="B6" s="2990">
        <v>100</v>
      </c>
    </row>
    <row r="7" spans="1:7">
      <c r="A7" s="2991">
        <v>43647</v>
      </c>
      <c r="B7" s="2990">
        <v>100.6</v>
      </c>
    </row>
    <row r="8" spans="1:7">
      <c r="A8" s="2991">
        <v>43678</v>
      </c>
      <c r="B8" s="2990">
        <v>100.5</v>
      </c>
    </row>
    <row r="9" spans="1:7">
      <c r="A9" s="2991">
        <v>43709</v>
      </c>
      <c r="B9" s="2990">
        <v>100</v>
      </c>
    </row>
    <row r="10" spans="1:7">
      <c r="A10" s="2991">
        <v>43739</v>
      </c>
      <c r="B10" s="2990">
        <v>99.8</v>
      </c>
    </row>
    <row r="11" spans="1:7">
      <c r="A11" s="2991">
        <v>43770</v>
      </c>
      <c r="B11" s="2990">
        <v>101.7</v>
      </c>
    </row>
    <row r="12" spans="1:7">
      <c r="A12" s="2991">
        <v>43800</v>
      </c>
      <c r="B12" s="2990">
        <v>100.4</v>
      </c>
    </row>
  </sheetData>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tabSelected="1" topLeftCell="A16" zoomScale="80" zoomScaleNormal="80" workbookViewId="0">
      <selection activeCell="G22" sqref="G22"/>
    </sheetView>
  </sheetViews>
  <sheetFormatPr baseColWidth="10" defaultColWidth="9" defaultRowHeight="14"/>
  <cols>
    <col min="1" max="1" width="10.5" style="403" customWidth="1"/>
    <col min="2" max="2" width="15.6640625" style="403" customWidth="1"/>
    <col min="3" max="3" width="15.1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2622" customWidth="1"/>
    <col min="17" max="17" width="19.5" style="403" customWidth="1"/>
    <col min="18" max="22" width="6.1640625" style="403" customWidth="1"/>
    <col min="23" max="23" width="8"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9" customFormat="1" ht="28.5" customHeight="1" thickBot="1">
      <c r="A1" s="1618" t="s">
        <v>2527</v>
      </c>
      <c r="B1" s="2580" t="s">
        <v>2528</v>
      </c>
      <c r="C1" s="1634" t="s">
        <v>2529</v>
      </c>
      <c r="D1" s="1621"/>
      <c r="E1" s="2581"/>
      <c r="F1" s="2582" t="s">
        <v>2530</v>
      </c>
      <c r="G1" s="1631" t="s">
        <v>2531</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1388</v>
      </c>
      <c r="B2" s="1418">
        <f>IF(C2="——",ROUND(C49*D3/10000,0),ROUND(C49*D3/10000,0)-D2)</f>
        <v>453051</v>
      </c>
      <c r="C2" s="2584" t="s">
        <v>70</v>
      </c>
      <c r="D2" s="1365" t="e">
        <f ca="1">SUMIF(INDIRECT("'"&amp;F2&amp;"'"&amp;"!A:A"),"承租人权益价值",INDIRECT("'"&amp;F2&amp;"'"&amp;"!c:c"))</f>
        <v>#REF!</v>
      </c>
      <c r="E2" s="2585" t="s">
        <v>2532</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f>IF(C2="——",C49,ROUND(B2*10000/D3,0))</f>
        <v>52092</v>
      </c>
      <c r="C3" s="400" t="s">
        <v>2533</v>
      </c>
      <c r="D3" s="399">
        <f>IF(D1="",'数据-汇总表'!E3,SUMIF('数据-汇总表'!$C19:$C33,D1,'数据-汇总表'!$E19:$E33))</f>
        <v>86971.4</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2534</v>
      </c>
      <c r="B4" s="402"/>
      <c r="C4" s="3232" t="s">
        <v>2535</v>
      </c>
      <c r="D4" s="3233"/>
      <c r="E4" s="3234" t="s">
        <v>2536</v>
      </c>
      <c r="F4" s="3235"/>
      <c r="G4" s="3232" t="s">
        <v>2537</v>
      </c>
      <c r="H4" s="3233"/>
      <c r="I4" s="3232" t="s">
        <v>2538</v>
      </c>
      <c r="J4" s="3233"/>
      <c r="K4" s="2594" t="s">
        <v>2539</v>
      </c>
      <c r="L4" s="1130"/>
      <c r="M4" s="1131"/>
      <c r="N4" s="1131"/>
      <c r="O4" s="1131"/>
      <c r="P4" s="3236" t="s">
        <v>2540</v>
      </c>
      <c r="Q4" s="3237"/>
      <c r="R4" s="3242" t="s">
        <v>2536</v>
      </c>
      <c r="S4" s="3243"/>
      <c r="T4" s="3242" t="s">
        <v>2537</v>
      </c>
      <c r="U4" s="3243"/>
      <c r="V4" s="3248" t="s">
        <v>2538</v>
      </c>
      <c r="W4" s="3248"/>
      <c r="X4" s="1813"/>
      <c r="Y4" s="3242" t="s">
        <v>2540</v>
      </c>
      <c r="Z4" s="3243"/>
      <c r="AA4" s="3229" t="s">
        <v>2536</v>
      </c>
      <c r="AB4" s="3229" t="s">
        <v>2537</v>
      </c>
      <c r="AC4" s="3229" t="s">
        <v>2538</v>
      </c>
    </row>
    <row r="5" spans="1:29">
      <c r="A5" s="404"/>
      <c r="B5" s="405"/>
      <c r="C5" s="3256" t="s">
        <v>3118</v>
      </c>
      <c r="D5" s="3257"/>
      <c r="E5" s="3261" t="s">
        <v>3154</v>
      </c>
      <c r="F5" s="3262"/>
      <c r="G5" s="3251" t="s">
        <v>3152</v>
      </c>
      <c r="H5" s="3252"/>
      <c r="I5" s="3256" t="s">
        <v>3119</v>
      </c>
      <c r="J5" s="3257"/>
      <c r="K5" s="2595"/>
      <c r="L5" s="1130"/>
      <c r="M5" s="1131"/>
      <c r="N5" s="1131"/>
      <c r="O5" s="1131"/>
      <c r="P5" s="3238"/>
      <c r="Q5" s="3239"/>
      <c r="R5" s="3244"/>
      <c r="S5" s="3245"/>
      <c r="T5" s="3244"/>
      <c r="U5" s="3245"/>
      <c r="V5" s="3248"/>
      <c r="W5" s="3248"/>
      <c r="X5" s="1813"/>
      <c r="Y5" s="3244"/>
      <c r="Z5" s="3245"/>
      <c r="AA5" s="3230"/>
      <c r="AB5" s="3230"/>
      <c r="AC5" s="3230"/>
    </row>
    <row r="6" spans="1:29" ht="16" thickBot="1">
      <c r="A6" s="406"/>
      <c r="B6" s="407"/>
      <c r="C6" s="3258" t="str">
        <f>项目基本情况!F10</f>
        <v>北京经济技术开发区河西区X90R1、X90S1地块</v>
      </c>
      <c r="D6" s="3250"/>
      <c r="E6" s="3259" t="s">
        <v>2545</v>
      </c>
      <c r="F6" s="3260"/>
      <c r="G6" s="3249" t="s">
        <v>2545</v>
      </c>
      <c r="H6" s="3250"/>
      <c r="I6" s="3249" t="s">
        <v>2545</v>
      </c>
      <c r="J6" s="3250"/>
      <c r="K6" s="2595" t="s">
        <v>2546</v>
      </c>
      <c r="L6" s="1130"/>
      <c r="M6" s="1131"/>
      <c r="N6" s="1131"/>
      <c r="O6" s="1131"/>
      <c r="P6" s="3240"/>
      <c r="Q6" s="3241"/>
      <c r="R6" s="3244"/>
      <c r="S6" s="3245"/>
      <c r="T6" s="3246"/>
      <c r="U6" s="3247"/>
      <c r="V6" s="3248"/>
      <c r="W6" s="3248"/>
      <c r="X6" s="1813"/>
      <c r="Y6" s="3246"/>
      <c r="Z6" s="3247"/>
      <c r="AA6" s="3231"/>
      <c r="AB6" s="3231"/>
      <c r="AC6" s="3231"/>
    </row>
    <row r="7" spans="1:29" s="117" customFormat="1" ht="16" thickBot="1">
      <c r="A7" s="408" t="s">
        <v>2547</v>
      </c>
      <c r="B7" s="409"/>
      <c r="C7" s="410">
        <f>'数据-取费表'!B2</f>
        <v>43847</v>
      </c>
      <c r="D7" s="411">
        <v>100</v>
      </c>
      <c r="E7" s="412">
        <f>C7</f>
        <v>43847</v>
      </c>
      <c r="F7" s="413">
        <f>SUMIF(58:58,YEAR(E7)&amp;"-"&amp;MONTH(E7),59:59)</f>
        <v>100</v>
      </c>
      <c r="G7" s="412">
        <f>C7</f>
        <v>43847</v>
      </c>
      <c r="H7" s="411">
        <f>SUMIF(58:58,YEAR(G7)&amp;"-"&amp;MONTH(G7),59:59)</f>
        <v>100</v>
      </c>
      <c r="I7" s="412">
        <f>C7</f>
        <v>43847</v>
      </c>
      <c r="J7" s="411">
        <f>SUMIF(58:58,YEAR(I7)&amp;"-"&amp;MONTH(I7),59:59)</f>
        <v>100</v>
      </c>
      <c r="K7" s="2596"/>
      <c r="L7" s="1132"/>
      <c r="M7" s="1133"/>
      <c r="N7" s="1133"/>
      <c r="O7" s="1133"/>
      <c r="P7" s="3253" t="s">
        <v>2548</v>
      </c>
      <c r="Q7" s="3255"/>
      <c r="R7" s="770" t="s">
        <v>23</v>
      </c>
      <c r="S7" s="771">
        <f t="shared" ref="S7:S15" si="0">F7</f>
        <v>100</v>
      </c>
      <c r="T7" s="770" t="s">
        <v>23</v>
      </c>
      <c r="U7" s="771">
        <f t="shared" ref="U7:U15" si="1">H7</f>
        <v>100</v>
      </c>
      <c r="V7" s="770" t="s">
        <v>23</v>
      </c>
      <c r="W7" s="771">
        <f t="shared" ref="W7:W15" si="2">J7</f>
        <v>100</v>
      </c>
      <c r="X7" s="772"/>
      <c r="Y7" s="3253" t="s">
        <v>2548</v>
      </c>
      <c r="Z7" s="3254"/>
      <c r="AA7" s="773">
        <f>D7/F7</f>
        <v>1</v>
      </c>
      <c r="AB7" s="773">
        <f>D7/H7</f>
        <v>1</v>
      </c>
      <c r="AC7" s="773">
        <f>D7/J7</f>
        <v>1</v>
      </c>
    </row>
    <row r="8" spans="1:29" s="117" customFormat="1" ht="16" thickBot="1">
      <c r="A8" s="408" t="s">
        <v>2549</v>
      </c>
      <c r="B8" s="409"/>
      <c r="C8" s="414" t="s">
        <v>2550</v>
      </c>
      <c r="D8" s="411">
        <v>100</v>
      </c>
      <c r="E8" s="2597" t="s">
        <v>3101</v>
      </c>
      <c r="F8" s="413">
        <f>SUMIF(61:61,E8,62:62)-SUMIF(61:61,C8,62:62)+100</f>
        <v>100</v>
      </c>
      <c r="G8" s="414" t="s">
        <v>3101</v>
      </c>
      <c r="H8" s="411">
        <f>SUMIF(61:61,G8,62:62)-SUMIF(61:61,C8,62:62)+100</f>
        <v>100</v>
      </c>
      <c r="I8" s="2597" t="s">
        <v>3101</v>
      </c>
      <c r="J8" s="411">
        <f>SUMIF(61:61,I8,62:62)-SUMIF(61:61,C8,62:62)+100</f>
        <v>100</v>
      </c>
      <c r="K8" s="2596"/>
      <c r="L8" s="1132"/>
      <c r="M8" s="1133"/>
      <c r="N8" s="1133"/>
      <c r="O8" s="1133"/>
      <c r="P8" s="3253" t="s">
        <v>2551</v>
      </c>
      <c r="Q8" s="3254"/>
      <c r="R8" s="770" t="s">
        <v>23</v>
      </c>
      <c r="S8" s="771">
        <f t="shared" si="0"/>
        <v>100</v>
      </c>
      <c r="T8" s="770" t="s">
        <v>23</v>
      </c>
      <c r="U8" s="771">
        <f t="shared" si="1"/>
        <v>100</v>
      </c>
      <c r="V8" s="770" t="s">
        <v>23</v>
      </c>
      <c r="W8" s="771">
        <f t="shared" si="2"/>
        <v>100</v>
      </c>
      <c r="X8" s="772"/>
      <c r="Y8" s="3253" t="s">
        <v>2551</v>
      </c>
      <c r="Z8" s="3254"/>
      <c r="AA8" s="773">
        <f t="shared" ref="AA8:AA19" si="3">D8/F8</f>
        <v>1</v>
      </c>
      <c r="AB8" s="773">
        <f t="shared" ref="AB8:AB19" si="4">D8/H8</f>
        <v>1</v>
      </c>
      <c r="AC8" s="773">
        <f t="shared" ref="AC8:AC19" si="5">D8/J8</f>
        <v>1</v>
      </c>
    </row>
    <row r="9" spans="1:29" s="117" customFormat="1" ht="15">
      <c r="A9" s="415" t="s">
        <v>2552</v>
      </c>
      <c r="B9" s="71" t="s">
        <v>2553</v>
      </c>
      <c r="C9" s="2953" t="s">
        <v>3065</v>
      </c>
      <c r="D9" s="135">
        <v>100</v>
      </c>
      <c r="E9" s="417" t="s">
        <v>3064</v>
      </c>
      <c r="F9" s="418">
        <f>SUMIF(63:63,E9,64:64)-SUMIF(63:63,C9,64:64)+100</f>
        <v>100</v>
      </c>
      <c r="G9" s="419" t="s">
        <v>3064</v>
      </c>
      <c r="H9" s="135">
        <f>SUMIF(63:63,G9,64:64)-SUMIF(63:63,C9,64:64)+100</f>
        <v>100</v>
      </c>
      <c r="I9" s="419" t="s">
        <v>3064</v>
      </c>
      <c r="J9" s="135">
        <f>SUMIF(63:63,I9,64:64)-SUMIF(63:63,C9,64:64)+100</f>
        <v>100</v>
      </c>
      <c r="K9" s="2596"/>
      <c r="L9" s="1132"/>
      <c r="M9" s="1133"/>
      <c r="N9" s="1133"/>
      <c r="O9" s="1133"/>
      <c r="P9" s="3228" t="s">
        <v>2554</v>
      </c>
      <c r="Q9" s="1795" t="str">
        <f t="shared" ref="Q9:Q15" si="6">B9</f>
        <v>用途</v>
      </c>
      <c r="R9" s="770" t="s">
        <v>17</v>
      </c>
      <c r="S9" s="771">
        <f t="shared" si="0"/>
        <v>100</v>
      </c>
      <c r="T9" s="770" t="s">
        <v>17</v>
      </c>
      <c r="U9" s="771">
        <f t="shared" si="1"/>
        <v>100</v>
      </c>
      <c r="V9" s="770" t="s">
        <v>17</v>
      </c>
      <c r="W9" s="771">
        <f t="shared" si="2"/>
        <v>100</v>
      </c>
      <c r="X9" s="772"/>
      <c r="Y9" s="3037" t="s">
        <v>2555</v>
      </c>
      <c r="Z9" s="55" t="str">
        <f t="shared" ref="Z9:Z15" si="7">Q9</f>
        <v>用途</v>
      </c>
      <c r="AA9" s="773">
        <f t="shared" si="3"/>
        <v>1</v>
      </c>
      <c r="AB9" s="773">
        <f t="shared" si="4"/>
        <v>1</v>
      </c>
      <c r="AC9" s="773">
        <f t="shared" si="5"/>
        <v>1</v>
      </c>
    </row>
    <row r="10" spans="1:29" s="427" customFormat="1" ht="30">
      <c r="A10" s="421"/>
      <c r="B10" s="422" t="s">
        <v>2556</v>
      </c>
      <c r="C10" s="423" t="s">
        <v>3066</v>
      </c>
      <c r="D10" s="136">
        <v>100</v>
      </c>
      <c r="E10" s="424" t="s">
        <v>3066</v>
      </c>
      <c r="F10" s="425">
        <f>SUMIF(65:65,E10,66:66)-SUMIF(65:65,C10,66:66)+100</f>
        <v>100</v>
      </c>
      <c r="G10" s="423" t="s">
        <v>3066</v>
      </c>
      <c r="H10" s="136">
        <f>SUMIF(65:65,G10,66:66)-SUMIF(65:65,C10,66:66)+100</f>
        <v>100</v>
      </c>
      <c r="I10" s="423" t="s">
        <v>3066</v>
      </c>
      <c r="J10" s="136">
        <f>SUMIF(65:65,I10,66:66)-SUMIF(65:65,C10,66:66)+100</f>
        <v>100</v>
      </c>
      <c r="K10" s="426"/>
      <c r="L10" s="1135"/>
      <c r="M10" s="1136"/>
      <c r="N10" s="1136"/>
      <c r="O10" s="1136"/>
      <c r="P10" s="3228"/>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7" thickBot="1">
      <c r="A11" s="428"/>
      <c r="B11" s="422" t="s">
        <v>2557</v>
      </c>
      <c r="C11" s="2954">
        <v>2</v>
      </c>
      <c r="D11" s="136">
        <v>100</v>
      </c>
      <c r="E11" s="430">
        <v>2.5</v>
      </c>
      <c r="F11" s="425">
        <f>LOOKUP(E11,68:68,69:69)-LOOKUP(C11,68:68,69:69)+100</f>
        <v>94</v>
      </c>
      <c r="G11" s="429">
        <v>2</v>
      </c>
      <c r="H11" s="136">
        <f>LOOKUP(G11,68:68,69:69)-LOOKUP(C11,68:68,69:69)+100</f>
        <v>100</v>
      </c>
      <c r="I11" s="429">
        <v>1.8</v>
      </c>
      <c r="J11" s="136">
        <f>LOOKUP(I11,68:68,69:69)-LOOKUP(C11,68:68,69:69)+100</f>
        <v>100</v>
      </c>
      <c r="K11" s="426">
        <v>6</v>
      </c>
      <c r="L11" s="1138"/>
      <c r="M11" s="1131"/>
      <c r="N11" s="1131"/>
      <c r="O11" s="1131"/>
      <c r="P11" s="3228"/>
      <c r="Q11" s="1795" t="str">
        <f t="shared" si="6"/>
        <v>容积率</v>
      </c>
      <c r="R11" s="770" t="s">
        <v>21</v>
      </c>
      <c r="S11" s="771">
        <f t="shared" si="0"/>
        <v>94</v>
      </c>
      <c r="T11" s="770" t="s">
        <v>21</v>
      </c>
      <c r="U11" s="771">
        <f t="shared" si="1"/>
        <v>100</v>
      </c>
      <c r="V11" s="770" t="s">
        <v>21</v>
      </c>
      <c r="W11" s="771">
        <f t="shared" si="2"/>
        <v>100</v>
      </c>
      <c r="X11" s="772"/>
      <c r="Y11" s="3037"/>
      <c r="Z11" s="55" t="str">
        <f t="shared" si="7"/>
        <v>容积率</v>
      </c>
      <c r="AA11" s="773">
        <f t="shared" si="3"/>
        <v>1.0638297872340425</v>
      </c>
      <c r="AB11" s="773">
        <f t="shared" si="4"/>
        <v>1</v>
      </c>
      <c r="AC11" s="773">
        <f t="shared" si="5"/>
        <v>1</v>
      </c>
    </row>
    <row r="12" spans="1:29" s="117" customFormat="1" ht="16" hidden="1">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28"/>
      <c r="Q12" s="1795">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6" hidden="1">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28"/>
      <c r="Q13" s="1795">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7" hidden="1"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28"/>
      <c r="Q14" s="1795">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210">
      <c r="A15" s="440" t="s">
        <v>2558</v>
      </c>
      <c r="B15" s="69" t="s">
        <v>2084</v>
      </c>
      <c r="C15" s="2601" t="str">
        <f>估价对象房地状况!C3</f>
        <v>估价对象周边居住用地比例较高、居住小区规模较大但大部分社区正在发展完善中，周边已建成项目有南海家园社区、金茂悦、海梓府等，在建项目有金隅学府、和悦华锦、中铁国际公馆等，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6" t="s">
        <v>2559</v>
      </c>
      <c r="Q15" s="1810" t="str">
        <f t="shared" si="6"/>
        <v>居住社区成熟度</v>
      </c>
      <c r="R15" s="774" t="s">
        <v>21</v>
      </c>
      <c r="S15" s="775">
        <f t="shared" si="0"/>
        <v>100</v>
      </c>
      <c r="T15" s="774" t="s">
        <v>21</v>
      </c>
      <c r="U15" s="775">
        <f t="shared" si="1"/>
        <v>100</v>
      </c>
      <c r="V15" s="774" t="s">
        <v>21</v>
      </c>
      <c r="W15" s="775">
        <f t="shared" si="2"/>
        <v>100</v>
      </c>
      <c r="X15" s="1813"/>
      <c r="Y15" s="3219" t="s">
        <v>2559</v>
      </c>
      <c r="Z15" s="1814" t="str">
        <f t="shared" si="7"/>
        <v>居住社区成熟度</v>
      </c>
      <c r="AA15" s="1811">
        <f t="shared" si="3"/>
        <v>1</v>
      </c>
      <c r="AB15" s="1811">
        <f t="shared" si="4"/>
        <v>1</v>
      </c>
      <c r="AC15" s="1811">
        <f t="shared" si="5"/>
        <v>1</v>
      </c>
    </row>
    <row r="16" spans="1:29" ht="16">
      <c r="A16" s="428"/>
      <c r="B16" s="446"/>
      <c r="C16" s="447" t="s">
        <v>3067</v>
      </c>
      <c r="D16" s="448"/>
      <c r="E16" s="2602" t="s">
        <v>3067</v>
      </c>
      <c r="F16" s="448"/>
      <c r="G16" s="2603" t="s">
        <v>3067</v>
      </c>
      <c r="H16" s="450"/>
      <c r="I16" s="2603" t="s">
        <v>3067</v>
      </c>
      <c r="J16" s="448"/>
      <c r="K16" s="2604"/>
      <c r="L16" s="1140"/>
      <c r="M16" s="1131"/>
      <c r="N16" s="1131"/>
      <c r="O16" s="1131"/>
      <c r="P16" s="3227"/>
      <c r="Q16" s="1810"/>
      <c r="R16" s="774"/>
      <c r="S16" s="775"/>
      <c r="T16" s="774"/>
      <c r="U16" s="775"/>
      <c r="V16" s="774"/>
      <c r="W16" s="775"/>
      <c r="X16" s="1813"/>
      <c r="Y16" s="3220"/>
      <c r="Z16" s="1814"/>
      <c r="AA16" s="1811">
        <v>1</v>
      </c>
      <c r="AB16" s="1811">
        <v>1</v>
      </c>
      <c r="AC16" s="1811">
        <v>1</v>
      </c>
    </row>
    <row r="17" spans="1:29" ht="120">
      <c r="A17" s="428"/>
      <c r="B17" s="451" t="s">
        <v>2095</v>
      </c>
      <c r="C17" s="2605" t="str">
        <f>估价对象房地状况!C6</f>
        <v>估价对象周边有开发区3路、快速直达专线181路、578路多条公交线路，距地铁8号线（瀛海站）约4公里，综合评价交通便捷度一般。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7"/>
      <c r="Q17" s="1810" t="str">
        <f>B17</f>
        <v>交通便捷度</v>
      </c>
      <c r="R17" s="774" t="s">
        <v>21</v>
      </c>
      <c r="S17" s="775">
        <f>F17</f>
        <v>100</v>
      </c>
      <c r="T17" s="774" t="s">
        <v>21</v>
      </c>
      <c r="U17" s="775">
        <f>H17</f>
        <v>100</v>
      </c>
      <c r="V17" s="774" t="s">
        <v>21</v>
      </c>
      <c r="W17" s="775">
        <f>J17</f>
        <v>100</v>
      </c>
      <c r="X17" s="1813"/>
      <c r="Y17" s="3220"/>
      <c r="Z17" s="1814" t="str">
        <f>Q17</f>
        <v>交通便捷度</v>
      </c>
      <c r="AA17" s="1811">
        <f t="shared" si="3"/>
        <v>1</v>
      </c>
      <c r="AB17" s="1811">
        <f t="shared" si="4"/>
        <v>1</v>
      </c>
      <c r="AC17" s="1811">
        <f t="shared" si="5"/>
        <v>1</v>
      </c>
    </row>
    <row r="18" spans="1:29" ht="16">
      <c r="A18" s="428"/>
      <c r="B18" s="456"/>
      <c r="C18" s="2606" t="s">
        <v>3067</v>
      </c>
      <c r="D18" s="450"/>
      <c r="E18" s="2607" t="s">
        <v>3067</v>
      </c>
      <c r="F18" s="450"/>
      <c r="G18" s="2608" t="s">
        <v>3067</v>
      </c>
      <c r="H18" s="448"/>
      <c r="I18" s="2608" t="s">
        <v>3067</v>
      </c>
      <c r="J18" s="448"/>
      <c r="K18" s="2604"/>
      <c r="L18" s="1140"/>
      <c r="M18" s="1131"/>
      <c r="N18" s="1131"/>
      <c r="O18" s="1131"/>
      <c r="P18" s="3227"/>
      <c r="Q18" s="1810"/>
      <c r="R18" s="774"/>
      <c r="S18" s="775"/>
      <c r="T18" s="774"/>
      <c r="U18" s="775"/>
      <c r="V18" s="774"/>
      <c r="W18" s="775"/>
      <c r="X18" s="1813"/>
      <c r="Y18" s="3220"/>
      <c r="Z18" s="1814"/>
      <c r="AA18" s="1811">
        <v>1</v>
      </c>
      <c r="AB18" s="1811">
        <v>1</v>
      </c>
      <c r="AC18" s="1811">
        <v>1</v>
      </c>
    </row>
    <row r="19" spans="1:29" ht="45">
      <c r="A19" s="428"/>
      <c r="B19" s="451" t="s">
        <v>2093</v>
      </c>
      <c r="C19" s="2605"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7"/>
      <c r="Q19" s="1810" t="str">
        <f>B19</f>
        <v>公共配套设施</v>
      </c>
      <c r="R19" s="774" t="s">
        <v>21</v>
      </c>
      <c r="S19" s="775">
        <f>F19</f>
        <v>100</v>
      </c>
      <c r="T19" s="774" t="s">
        <v>21</v>
      </c>
      <c r="U19" s="775">
        <f>H19</f>
        <v>100</v>
      </c>
      <c r="V19" s="774" t="s">
        <v>21</v>
      </c>
      <c r="W19" s="775">
        <f>J19</f>
        <v>100</v>
      </c>
      <c r="X19" s="1813"/>
      <c r="Y19" s="3220"/>
      <c r="Z19" s="1814" t="str">
        <f>Q19</f>
        <v>公共配套设施</v>
      </c>
      <c r="AA19" s="1811">
        <f t="shared" si="3"/>
        <v>1</v>
      </c>
      <c r="AB19" s="1811">
        <f t="shared" si="4"/>
        <v>1</v>
      </c>
      <c r="AC19" s="1811">
        <f t="shared" si="5"/>
        <v>1</v>
      </c>
    </row>
    <row r="20" spans="1:29" ht="16">
      <c r="A20" s="428"/>
      <c r="B20" s="456"/>
      <c r="C20" s="447" t="s">
        <v>3067</v>
      </c>
      <c r="D20" s="448"/>
      <c r="E20" s="2602" t="s">
        <v>3067</v>
      </c>
      <c r="F20" s="448"/>
      <c r="G20" s="2603" t="s">
        <v>3067</v>
      </c>
      <c r="H20" s="448"/>
      <c r="I20" s="2603" t="s">
        <v>3067</v>
      </c>
      <c r="J20" s="448"/>
      <c r="K20" s="2604"/>
      <c r="L20" s="1140"/>
      <c r="M20" s="1131"/>
      <c r="N20" s="1131"/>
      <c r="O20" s="1131"/>
      <c r="P20" s="3227"/>
      <c r="Q20" s="1810"/>
      <c r="R20" s="774"/>
      <c r="S20" s="775"/>
      <c r="T20" s="774"/>
      <c r="U20" s="775"/>
      <c r="V20" s="774"/>
      <c r="W20" s="775"/>
      <c r="X20" s="1813"/>
      <c r="Y20" s="3220"/>
      <c r="Z20" s="1814"/>
      <c r="AA20" s="1811">
        <v>1</v>
      </c>
      <c r="AB20" s="1811">
        <v>1</v>
      </c>
      <c r="AC20" s="1811">
        <v>1</v>
      </c>
    </row>
    <row r="21" spans="1:29" ht="16">
      <c r="A21" s="428"/>
      <c r="B21" s="1384" t="s">
        <v>2096</v>
      </c>
      <c r="C21" s="2605"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7"/>
      <c r="Q21" s="1810" t="str">
        <f>B21</f>
        <v>基础设施水平</v>
      </c>
      <c r="R21" s="774" t="s">
        <v>17</v>
      </c>
      <c r="S21" s="775">
        <f>F21</f>
        <v>100</v>
      </c>
      <c r="T21" s="774" t="s">
        <v>17</v>
      </c>
      <c r="U21" s="775">
        <f>H21</f>
        <v>100</v>
      </c>
      <c r="V21" s="774" t="s">
        <v>17</v>
      </c>
      <c r="W21" s="775">
        <f>J21</f>
        <v>100</v>
      </c>
      <c r="X21" s="1813"/>
      <c r="Y21" s="3220"/>
      <c r="Z21" s="1814" t="str">
        <f>Q21</f>
        <v>基础设施水平</v>
      </c>
      <c r="AA21" s="1811">
        <f>D21/F21</f>
        <v>1</v>
      </c>
      <c r="AB21" s="1811">
        <f>D21/H21</f>
        <v>1</v>
      </c>
      <c r="AC21" s="1811">
        <f>D21/J21</f>
        <v>1</v>
      </c>
    </row>
    <row r="22" spans="1:29" ht="16">
      <c r="A22" s="428"/>
      <c r="B22" s="1384"/>
      <c r="C22" s="2606" t="s">
        <v>3068</v>
      </c>
      <c r="D22" s="448"/>
      <c r="E22" s="447" t="s">
        <v>3068</v>
      </c>
      <c r="F22" s="448"/>
      <c r="G22" s="2609" t="s">
        <v>3068</v>
      </c>
      <c r="H22" s="448"/>
      <c r="I22" s="447" t="s">
        <v>3068</v>
      </c>
      <c r="J22" s="448"/>
      <c r="K22" s="2610"/>
      <c r="L22" s="1140"/>
      <c r="M22" s="1131"/>
      <c r="N22" s="1131"/>
      <c r="O22" s="1131"/>
      <c r="P22" s="3227"/>
      <c r="Q22" s="1810"/>
      <c r="R22" s="774"/>
      <c r="S22" s="775"/>
      <c r="T22" s="774"/>
      <c r="U22" s="775"/>
      <c r="V22" s="774"/>
      <c r="W22" s="775"/>
      <c r="X22" s="1813"/>
      <c r="Y22" s="3220"/>
      <c r="Z22" s="1814"/>
      <c r="AA22" s="1811">
        <v>1</v>
      </c>
      <c r="AB22" s="1811">
        <v>1</v>
      </c>
      <c r="AC22" s="1811">
        <v>1</v>
      </c>
    </row>
    <row r="23" spans="1:29" ht="120">
      <c r="A23" s="428"/>
      <c r="B23" s="451" t="s">
        <v>2100</v>
      </c>
      <c r="C23" s="2605" t="str">
        <f>估价对象房地状况!C9</f>
        <v>区域自然环境：体育公园、南海子公园、凉水河；人文环境：北京电子科技职业学院(亦庄校区)；综合评价环境状况一般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7"/>
      <c r="Q23" s="1810" t="str">
        <f>B23</f>
        <v>自然及人文环境</v>
      </c>
      <c r="R23" s="774" t="s">
        <v>21</v>
      </c>
      <c r="S23" s="775">
        <f>F23</f>
        <v>100</v>
      </c>
      <c r="T23" s="774" t="s">
        <v>21</v>
      </c>
      <c r="U23" s="775">
        <f>H23</f>
        <v>100</v>
      </c>
      <c r="V23" s="774" t="s">
        <v>21</v>
      </c>
      <c r="W23" s="775">
        <f>J23</f>
        <v>100</v>
      </c>
      <c r="X23" s="1813"/>
      <c r="Y23" s="3220"/>
      <c r="Z23" s="1814" t="str">
        <f>Q23</f>
        <v>自然及人文环境</v>
      </c>
      <c r="AA23" s="1811">
        <f>D23/F23</f>
        <v>1</v>
      </c>
      <c r="AB23" s="1811">
        <f>D23/H23</f>
        <v>1</v>
      </c>
      <c r="AC23" s="1811">
        <f>D23/J23</f>
        <v>1</v>
      </c>
    </row>
    <row r="24" spans="1:29" ht="16">
      <c r="A24" s="428"/>
      <c r="B24" s="456"/>
      <c r="C24" s="447" t="s">
        <v>3067</v>
      </c>
      <c r="D24" s="448"/>
      <c r="E24" s="2602" t="s">
        <v>3067</v>
      </c>
      <c r="F24" s="448"/>
      <c r="G24" s="2603" t="s">
        <v>3067</v>
      </c>
      <c r="H24" s="448"/>
      <c r="I24" s="2603" t="s">
        <v>3067</v>
      </c>
      <c r="J24" s="448"/>
      <c r="K24" s="2604"/>
      <c r="L24" s="1140"/>
      <c r="M24" s="1131"/>
      <c r="N24" s="1131"/>
      <c r="O24" s="1131"/>
      <c r="P24" s="3227"/>
      <c r="Q24" s="1810"/>
      <c r="R24" s="774"/>
      <c r="S24" s="775"/>
      <c r="T24" s="774"/>
      <c r="U24" s="775"/>
      <c r="V24" s="774"/>
      <c r="W24" s="775"/>
      <c r="X24" s="1813"/>
      <c r="Y24" s="3220"/>
      <c r="Z24" s="1814"/>
      <c r="AA24" s="1811">
        <v>1</v>
      </c>
      <c r="AB24" s="1811">
        <v>1</v>
      </c>
      <c r="AC24" s="1811">
        <v>1</v>
      </c>
    </row>
    <row r="25" spans="1:29" ht="16" hidden="1">
      <c r="A25" s="428"/>
      <c r="B25" s="422" t="s">
        <v>2560</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27"/>
      <c r="Q25" s="1810" t="str">
        <f t="shared" ref="Q25:Q46" si="8">B25</f>
        <v>楼层-1</v>
      </c>
      <c r="R25" s="774" t="s">
        <v>21</v>
      </c>
      <c r="S25" s="775">
        <f t="shared" ref="S25:S46" si="9">F25</f>
        <v>100</v>
      </c>
      <c r="T25" s="774" t="s">
        <v>21</v>
      </c>
      <c r="U25" s="775">
        <f t="shared" ref="U25:U46" si="10">H25</f>
        <v>100</v>
      </c>
      <c r="V25" s="774" t="s">
        <v>21</v>
      </c>
      <c r="W25" s="775">
        <f t="shared" ref="W25:W46" si="11">J25</f>
        <v>100</v>
      </c>
      <c r="X25" s="1813"/>
      <c r="Y25" s="3220"/>
      <c r="Z25" s="1814" t="str">
        <f>Q25</f>
        <v>楼层-1</v>
      </c>
      <c r="AA25" s="1811">
        <f t="shared" ref="AA25:AA46" si="12">D25/F25</f>
        <v>1</v>
      </c>
      <c r="AB25" s="1811">
        <f t="shared" ref="AB25:AB46" si="13">D25/H25</f>
        <v>1</v>
      </c>
      <c r="AC25" s="1811">
        <f t="shared" ref="AC25:AC46" si="14">D25/J25</f>
        <v>1</v>
      </c>
    </row>
    <row r="26" spans="1:29" ht="16">
      <c r="A26" s="428"/>
      <c r="B26" s="422" t="s">
        <v>2561</v>
      </c>
      <c r="C26" s="460" t="s">
        <v>3089</v>
      </c>
      <c r="D26" s="435">
        <v>100</v>
      </c>
      <c r="E26" s="2611" t="s">
        <v>3089</v>
      </c>
      <c r="F26" s="435">
        <f>SUMIF(88:88,E26,89:89)-SUMIF(88:88,C26,89:89)+100</f>
        <v>100</v>
      </c>
      <c r="G26" s="2612" t="s">
        <v>3089</v>
      </c>
      <c r="H26" s="435">
        <f>SUMIF(88:88,G26,89:89)-SUMIF(88:88,C26,89:89)+100</f>
        <v>100</v>
      </c>
      <c r="I26" s="2612" t="s">
        <v>3089</v>
      </c>
      <c r="J26" s="435">
        <f>SUMIF(88:88,I26,89:89)-SUMIF(88:88,C26,89:89)+100</f>
        <v>100</v>
      </c>
      <c r="K26" s="426"/>
      <c r="L26" s="1140"/>
      <c r="M26" s="1131"/>
      <c r="N26" s="1131"/>
      <c r="O26" s="1131"/>
      <c r="P26" s="3227"/>
      <c r="Q26" s="1810" t="str">
        <f t="shared" si="8"/>
        <v>朝向</v>
      </c>
      <c r="R26" s="774" t="s">
        <v>21</v>
      </c>
      <c r="S26" s="775">
        <f t="shared" si="9"/>
        <v>100</v>
      </c>
      <c r="T26" s="774" t="s">
        <v>21</v>
      </c>
      <c r="U26" s="775">
        <f t="shared" si="10"/>
        <v>100</v>
      </c>
      <c r="V26" s="774" t="s">
        <v>21</v>
      </c>
      <c r="W26" s="775">
        <f t="shared" si="11"/>
        <v>100</v>
      </c>
      <c r="X26" s="1813"/>
      <c r="Y26" s="3220"/>
      <c r="Z26" s="1814" t="str">
        <f>Q26</f>
        <v>朝向</v>
      </c>
      <c r="AA26" s="1811">
        <f t="shared" si="12"/>
        <v>1</v>
      </c>
      <c r="AB26" s="1811">
        <f t="shared" si="13"/>
        <v>1</v>
      </c>
      <c r="AC26" s="1811">
        <f t="shared" si="14"/>
        <v>1</v>
      </c>
    </row>
    <row r="27" spans="1:29" s="117" customFormat="1" ht="31" thickBot="1">
      <c r="A27" s="431"/>
      <c r="B27" s="2957" t="s">
        <v>3091</v>
      </c>
      <c r="C27" s="432" t="str">
        <f>C90</f>
        <v>城市次干道——兴海路</v>
      </c>
      <c r="D27" s="462">
        <v>100</v>
      </c>
      <c r="E27" s="432" t="str">
        <f>E90</f>
        <v>城市支路</v>
      </c>
      <c r="F27" s="462">
        <f>SUMIF(90:90,E27,91:91)-SUMIF(90:90,C27,91:91)+100</f>
        <v>98</v>
      </c>
      <c r="G27" s="2670" t="str">
        <f>C90</f>
        <v>城市次干道——兴海路</v>
      </c>
      <c r="H27" s="462">
        <f>SUMIF(90:90,G27,91:91)-SUMIF(90:90,C27,91:91)+100</f>
        <v>100</v>
      </c>
      <c r="I27" s="2670" t="str">
        <f>D90</f>
        <v>城市次干道——博兴八路</v>
      </c>
      <c r="J27" s="462">
        <f>SUMIF(90:90,I27,91:91)-SUMIF(90:90,C27,91:91)+100</f>
        <v>100</v>
      </c>
      <c r="K27" s="2599"/>
      <c r="L27" s="1132"/>
      <c r="M27" s="1133"/>
      <c r="N27" s="1133"/>
      <c r="O27" s="1133"/>
      <c r="P27" s="3227"/>
      <c r="Q27" s="1795" t="str">
        <f t="shared" si="8"/>
        <v>临路状况</v>
      </c>
      <c r="R27" s="770" t="s">
        <v>21</v>
      </c>
      <c r="S27" s="771">
        <f t="shared" si="9"/>
        <v>98</v>
      </c>
      <c r="T27" s="770" t="s">
        <v>21</v>
      </c>
      <c r="U27" s="771">
        <f t="shared" si="10"/>
        <v>100</v>
      </c>
      <c r="V27" s="770" t="s">
        <v>21</v>
      </c>
      <c r="W27" s="771">
        <f t="shared" si="11"/>
        <v>100</v>
      </c>
      <c r="X27" s="772"/>
      <c r="Y27" s="3220"/>
      <c r="Z27" s="55" t="str">
        <f>Q27</f>
        <v>临路状况</v>
      </c>
      <c r="AA27" s="1811">
        <f t="shared" si="12"/>
        <v>1.0204081632653061</v>
      </c>
      <c r="AB27" s="1811">
        <f t="shared" si="13"/>
        <v>1</v>
      </c>
      <c r="AC27" s="1811">
        <f t="shared" si="14"/>
        <v>1</v>
      </c>
    </row>
    <row r="28" spans="1:29" ht="16" hidden="1">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27"/>
      <c r="Q28" s="1810">
        <f t="shared" si="8"/>
        <v>111</v>
      </c>
      <c r="R28" s="774" t="s">
        <v>21</v>
      </c>
      <c r="S28" s="775">
        <f t="shared" si="9"/>
        <v>100</v>
      </c>
      <c r="T28" s="774" t="s">
        <v>21</v>
      </c>
      <c r="U28" s="775">
        <f t="shared" si="10"/>
        <v>100</v>
      </c>
      <c r="V28" s="774" t="s">
        <v>21</v>
      </c>
      <c r="W28" s="775">
        <f t="shared" si="11"/>
        <v>100</v>
      </c>
      <c r="X28" s="1813"/>
      <c r="Y28" s="3220"/>
      <c r="Z28" s="1814">
        <f t="shared" ref="Z28:Z46" si="15">Q28</f>
        <v>111</v>
      </c>
      <c r="AA28" s="1811">
        <f t="shared" si="12"/>
        <v>1</v>
      </c>
      <c r="AB28" s="1811">
        <f t="shared" si="13"/>
        <v>1</v>
      </c>
      <c r="AC28" s="1811">
        <f t="shared" si="14"/>
        <v>1</v>
      </c>
    </row>
    <row r="29" spans="1:29" ht="16" hidden="1">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27"/>
      <c r="Q29" s="1810">
        <f t="shared" si="8"/>
        <v>111</v>
      </c>
      <c r="R29" s="774" t="s">
        <v>21</v>
      </c>
      <c r="S29" s="775">
        <f t="shared" si="9"/>
        <v>100</v>
      </c>
      <c r="T29" s="774" t="s">
        <v>21</v>
      </c>
      <c r="U29" s="775">
        <f t="shared" si="10"/>
        <v>100</v>
      </c>
      <c r="V29" s="774" t="s">
        <v>21</v>
      </c>
      <c r="W29" s="775">
        <f t="shared" si="11"/>
        <v>100</v>
      </c>
      <c r="X29" s="1813"/>
      <c r="Y29" s="3220"/>
      <c r="Z29" s="1814">
        <f t="shared" si="15"/>
        <v>111</v>
      </c>
      <c r="AA29" s="1811">
        <f t="shared" si="12"/>
        <v>1</v>
      </c>
      <c r="AB29" s="1811">
        <f t="shared" si="13"/>
        <v>1</v>
      </c>
      <c r="AC29" s="1811">
        <f t="shared" si="14"/>
        <v>1</v>
      </c>
    </row>
    <row r="30" spans="1:29" ht="16" hidden="1">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27"/>
      <c r="Q30" s="1810">
        <f t="shared" si="8"/>
        <v>111</v>
      </c>
      <c r="R30" s="774" t="s">
        <v>21</v>
      </c>
      <c r="S30" s="775">
        <f t="shared" si="9"/>
        <v>100</v>
      </c>
      <c r="T30" s="774" t="s">
        <v>21</v>
      </c>
      <c r="U30" s="775">
        <f t="shared" si="10"/>
        <v>100</v>
      </c>
      <c r="V30" s="774" t="s">
        <v>21</v>
      </c>
      <c r="W30" s="775">
        <f t="shared" si="11"/>
        <v>100</v>
      </c>
      <c r="X30" s="1813"/>
      <c r="Y30" s="3220"/>
      <c r="Z30" s="1814">
        <f t="shared" si="15"/>
        <v>111</v>
      </c>
      <c r="AA30" s="1811">
        <f t="shared" si="12"/>
        <v>1</v>
      </c>
      <c r="AB30" s="1811">
        <f t="shared" si="13"/>
        <v>1</v>
      </c>
      <c r="AC30" s="1811">
        <f t="shared" si="14"/>
        <v>1</v>
      </c>
    </row>
    <row r="31" spans="1:29" ht="17" hidden="1"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27"/>
      <c r="Q31" s="1810">
        <f t="shared" si="8"/>
        <v>111</v>
      </c>
      <c r="R31" s="774" t="s">
        <v>21</v>
      </c>
      <c r="S31" s="775">
        <f t="shared" si="9"/>
        <v>100</v>
      </c>
      <c r="T31" s="774" t="s">
        <v>21</v>
      </c>
      <c r="U31" s="775">
        <f t="shared" si="10"/>
        <v>100</v>
      </c>
      <c r="V31" s="774" t="s">
        <v>21</v>
      </c>
      <c r="W31" s="775">
        <f t="shared" si="11"/>
        <v>100</v>
      </c>
      <c r="X31" s="1813"/>
      <c r="Y31" s="3220"/>
      <c r="Z31" s="1814">
        <f t="shared" si="15"/>
        <v>111</v>
      </c>
      <c r="AA31" s="1811">
        <f t="shared" si="12"/>
        <v>1</v>
      </c>
      <c r="AB31" s="1811">
        <f t="shared" si="13"/>
        <v>1</v>
      </c>
      <c r="AC31" s="1811">
        <f t="shared" si="14"/>
        <v>1</v>
      </c>
    </row>
    <row r="32" spans="1:29" ht="16">
      <c r="A32" s="440" t="s">
        <v>2562</v>
      </c>
      <c r="B32" s="71" t="s">
        <v>2563</v>
      </c>
      <c r="C32" s="2615" t="s">
        <v>3069</v>
      </c>
      <c r="D32" s="467">
        <v>100</v>
      </c>
      <c r="E32" s="2616" t="s">
        <v>3069</v>
      </c>
      <c r="F32" s="461">
        <f>SUMIF(100:100,E32,101:101)-SUMIF(100:100,C32,101:101)+100</f>
        <v>100</v>
      </c>
      <c r="G32" s="2615" t="s">
        <v>3069</v>
      </c>
      <c r="H32" s="467">
        <f>SUMIF(100:100,G32,101:101)-SUMIF(100:100,C32,101:101)+100</f>
        <v>100</v>
      </c>
      <c r="I32" s="2616" t="s">
        <v>3070</v>
      </c>
      <c r="J32" s="435">
        <f>SUMIF(100:100,I32,101:101)-SUMIF(100:100,C32,101:101)+100</f>
        <v>100</v>
      </c>
      <c r="K32" s="426">
        <v>0</v>
      </c>
      <c r="L32" s="1140"/>
      <c r="M32" s="1131"/>
      <c r="N32" s="1131"/>
      <c r="O32" s="1131"/>
      <c r="P32" s="3221" t="s">
        <v>2564</v>
      </c>
      <c r="Q32" s="1810" t="str">
        <f t="shared" si="8"/>
        <v>建筑类型</v>
      </c>
      <c r="R32" s="774" t="s">
        <v>21</v>
      </c>
      <c r="S32" s="775">
        <f t="shared" si="9"/>
        <v>100</v>
      </c>
      <c r="T32" s="774" t="s">
        <v>21</v>
      </c>
      <c r="U32" s="775">
        <f t="shared" si="10"/>
        <v>100</v>
      </c>
      <c r="V32" s="774" t="s">
        <v>21</v>
      </c>
      <c r="W32" s="775">
        <f t="shared" si="11"/>
        <v>100</v>
      </c>
      <c r="X32" s="1813"/>
      <c r="Y32" s="3224" t="s">
        <v>2564</v>
      </c>
      <c r="Z32" s="1814" t="str">
        <f t="shared" si="15"/>
        <v>建筑类型</v>
      </c>
      <c r="AA32" s="1811">
        <f t="shared" si="12"/>
        <v>1</v>
      </c>
      <c r="AB32" s="1811">
        <f t="shared" si="13"/>
        <v>1</v>
      </c>
      <c r="AC32" s="1811">
        <f t="shared" si="14"/>
        <v>1</v>
      </c>
    </row>
    <row r="33" spans="1:29" s="471" customFormat="1" ht="16">
      <c r="A33" s="468"/>
      <c r="B33" s="422" t="s">
        <v>2565</v>
      </c>
      <c r="C33" s="469">
        <v>86971.4</v>
      </c>
      <c r="D33" s="136">
        <v>100</v>
      </c>
      <c r="E33" s="430">
        <v>112334</v>
      </c>
      <c r="F33" s="425">
        <f>LOOKUP(E33,103:103,104:104)-LOOKUP(C33,103:103,104:104)+100</f>
        <v>100</v>
      </c>
      <c r="G33" s="429">
        <v>69250</v>
      </c>
      <c r="H33" s="136">
        <f>LOOKUP(G33,103:103,104:104)-LOOKUP(C33,103:103,104:104)+100</f>
        <v>100</v>
      </c>
      <c r="I33" s="430">
        <v>165717</v>
      </c>
      <c r="J33" s="136">
        <f>LOOKUP(I33,103:103,104:104)-LOOKUP(C33,103:103,104:104)+100</f>
        <v>100</v>
      </c>
      <c r="K33" s="2599"/>
      <c r="L33" s="1138"/>
      <c r="M33" s="1141"/>
      <c r="N33" s="1141"/>
      <c r="O33" s="1141"/>
      <c r="P33" s="3222"/>
      <c r="Q33" s="776" t="str">
        <f t="shared" si="8"/>
        <v>项目建筑规模</v>
      </c>
      <c r="R33" s="777" t="s">
        <v>21</v>
      </c>
      <c r="S33" s="778">
        <f t="shared" si="9"/>
        <v>100</v>
      </c>
      <c r="T33" s="777" t="s">
        <v>21</v>
      </c>
      <c r="U33" s="778">
        <f t="shared" si="10"/>
        <v>100</v>
      </c>
      <c r="V33" s="777" t="s">
        <v>21</v>
      </c>
      <c r="W33" s="778">
        <f t="shared" si="11"/>
        <v>100</v>
      </c>
      <c r="X33" s="779"/>
      <c r="Y33" s="3224"/>
      <c r="Z33" s="780" t="str">
        <f t="shared" si="15"/>
        <v>项目建筑规模</v>
      </c>
      <c r="AA33" s="1811">
        <f t="shared" si="12"/>
        <v>1</v>
      </c>
      <c r="AB33" s="1811">
        <f t="shared" si="13"/>
        <v>1</v>
      </c>
      <c r="AC33" s="1811">
        <f t="shared" si="14"/>
        <v>1</v>
      </c>
    </row>
    <row r="34" spans="1:29" ht="16">
      <c r="A34" s="472"/>
      <c r="B34" s="422" t="s">
        <v>2566</v>
      </c>
      <c r="C34" s="2617" t="s">
        <v>3086</v>
      </c>
      <c r="D34" s="435">
        <v>100</v>
      </c>
      <c r="E34" s="2618" t="s">
        <v>3086</v>
      </c>
      <c r="F34" s="461">
        <f>SUMIF(105:105,E34,106:106)-SUMIF(105:105,C34,106:106)+100</f>
        <v>100</v>
      </c>
      <c r="G34" s="2617" t="s">
        <v>3086</v>
      </c>
      <c r="H34" s="435">
        <f>SUMIF(105:105,G34,106:106)-SUMIF(105:105,C34,106:106)+100</f>
        <v>100</v>
      </c>
      <c r="I34" s="2618" t="s">
        <v>3086</v>
      </c>
      <c r="J34" s="435">
        <f>SUMIF(105:105,I34,106:106)-SUMIF(105:105,C34,106:106)+100</f>
        <v>100</v>
      </c>
      <c r="K34" s="426"/>
      <c r="L34" s="1140"/>
      <c r="M34" s="1131"/>
      <c r="N34" s="1131"/>
      <c r="O34" s="1131"/>
      <c r="P34" s="3222"/>
      <c r="Q34" s="1810" t="str">
        <f t="shared" si="8"/>
        <v>建筑结构</v>
      </c>
      <c r="R34" s="774" t="s">
        <v>21</v>
      </c>
      <c r="S34" s="775">
        <f t="shared" si="9"/>
        <v>100</v>
      </c>
      <c r="T34" s="774" t="s">
        <v>21</v>
      </c>
      <c r="U34" s="775">
        <f t="shared" si="10"/>
        <v>100</v>
      </c>
      <c r="V34" s="774" t="s">
        <v>21</v>
      </c>
      <c r="W34" s="775">
        <f t="shared" si="11"/>
        <v>100</v>
      </c>
      <c r="X34" s="1813"/>
      <c r="Y34" s="3224"/>
      <c r="Z34" s="1814" t="str">
        <f t="shared" si="15"/>
        <v>建筑结构</v>
      </c>
      <c r="AA34" s="1811">
        <f t="shared" si="12"/>
        <v>1</v>
      </c>
      <c r="AB34" s="1811">
        <f t="shared" si="13"/>
        <v>1</v>
      </c>
      <c r="AC34" s="1811">
        <f t="shared" si="14"/>
        <v>1</v>
      </c>
    </row>
    <row r="35" spans="1:29" ht="16" hidden="1">
      <c r="A35" s="472"/>
      <c r="B35" s="422" t="s">
        <v>2567</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22"/>
      <c r="Q35" s="1810" t="str">
        <f t="shared" si="8"/>
        <v>建筑品质</v>
      </c>
      <c r="R35" s="774" t="s">
        <v>21</v>
      </c>
      <c r="S35" s="775">
        <f t="shared" si="9"/>
        <v>100</v>
      </c>
      <c r="T35" s="774" t="s">
        <v>21</v>
      </c>
      <c r="U35" s="775">
        <f t="shared" si="10"/>
        <v>100</v>
      </c>
      <c r="V35" s="774" t="s">
        <v>21</v>
      </c>
      <c r="W35" s="775">
        <f t="shared" si="11"/>
        <v>100</v>
      </c>
      <c r="X35" s="1813"/>
      <c r="Y35" s="3224"/>
      <c r="Z35" s="1814" t="str">
        <f t="shared" si="15"/>
        <v>建筑品质</v>
      </c>
      <c r="AA35" s="1811">
        <f t="shared" si="12"/>
        <v>1</v>
      </c>
      <c r="AB35" s="1811">
        <f t="shared" si="13"/>
        <v>1</v>
      </c>
      <c r="AC35" s="1811">
        <f t="shared" si="14"/>
        <v>1</v>
      </c>
    </row>
    <row r="36" spans="1:29" ht="16">
      <c r="A36" s="472"/>
      <c r="B36" s="422" t="s">
        <v>2568</v>
      </c>
      <c r="C36" s="2611" t="s">
        <v>3072</v>
      </c>
      <c r="D36" s="435">
        <v>100</v>
      </c>
      <c r="E36" s="2612" t="s">
        <v>3072</v>
      </c>
      <c r="F36" s="461">
        <f>SUMIF(109:109,E36,110:110)-SUMIF(109:109,C36,110:110)+100</f>
        <v>100</v>
      </c>
      <c r="G36" s="2611" t="s">
        <v>3072</v>
      </c>
      <c r="H36" s="435">
        <f>SUMIF(109:109,G36,110:110)-SUMIF(109:109,C36,110:110)+100</f>
        <v>100</v>
      </c>
      <c r="I36" s="2612" t="s">
        <v>3072</v>
      </c>
      <c r="J36" s="435">
        <f>SUMIF(109:109,I36,110:110)-SUMIF(109:109,C36,110:110)+100</f>
        <v>100</v>
      </c>
      <c r="K36" s="426"/>
      <c r="L36" s="1140"/>
      <c r="M36" s="1131"/>
      <c r="N36" s="1131"/>
      <c r="O36" s="1131"/>
      <c r="P36" s="3222"/>
      <c r="Q36" s="1810" t="str">
        <f t="shared" si="8"/>
        <v>公共部分装修</v>
      </c>
      <c r="R36" s="774" t="s">
        <v>21</v>
      </c>
      <c r="S36" s="775">
        <f t="shared" si="9"/>
        <v>100</v>
      </c>
      <c r="T36" s="774" t="s">
        <v>21</v>
      </c>
      <c r="U36" s="775">
        <f t="shared" si="10"/>
        <v>100</v>
      </c>
      <c r="V36" s="774" t="s">
        <v>21</v>
      </c>
      <c r="W36" s="775">
        <f t="shared" si="11"/>
        <v>100</v>
      </c>
      <c r="X36" s="1813"/>
      <c r="Y36" s="3224"/>
      <c r="Z36" s="1814" t="str">
        <f t="shared" si="15"/>
        <v>公共部分装修</v>
      </c>
      <c r="AA36" s="1811">
        <f t="shared" si="12"/>
        <v>1</v>
      </c>
      <c r="AB36" s="1811">
        <f t="shared" si="13"/>
        <v>1</v>
      </c>
      <c r="AC36" s="1811">
        <f t="shared" si="14"/>
        <v>1</v>
      </c>
    </row>
    <row r="37" spans="1:29" s="117" customFormat="1" ht="16" hidden="1">
      <c r="A37" s="473"/>
      <c r="B37" s="422" t="s">
        <v>2569</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2"/>
      <c r="M37" s="1133"/>
      <c r="N37" s="1133"/>
      <c r="O37" s="1133"/>
      <c r="P37" s="3222"/>
      <c r="Q37" s="1795" t="str">
        <f t="shared" si="8"/>
        <v>成新度</v>
      </c>
      <c r="R37" s="770" t="s">
        <v>21</v>
      </c>
      <c r="S37" s="771">
        <f t="shared" si="9"/>
        <v>100</v>
      </c>
      <c r="T37" s="770" t="s">
        <v>21</v>
      </c>
      <c r="U37" s="771">
        <f t="shared" si="10"/>
        <v>100</v>
      </c>
      <c r="V37" s="770" t="s">
        <v>21</v>
      </c>
      <c r="W37" s="771">
        <f t="shared" si="11"/>
        <v>100</v>
      </c>
      <c r="X37" s="772"/>
      <c r="Y37" s="3224"/>
      <c r="Z37" s="55" t="str">
        <f t="shared" si="15"/>
        <v>成新度</v>
      </c>
      <c r="AA37" s="773">
        <f t="shared" si="12"/>
        <v>1</v>
      </c>
      <c r="AB37" s="773">
        <f t="shared" si="13"/>
        <v>1</v>
      </c>
      <c r="AC37" s="773">
        <f t="shared" si="14"/>
        <v>1</v>
      </c>
    </row>
    <row r="38" spans="1:29" ht="16">
      <c r="A38" s="472"/>
      <c r="B38" s="422" t="s">
        <v>2570</v>
      </c>
      <c r="C38" s="2611" t="s">
        <v>3095</v>
      </c>
      <c r="D38" s="435">
        <v>100</v>
      </c>
      <c r="E38" s="2612" t="s">
        <v>3095</v>
      </c>
      <c r="F38" s="461">
        <f>SUMIF(114:114,E38,115:115)-SUMIF(114:114,C38,115:115)+100</f>
        <v>100</v>
      </c>
      <c r="G38" s="2611" t="s">
        <v>3095</v>
      </c>
      <c r="H38" s="435">
        <f>SUMIF(114:114,G38,115:115)-SUMIF(114:114,C38,115:115)+100</f>
        <v>100</v>
      </c>
      <c r="I38" s="2612" t="s">
        <v>3095</v>
      </c>
      <c r="J38" s="435">
        <f>SUMIF(114:114,I38,115:115)-SUMIF(114:114,C38,115:115)+100</f>
        <v>100</v>
      </c>
      <c r="K38" s="426"/>
      <c r="L38" s="1140"/>
      <c r="M38" s="1131"/>
      <c r="N38" s="1131"/>
      <c r="O38" s="1131"/>
      <c r="P38" s="3222" t="s">
        <v>2564</v>
      </c>
      <c r="Q38" s="1810" t="str">
        <f t="shared" si="8"/>
        <v>物业管理</v>
      </c>
      <c r="R38" s="774" t="s">
        <v>21</v>
      </c>
      <c r="S38" s="775">
        <f t="shared" si="9"/>
        <v>100</v>
      </c>
      <c r="T38" s="774" t="s">
        <v>21</v>
      </c>
      <c r="U38" s="775">
        <f t="shared" si="10"/>
        <v>100</v>
      </c>
      <c r="V38" s="774" t="s">
        <v>21</v>
      </c>
      <c r="W38" s="775">
        <f t="shared" si="11"/>
        <v>100</v>
      </c>
      <c r="X38" s="1813"/>
      <c r="Y38" s="3224" t="s">
        <v>2564</v>
      </c>
      <c r="Z38" s="1814" t="str">
        <f t="shared" si="15"/>
        <v>物业管理</v>
      </c>
      <c r="AA38" s="1811">
        <f t="shared" si="12"/>
        <v>1</v>
      </c>
      <c r="AB38" s="1811">
        <f t="shared" si="13"/>
        <v>1</v>
      </c>
      <c r="AC38" s="1811">
        <f t="shared" si="14"/>
        <v>1</v>
      </c>
    </row>
    <row r="39" spans="1:29" ht="16">
      <c r="A39" s="472"/>
      <c r="B39" s="422" t="s">
        <v>2571</v>
      </c>
      <c r="C39" s="2611" t="s">
        <v>3068</v>
      </c>
      <c r="D39" s="435">
        <v>100</v>
      </c>
      <c r="E39" s="2612" t="s">
        <v>3068</v>
      </c>
      <c r="F39" s="461">
        <f>SUMIF(116:116,E39,117:117)-SUMIF(116:116,C39,117:117)+100</f>
        <v>100</v>
      </c>
      <c r="G39" s="2611" t="s">
        <v>3068</v>
      </c>
      <c r="H39" s="435">
        <f>SUMIF(116:116,G39,117:117)-SUMIF(116:116,C39,117:117)+100</f>
        <v>100</v>
      </c>
      <c r="I39" s="2612" t="s">
        <v>3068</v>
      </c>
      <c r="J39" s="435">
        <f>SUMIF(116:116,I39,117:117)-SUMIF(116:116,C39,117:117)+100</f>
        <v>100</v>
      </c>
      <c r="K39" s="426"/>
      <c r="L39" s="1140"/>
      <c r="M39" s="1131"/>
      <c r="N39" s="1131"/>
      <c r="O39" s="1131"/>
      <c r="P39" s="3222"/>
      <c r="Q39" s="1810" t="str">
        <f t="shared" si="8"/>
        <v>市政基础设施</v>
      </c>
      <c r="R39" s="774" t="s">
        <v>21</v>
      </c>
      <c r="S39" s="775">
        <f t="shared" si="9"/>
        <v>100</v>
      </c>
      <c r="T39" s="774" t="s">
        <v>21</v>
      </c>
      <c r="U39" s="775">
        <f t="shared" si="10"/>
        <v>100</v>
      </c>
      <c r="V39" s="774" t="s">
        <v>21</v>
      </c>
      <c r="W39" s="775">
        <f t="shared" si="11"/>
        <v>100</v>
      </c>
      <c r="X39" s="1813"/>
      <c r="Y39" s="3224"/>
      <c r="Z39" s="1814" t="str">
        <f t="shared" si="15"/>
        <v>市政基础设施</v>
      </c>
      <c r="AA39" s="1811">
        <f t="shared" si="12"/>
        <v>1</v>
      </c>
      <c r="AB39" s="1811">
        <f t="shared" si="13"/>
        <v>1</v>
      </c>
      <c r="AC39" s="1811">
        <f t="shared" si="14"/>
        <v>1</v>
      </c>
    </row>
    <row r="40" spans="1:29" ht="16">
      <c r="A40" s="472"/>
      <c r="B40" s="422" t="s">
        <v>2572</v>
      </c>
      <c r="C40" s="2611" t="s">
        <v>3098</v>
      </c>
      <c r="D40" s="435">
        <v>100</v>
      </c>
      <c r="E40" s="2612" t="s">
        <v>3098</v>
      </c>
      <c r="F40" s="461">
        <f>SUMIF(118:118,E40,119:119)-SUMIF(118:118,C40,119:119)+100</f>
        <v>100</v>
      </c>
      <c r="G40" s="2611" t="s">
        <v>3098</v>
      </c>
      <c r="H40" s="435">
        <f>SUMIF(118:118,G40,119:119)-SUMIF(118:118,C40,119:119)+100</f>
        <v>100</v>
      </c>
      <c r="I40" s="2612" t="s">
        <v>3098</v>
      </c>
      <c r="J40" s="435">
        <f>SUMIF(118:118,I40,119:119)-SUMIF(118:118,C40,119:119)+100</f>
        <v>100</v>
      </c>
      <c r="K40" s="426"/>
      <c r="L40" s="1140"/>
      <c r="M40" s="1131"/>
      <c r="N40" s="1131"/>
      <c r="O40" s="1131"/>
      <c r="P40" s="3222"/>
      <c r="Q40" s="1810" t="str">
        <f t="shared" si="8"/>
        <v>房型</v>
      </c>
      <c r="R40" s="774" t="s">
        <v>21</v>
      </c>
      <c r="S40" s="775">
        <f t="shared" si="9"/>
        <v>100</v>
      </c>
      <c r="T40" s="774" t="s">
        <v>21</v>
      </c>
      <c r="U40" s="775">
        <f t="shared" si="10"/>
        <v>100</v>
      </c>
      <c r="V40" s="774" t="s">
        <v>21</v>
      </c>
      <c r="W40" s="775">
        <f t="shared" si="11"/>
        <v>100</v>
      </c>
      <c r="X40" s="1813"/>
      <c r="Y40" s="3224"/>
      <c r="Z40" s="1814" t="str">
        <f t="shared" si="15"/>
        <v>房型</v>
      </c>
      <c r="AA40" s="1811">
        <f t="shared" si="12"/>
        <v>1</v>
      </c>
      <c r="AB40" s="1811">
        <f t="shared" si="13"/>
        <v>1</v>
      </c>
      <c r="AC40" s="1811">
        <f t="shared" si="14"/>
        <v>1</v>
      </c>
    </row>
    <row r="41" spans="1:29" s="471" customFormat="1" ht="30">
      <c r="A41" s="468"/>
      <c r="B41" s="422" t="s">
        <v>2573</v>
      </c>
      <c r="C41" s="469" t="str">
        <f>C120</f>
        <v>80-90</v>
      </c>
      <c r="D41" s="136">
        <v>100</v>
      </c>
      <c r="E41" s="430" t="str">
        <f>C41</f>
        <v>80-90</v>
      </c>
      <c r="F41" s="425">
        <f>SUMIF(120:120,E41,121:121)-SUMIF(120:120,C41,121:121)+100</f>
        <v>100</v>
      </c>
      <c r="G41" s="429" t="str">
        <f>C41</f>
        <v>80-90</v>
      </c>
      <c r="H41" s="136">
        <f>SUMIF(120:120,G41,121:121)-SUMIF(120:120,C41,121:121)+100</f>
        <v>100</v>
      </c>
      <c r="I41" s="477" t="str">
        <f>C41</f>
        <v>80-90</v>
      </c>
      <c r="J41" s="435">
        <f>SUMIF(120:120,I41,121:121)-SUMIF(120:120,C41,121:121)+100</f>
        <v>100</v>
      </c>
      <c r="K41" s="2599"/>
      <c r="L41" s="1138"/>
      <c r="M41" s="1141"/>
      <c r="N41" s="1141"/>
      <c r="O41" s="1141"/>
      <c r="P41" s="3222"/>
      <c r="Q41" s="776" t="str">
        <f t="shared" si="8"/>
        <v>单套/主力户型建筑面积</v>
      </c>
      <c r="R41" s="777" t="s">
        <v>21</v>
      </c>
      <c r="S41" s="778">
        <f t="shared" si="9"/>
        <v>100</v>
      </c>
      <c r="T41" s="777" t="s">
        <v>21</v>
      </c>
      <c r="U41" s="778">
        <f t="shared" si="10"/>
        <v>100</v>
      </c>
      <c r="V41" s="777" t="s">
        <v>21</v>
      </c>
      <c r="W41" s="778">
        <f t="shared" si="11"/>
        <v>100</v>
      </c>
      <c r="X41" s="779"/>
      <c r="Y41" s="3224"/>
      <c r="Z41" s="780" t="str">
        <f t="shared" si="15"/>
        <v>单套/主力户型建筑面积</v>
      </c>
      <c r="AA41" s="1811">
        <f t="shared" si="12"/>
        <v>1</v>
      </c>
      <c r="AB41" s="1811">
        <f t="shared" si="13"/>
        <v>1</v>
      </c>
      <c r="AC41" s="1811">
        <f t="shared" si="14"/>
        <v>1</v>
      </c>
    </row>
    <row r="42" spans="1:29" ht="16">
      <c r="A42" s="472"/>
      <c r="B42" s="422" t="s">
        <v>2574</v>
      </c>
      <c r="C42" s="2611" t="s">
        <v>3075</v>
      </c>
      <c r="D42" s="435">
        <v>100</v>
      </c>
      <c r="E42" s="2612" t="s">
        <v>3075</v>
      </c>
      <c r="F42" s="461">
        <f>SUMIF(122:122,E42,123:123)-SUMIF(122:122,C42,123:123)+100</f>
        <v>100</v>
      </c>
      <c r="G42" s="2611" t="s">
        <v>3153</v>
      </c>
      <c r="H42" s="435">
        <f>SUMIF(122:122,G42,123:123)-SUMIF(122:122,C42,123:123)+100</f>
        <v>92</v>
      </c>
      <c r="I42" s="2612" t="s">
        <v>3073</v>
      </c>
      <c r="J42" s="435">
        <f>SUMIF(122:122,I42,123:123)-SUMIF(122:122,C42,123:123)+100</f>
        <v>96</v>
      </c>
      <c r="K42" s="2978">
        <v>4</v>
      </c>
      <c r="L42" s="1140"/>
      <c r="M42" s="1131"/>
      <c r="N42" s="1131"/>
      <c r="O42" s="1131"/>
      <c r="P42" s="3222"/>
      <c r="Q42" s="1810" t="str">
        <f t="shared" si="8"/>
        <v>内部装修</v>
      </c>
      <c r="R42" s="774" t="s">
        <v>21</v>
      </c>
      <c r="S42" s="775">
        <f t="shared" si="9"/>
        <v>100</v>
      </c>
      <c r="T42" s="774" t="s">
        <v>21</v>
      </c>
      <c r="U42" s="775">
        <f t="shared" si="10"/>
        <v>92</v>
      </c>
      <c r="V42" s="774" t="s">
        <v>21</v>
      </c>
      <c r="W42" s="775">
        <f t="shared" si="11"/>
        <v>96</v>
      </c>
      <c r="X42" s="1813"/>
      <c r="Y42" s="3224"/>
      <c r="Z42" s="1814" t="str">
        <f t="shared" si="15"/>
        <v>内部装修</v>
      </c>
      <c r="AA42" s="1811">
        <f t="shared" si="12"/>
        <v>1</v>
      </c>
      <c r="AB42" s="1811">
        <f t="shared" si="13"/>
        <v>1.0869565217391304</v>
      </c>
      <c r="AC42" s="1811">
        <f t="shared" si="14"/>
        <v>1.0416666666666667</v>
      </c>
    </row>
    <row r="43" spans="1:29" ht="16" hidden="1">
      <c r="A43" s="472"/>
      <c r="B43" s="422" t="s">
        <v>2575</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22"/>
      <c r="Q43" s="1810" t="str">
        <f t="shared" si="8"/>
        <v>内部装修维护情况</v>
      </c>
      <c r="R43" s="774" t="s">
        <v>21</v>
      </c>
      <c r="S43" s="775">
        <f t="shared" si="9"/>
        <v>100</v>
      </c>
      <c r="T43" s="774" t="s">
        <v>21</v>
      </c>
      <c r="U43" s="775">
        <f t="shared" si="10"/>
        <v>100</v>
      </c>
      <c r="V43" s="774" t="s">
        <v>21</v>
      </c>
      <c r="W43" s="775">
        <f t="shared" si="11"/>
        <v>100</v>
      </c>
      <c r="X43" s="1813"/>
      <c r="Y43" s="3224"/>
      <c r="Z43" s="1814" t="str">
        <f t="shared" si="15"/>
        <v>内部装修维护情况</v>
      </c>
      <c r="AA43" s="1811">
        <f t="shared" si="12"/>
        <v>1</v>
      </c>
      <c r="AB43" s="1811">
        <f t="shared" si="13"/>
        <v>1</v>
      </c>
      <c r="AC43" s="1811">
        <f t="shared" si="14"/>
        <v>1</v>
      </c>
    </row>
    <row r="44" spans="1:29" s="117" customFormat="1" ht="16">
      <c r="A44" s="473"/>
      <c r="B44" s="2957" t="s">
        <v>3078</v>
      </c>
      <c r="C44" s="469">
        <v>2021.9</v>
      </c>
      <c r="D44" s="136">
        <v>100</v>
      </c>
      <c r="E44" s="2964" t="str">
        <f>E126</f>
        <v>2022.10</v>
      </c>
      <c r="F44" s="425">
        <f>SUMIF(126:126,E44,127:127)-SUMIF(126:126,C44,127:127)+100</f>
        <v>94.8</v>
      </c>
      <c r="G44" s="2964">
        <f>I44</f>
        <v>2020.12</v>
      </c>
      <c r="H44" s="136">
        <f>SUMIF(126:126,G44,127:127)-SUMIF(126:126,C44,127:127)+100</f>
        <v>103.6</v>
      </c>
      <c r="I44" s="469">
        <f>D126</f>
        <v>2020.12</v>
      </c>
      <c r="J44" s="136">
        <f>SUMIF(126:126,I44,127:127)-SUMIF(126:126,C44,127:127)+100</f>
        <v>103.6</v>
      </c>
      <c r="K44" s="2599"/>
      <c r="L44" s="1132"/>
      <c r="M44" s="1133"/>
      <c r="N44" s="1133"/>
      <c r="O44" s="1133"/>
      <c r="P44" s="3222"/>
      <c r="Q44" s="1795" t="str">
        <f t="shared" si="8"/>
        <v>交房时间</v>
      </c>
      <c r="R44" s="770" t="s">
        <v>21</v>
      </c>
      <c r="S44" s="771">
        <f t="shared" si="9"/>
        <v>94.8</v>
      </c>
      <c r="T44" s="770" t="s">
        <v>21</v>
      </c>
      <c r="U44" s="771">
        <f t="shared" si="10"/>
        <v>103.6</v>
      </c>
      <c r="V44" s="770" t="s">
        <v>21</v>
      </c>
      <c r="W44" s="771">
        <f t="shared" si="11"/>
        <v>103.6</v>
      </c>
      <c r="X44" s="772"/>
      <c r="Y44" s="3224"/>
      <c r="Z44" s="55" t="str">
        <f t="shared" si="15"/>
        <v>交房时间</v>
      </c>
      <c r="AA44" s="773">
        <f t="shared" si="12"/>
        <v>1.0548523206751055</v>
      </c>
      <c r="AB44" s="773">
        <f t="shared" si="13"/>
        <v>0.96525096525096532</v>
      </c>
      <c r="AC44" s="773">
        <f t="shared" si="14"/>
        <v>0.96525096525096532</v>
      </c>
    </row>
    <row r="45" spans="1:29" ht="17" thickBot="1">
      <c r="A45" s="472"/>
      <c r="B45" s="2957" t="s">
        <v>3088</v>
      </c>
      <c r="C45" s="434" t="str">
        <f>C128</f>
        <v>一梯多户</v>
      </c>
      <c r="D45" s="435">
        <v>100</v>
      </c>
      <c r="E45" s="434" t="str">
        <f>C45</f>
        <v>一梯多户</v>
      </c>
      <c r="F45" s="461">
        <f>SUMIF(128:128,E45,129:129)-SUMIF(128:128,C45,129:129)+100</f>
        <v>100</v>
      </c>
      <c r="G45" s="2966" t="s">
        <v>3105</v>
      </c>
      <c r="H45" s="435">
        <f>SUMIF(128:128,G45,129:129)-SUMIF(128:128,C45,129:129)+100</f>
        <v>100</v>
      </c>
      <c r="I45" s="434" t="str">
        <f>C45</f>
        <v>一梯多户</v>
      </c>
      <c r="J45" s="435">
        <f>SUMIF(128:128,I45,129:129)-SUMIF(128:128,C45,129:129)+100</f>
        <v>100</v>
      </c>
      <c r="K45" s="2599"/>
      <c r="L45" s="1140"/>
      <c r="M45" s="1131"/>
      <c r="N45" s="1131"/>
      <c r="O45" s="1131"/>
      <c r="P45" s="3222"/>
      <c r="Q45" s="1810" t="str">
        <f t="shared" si="8"/>
        <v>梯户比</v>
      </c>
      <c r="R45" s="774" t="s">
        <v>21</v>
      </c>
      <c r="S45" s="775">
        <f t="shared" si="9"/>
        <v>100</v>
      </c>
      <c r="T45" s="774" t="s">
        <v>21</v>
      </c>
      <c r="U45" s="775">
        <f t="shared" si="10"/>
        <v>100</v>
      </c>
      <c r="V45" s="774" t="s">
        <v>21</v>
      </c>
      <c r="W45" s="775">
        <f t="shared" si="11"/>
        <v>100</v>
      </c>
      <c r="X45" s="1813"/>
      <c r="Y45" s="3224"/>
      <c r="Z45" s="1814" t="str">
        <f t="shared" si="15"/>
        <v>梯户比</v>
      </c>
      <c r="AA45" s="1811">
        <f t="shared" si="12"/>
        <v>1</v>
      </c>
      <c r="AB45" s="1811">
        <f t="shared" si="13"/>
        <v>1</v>
      </c>
      <c r="AC45" s="1811">
        <f t="shared" si="14"/>
        <v>1</v>
      </c>
    </row>
    <row r="46" spans="1:29" ht="17" hidden="1"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23"/>
      <c r="Q46" s="1810">
        <f t="shared" si="8"/>
        <v>111</v>
      </c>
      <c r="R46" s="774" t="s">
        <v>20</v>
      </c>
      <c r="S46" s="775">
        <f t="shared" si="9"/>
        <v>100</v>
      </c>
      <c r="T46" s="774" t="s">
        <v>20</v>
      </c>
      <c r="U46" s="775">
        <f t="shared" si="10"/>
        <v>100</v>
      </c>
      <c r="V46" s="774" t="s">
        <v>20</v>
      </c>
      <c r="W46" s="775">
        <f t="shared" si="11"/>
        <v>100</v>
      </c>
      <c r="X46" s="1813"/>
      <c r="Y46" s="3225"/>
      <c r="Z46" s="1814">
        <f t="shared" si="15"/>
        <v>111</v>
      </c>
      <c r="AA46" s="1811">
        <f t="shared" si="12"/>
        <v>1</v>
      </c>
      <c r="AB46" s="1811">
        <f t="shared" si="13"/>
        <v>1</v>
      </c>
      <c r="AC46" s="1811">
        <f t="shared" si="14"/>
        <v>1</v>
      </c>
    </row>
    <row r="47" spans="1:29" ht="15">
      <c r="A47" s="479" t="s">
        <v>2576</v>
      </c>
      <c r="B47" s="480"/>
      <c r="C47" s="1407" t="s">
        <v>19</v>
      </c>
      <c r="D47" s="1408"/>
      <c r="E47" s="1409">
        <v>44766</v>
      </c>
      <c r="F47" s="1410"/>
      <c r="G47" s="2982">
        <v>50789</v>
      </c>
      <c r="H47" s="1412"/>
      <c r="I47" s="1409">
        <v>51447</v>
      </c>
      <c r="J47" s="1412"/>
      <c r="K47" s="2619"/>
      <c r="L47" s="1143"/>
      <c r="M47" s="1144"/>
      <c r="N47" s="1131"/>
      <c r="O47" s="1144"/>
      <c r="P47" s="3217" t="str">
        <f>A47</f>
        <v>成交单价（元/平方米）</v>
      </c>
      <c r="Q47" s="3217"/>
      <c r="R47" s="3218">
        <f>E47</f>
        <v>44766</v>
      </c>
      <c r="S47" s="3218"/>
      <c r="T47" s="3218">
        <f>G47</f>
        <v>50789</v>
      </c>
      <c r="U47" s="3218"/>
      <c r="V47" s="3218">
        <f>I47</f>
        <v>51447</v>
      </c>
      <c r="W47" s="3218"/>
      <c r="X47" s="759"/>
      <c r="Y47" s="781"/>
      <c r="Z47" s="759"/>
      <c r="AA47" s="759"/>
      <c r="AB47" s="759"/>
      <c r="AC47" s="759"/>
    </row>
    <row r="48" spans="1:29" ht="15" thickBot="1">
      <c r="A48" s="486" t="s">
        <v>2577</v>
      </c>
      <c r="B48" s="487"/>
      <c r="C48" s="1413">
        <f>R49</f>
        <v>52092</v>
      </c>
      <c r="D48" s="1414"/>
      <c r="E48" s="1415">
        <f>R48</f>
        <v>51261</v>
      </c>
      <c r="F48" s="1415"/>
      <c r="G48" s="1413">
        <f>T48</f>
        <v>53287</v>
      </c>
      <c r="H48" s="1414"/>
      <c r="I48" s="1415">
        <f>V48</f>
        <v>51728</v>
      </c>
      <c r="J48" s="1414"/>
      <c r="K48" s="2620"/>
      <c r="L48" s="1143"/>
      <c r="M48" s="1144"/>
      <c r="N48" s="1144"/>
      <c r="O48" s="1144"/>
      <c r="P48" s="3217" t="str">
        <f>A48</f>
        <v>比较价值（元/平方米）</v>
      </c>
      <c r="Q48" s="3217"/>
      <c r="R48" s="3218">
        <f>IF(F1="售价",ROUND(PRODUCT(R47,AA7:AA46),0),ROUND(PRODUCT(R47,AA7:AA46),1))</f>
        <v>51261</v>
      </c>
      <c r="S48" s="3218"/>
      <c r="T48" s="3218">
        <f>IF(F1="售价",ROUND(PRODUCT(T47,AB7:AB46),0),ROUND(PRODUCT(T47,AB7:AB46),1))</f>
        <v>53287</v>
      </c>
      <c r="U48" s="3218"/>
      <c r="V48" s="3218">
        <f>IF(F1="售价",ROUND(PRODUCT(V47,AC7:AC46),0),ROUND(PRODUCT(V47,AC7:AC46),1))</f>
        <v>51728</v>
      </c>
      <c r="W48" s="3218"/>
      <c r="X48" s="759"/>
      <c r="Y48" s="759"/>
      <c r="Z48" s="759"/>
      <c r="AA48" s="759"/>
      <c r="AB48" s="759"/>
      <c r="AC48" s="759"/>
    </row>
    <row r="49" spans="1:29" ht="15" thickBot="1">
      <c r="A49" s="492" t="s">
        <v>3124</v>
      </c>
      <c r="B49" s="493"/>
      <c r="C49" s="1416">
        <f>R49</f>
        <v>52092</v>
      </c>
      <c r="D49" s="1417"/>
      <c r="E49" s="1417"/>
      <c r="F49" s="1417"/>
      <c r="G49" s="1417"/>
      <c r="H49" s="1417"/>
      <c r="I49" s="1417"/>
      <c r="J49" s="1417"/>
      <c r="K49" s="2621"/>
      <c r="L49" s="1143"/>
      <c r="M49" s="1144"/>
      <c r="N49" s="1144"/>
      <c r="O49" s="1144"/>
      <c r="P49" s="3214" t="str">
        <f>A49</f>
        <v>估价对象住宅用房的比较价值（楼面单价，元/平方米）</v>
      </c>
      <c r="Q49" s="3215"/>
      <c r="R49" s="3216">
        <f>IF(F1="售价",ROUND(AVERAGE(R48:V48),0),ROUND(AVERAGE(R48:V48),1))</f>
        <v>52092</v>
      </c>
      <c r="S49" s="3216"/>
      <c r="T49" s="3216"/>
      <c r="U49" s="3216"/>
      <c r="V49" s="3216"/>
      <c r="W49" s="321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f>IF(E47&lt;E48,E48/E47-1,E47/E48-1)</f>
        <v>0.14508778984050386</v>
      </c>
      <c r="F52" s="500" t="str">
        <f>IF(OR(E52&gt;=0.3,E52&lt;=-0.3),"超过30%","")</f>
        <v/>
      </c>
      <c r="G52" s="499">
        <f>IF(G47&lt;G48,G48/G47-1,G47/G48-1)</f>
        <v>4.9183878398865843E-2</v>
      </c>
      <c r="H52" s="500" t="str">
        <f>IF(OR(G52&gt;=0.3,G52&lt;=-0.3),"超过30%","")</f>
        <v/>
      </c>
      <c r="I52" s="499">
        <f>IF(I47&lt;I48,I48/I47-1,I47/I48-1)</f>
        <v>5.4619316966975084E-3</v>
      </c>
      <c r="J52" s="500" t="str">
        <f>IF(OR(I52&gt;=0.3,I52&lt;=-0.3),"超过30%","")</f>
        <v/>
      </c>
      <c r="K52" s="1105"/>
      <c r="L52" s="1106"/>
      <c r="M52" s="1144"/>
      <c r="N52" s="1144"/>
      <c r="O52" s="1144"/>
    </row>
    <row r="53" spans="1:29" ht="13.5" customHeight="1">
      <c r="A53" s="1144"/>
      <c r="B53" s="1144"/>
      <c r="C53" s="497" t="s">
        <v>2579</v>
      </c>
      <c r="D53" s="501"/>
      <c r="E53" s="499">
        <f>IF(E48&lt;G48,G48/E48-1,E48/G48-1)</f>
        <v>3.9523224283568359E-2</v>
      </c>
      <c r="F53" s="500" t="str">
        <f>IF(OR(E53&gt;=0.2,E53&lt;=-0.2),"超过20%","")</f>
        <v/>
      </c>
      <c r="G53" s="499">
        <f>IF(G48&lt;I48,I48/G48-1,G48/I48-1)</f>
        <v>3.0138416331580542E-2</v>
      </c>
      <c r="H53" s="500" t="str">
        <f>IF(OR(G53&gt;=0.2,G53&lt;=-0.2),"超过20%","")</f>
        <v/>
      </c>
      <c r="I53" s="499">
        <f>IF(I48&lt;E48,E48/I48-1,I48/E48-1)</f>
        <v>9.1102397534188473E-3</v>
      </c>
      <c r="J53" s="500" t="str">
        <f>IF(OR(I53&gt;=0.2,I53&lt;=-0.2),"超过20%","")</f>
        <v/>
      </c>
      <c r="K53" s="1105"/>
      <c r="L53" s="1106"/>
      <c r="M53" s="1144"/>
      <c r="N53" s="1144"/>
      <c r="O53" s="1144"/>
      <c r="Q53" s="403">
        <f>R48/R47</f>
        <v>1.1450877898405039</v>
      </c>
    </row>
    <row r="54" spans="1:29" s="502" customFormat="1" ht="13.5" customHeight="1">
      <c r="A54" s="1145"/>
      <c r="B54" s="1145"/>
      <c r="C54" s="497" t="s">
        <v>2580</v>
      </c>
      <c r="D54" s="501"/>
      <c r="E54" s="499">
        <f>IF(E47&lt;G47,G47/E47-1,E47/G47-1)</f>
        <v>0.13454407362730647</v>
      </c>
      <c r="F54" s="500" t="str">
        <f>IF(OR(E54&gt;=0.3,E54&lt;=-0.3),"超过30%","")</f>
        <v/>
      </c>
      <c r="G54" s="499">
        <f>IF(G47&lt;I47,I47/G47-1,G47/I47-1)</f>
        <v>1.295556124357633E-2</v>
      </c>
      <c r="H54" s="500" t="str">
        <f>IF(OR(G54&gt;=0.3,G54&lt;=-0.3),"超过30%","")</f>
        <v/>
      </c>
      <c r="I54" s="499">
        <f>IF(I47&lt;E47,E47/I47-1,I47/E47-1)</f>
        <v>0.14924272885672152</v>
      </c>
      <c r="J54" s="500" t="str">
        <f>IF(OR(I54&gt;=0.3,I54&lt;=-0.3),"超过30%","")</f>
        <v/>
      </c>
      <c r="K54" s="1148"/>
      <c r="L54" s="1149"/>
      <c r="M54" s="1145"/>
      <c r="N54" s="1145"/>
      <c r="O54" s="1145"/>
      <c r="P54" s="2623"/>
      <c r="Q54" s="502">
        <f>T48/T47</f>
        <v>1.0491838783988658</v>
      </c>
    </row>
    <row r="55" spans="1:29" s="502" customFormat="1">
      <c r="A55" s="1145"/>
      <c r="B55" s="1146"/>
      <c r="C55" s="1150"/>
      <c r="D55" s="1145"/>
      <c r="E55" s="1145"/>
      <c r="F55" s="1145"/>
      <c r="G55" s="1145"/>
      <c r="H55" s="1145"/>
      <c r="I55" s="1145"/>
      <c r="J55" s="1145"/>
      <c r="K55" s="1148"/>
      <c r="L55" s="1149"/>
      <c r="M55" s="1145"/>
      <c r="N55" s="1145"/>
      <c r="O55" s="1145"/>
      <c r="P55" s="2623"/>
      <c r="Q55" s="502">
        <f>V48/V47</f>
        <v>1.0054619316966975</v>
      </c>
    </row>
    <row r="56" spans="1:29">
      <c r="A56" s="1144"/>
      <c r="B56" s="1146"/>
      <c r="C56" s="1150"/>
      <c r="D56" s="1144"/>
      <c r="E56" s="1144"/>
      <c r="F56" s="1144"/>
      <c r="G56" s="1144"/>
      <c r="H56" s="1144"/>
      <c r="I56" s="1144"/>
      <c r="J56" s="1144"/>
      <c r="K56" s="1105"/>
      <c r="L56" s="1106"/>
      <c r="M56" s="1144"/>
      <c r="N56" s="1144"/>
      <c r="O56" s="1144"/>
    </row>
    <row r="57" spans="1:29" ht="21" thickBot="1">
      <c r="A57" s="763" t="s">
        <v>2581</v>
      </c>
      <c r="B57" s="759"/>
      <c r="C57" s="764"/>
      <c r="D57" s="764"/>
      <c r="E57" s="764"/>
      <c r="F57" s="765"/>
      <c r="G57" s="765"/>
      <c r="H57" s="764"/>
      <c r="I57" s="764"/>
      <c r="J57" s="764"/>
      <c r="K57" s="1160"/>
      <c r="L57" s="1161"/>
      <c r="M57" s="1159"/>
      <c r="N57" s="1159"/>
      <c r="O57" s="1159"/>
      <c r="P57" s="2624"/>
      <c r="Q57" s="504"/>
    </row>
    <row r="58" spans="1:29" s="508" customFormat="1" ht="15">
      <c r="A58" s="505" t="s">
        <v>2582</v>
      </c>
      <c r="B58" s="506"/>
      <c r="C58" s="1576" t="str">
        <f>YEAR(C7)&amp;"-"&amp;MONTH(C7)</f>
        <v>2020-1</v>
      </c>
      <c r="D58" s="1575">
        <f>EDATE(C58,-1)</f>
        <v>43800</v>
      </c>
      <c r="E58" s="1575">
        <f>EDATE(D58,-1)</f>
        <v>43770</v>
      </c>
      <c r="F58" s="1575">
        <f t="shared" ref="F58:O58" si="16">EDATE(E58,-1)</f>
        <v>43739</v>
      </c>
      <c r="G58" s="1575">
        <f t="shared" si="16"/>
        <v>43709</v>
      </c>
      <c r="H58" s="1575">
        <f t="shared" si="16"/>
        <v>43678</v>
      </c>
      <c r="I58" s="1575">
        <f t="shared" si="16"/>
        <v>43647</v>
      </c>
      <c r="J58" s="1575">
        <f t="shared" si="16"/>
        <v>43617</v>
      </c>
      <c r="K58" s="1575">
        <f t="shared" si="16"/>
        <v>43586</v>
      </c>
      <c r="L58" s="1575">
        <f t="shared" si="16"/>
        <v>43556</v>
      </c>
      <c r="M58" s="1575">
        <f t="shared" si="16"/>
        <v>43525</v>
      </c>
      <c r="N58" s="1575">
        <f t="shared" si="16"/>
        <v>43497</v>
      </c>
      <c r="O58" s="1575">
        <f t="shared" si="16"/>
        <v>43466</v>
      </c>
      <c r="P58" s="1570"/>
    </row>
    <row r="59" spans="1:29" s="117" customFormat="1">
      <c r="A59" s="509"/>
      <c r="B59" s="2625"/>
      <c r="C59" s="1573">
        <v>100</v>
      </c>
      <c r="D59" s="511"/>
      <c r="E59" s="512"/>
      <c r="F59" s="512"/>
      <c r="G59" s="512"/>
      <c r="H59" s="512"/>
      <c r="I59" s="512"/>
      <c r="J59" s="512"/>
      <c r="K59" s="512"/>
      <c r="L59" s="512"/>
      <c r="M59" s="513"/>
      <c r="N59" s="512"/>
      <c r="O59" s="513"/>
      <c r="P59" s="2626"/>
    </row>
    <row r="60" spans="1:29" s="117" customFormat="1" ht="1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2584</v>
      </c>
      <c r="B61" s="510"/>
      <c r="C61" s="522" t="s">
        <v>2585</v>
      </c>
      <c r="D61" s="2977" t="s">
        <v>3120</v>
      </c>
      <c r="E61" s="523"/>
      <c r="F61" s="523"/>
      <c r="G61" s="523"/>
      <c r="H61" s="523"/>
      <c r="I61" s="523"/>
      <c r="J61" s="523"/>
      <c r="K61" s="523"/>
      <c r="L61" s="524"/>
      <c r="M61" s="525"/>
      <c r="N61" s="1151"/>
      <c r="O61" s="1151"/>
      <c r="P61" s="2627"/>
      <c r="Q61" s="504"/>
    </row>
    <row r="62" spans="1:29" s="117" customFormat="1" ht="15" thickBot="1">
      <c r="A62" s="521"/>
      <c r="B62" s="510"/>
      <c r="C62" s="511">
        <v>100</v>
      </c>
      <c r="D62" s="512"/>
      <c r="E62" s="512"/>
      <c r="F62" s="512"/>
      <c r="G62" s="512"/>
      <c r="H62" s="512"/>
      <c r="I62" s="512"/>
      <c r="J62" s="512"/>
      <c r="K62" s="512"/>
      <c r="L62" s="512"/>
      <c r="M62" s="514"/>
      <c r="N62" s="1151"/>
      <c r="O62" s="1151"/>
      <c r="P62" s="2626"/>
      <c r="Q62" s="504"/>
    </row>
    <row r="63" spans="1:29" ht="15">
      <c r="A63" s="527" t="s">
        <v>2586</v>
      </c>
      <c r="B63" s="528" t="s">
        <v>2553</v>
      </c>
      <c r="C63" s="529" t="str">
        <f>C9</f>
        <v>住宅</v>
      </c>
      <c r="D63" s="530"/>
      <c r="E63" s="530"/>
      <c r="F63" s="530"/>
      <c r="G63" s="530"/>
      <c r="H63" s="530"/>
      <c r="I63" s="530"/>
      <c r="J63" s="530"/>
      <c r="K63" s="531"/>
      <c r="L63" s="532"/>
      <c r="M63" s="533"/>
      <c r="N63" s="1152"/>
      <c r="O63" s="1152"/>
      <c r="P63" s="2628"/>
      <c r="Q63" s="504"/>
    </row>
    <row r="64" spans="1:29" ht="15" thickBot="1">
      <c r="A64" s="534"/>
      <c r="B64" s="535"/>
      <c r="C64" s="536">
        <v>100</v>
      </c>
      <c r="D64" s="536"/>
      <c r="E64" s="536"/>
      <c r="F64" s="536"/>
      <c r="G64" s="536"/>
      <c r="H64" s="536"/>
      <c r="I64" s="536"/>
      <c r="J64" s="536"/>
      <c r="K64" s="536"/>
      <c r="L64" s="536"/>
      <c r="M64" s="537"/>
      <c r="N64" s="1153"/>
      <c r="O64" s="1153"/>
      <c r="P64" s="2628"/>
      <c r="Q64" s="504"/>
    </row>
    <row r="65" spans="1:17" ht="31" thickTop="1">
      <c r="A65" s="534"/>
      <c r="B65" s="538" t="s">
        <v>2556</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3"/>
      <c r="O66" s="1153"/>
      <c r="P66" s="2628"/>
      <c r="Q66" s="504"/>
    </row>
    <row r="67" spans="1:17" ht="16" thickTop="1">
      <c r="A67" s="534"/>
      <c r="B67" s="546" t="s">
        <v>2557</v>
      </c>
      <c r="C67" s="547" t="str">
        <f>C68&amp;"（含）"&amp;"-"&amp;D68</f>
        <v>0（含）-2.1</v>
      </c>
      <c r="D67" s="547" t="str">
        <f t="shared" ref="D67:L67" si="18">D68&amp;"（含）"&amp;"-"&amp;E68</f>
        <v>2.1（含）-3</v>
      </c>
      <c r="E67" s="547" t="str">
        <f t="shared" si="18"/>
        <v>3（含）-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3"/>
      <c r="O67" s="1153"/>
      <c r="P67" s="2628"/>
      <c r="Q67" s="504"/>
    </row>
    <row r="68" spans="1:17">
      <c r="A68" s="534"/>
      <c r="B68" s="548"/>
      <c r="C68" s="549">
        <v>0</v>
      </c>
      <c r="D68" s="549">
        <v>2.1</v>
      </c>
      <c r="E68" s="549">
        <v>3</v>
      </c>
      <c r="F68" s="549"/>
      <c r="G68" s="549"/>
      <c r="H68" s="549"/>
      <c r="I68" s="549"/>
      <c r="J68" s="549"/>
      <c r="K68" s="550"/>
      <c r="L68" s="551"/>
      <c r="M68" s="552"/>
      <c r="N68" s="1152"/>
      <c r="O68" s="1152"/>
      <c r="P68" s="2628"/>
      <c r="Q68" s="504"/>
    </row>
    <row r="69" spans="1:17" ht="15" thickBot="1">
      <c r="A69" s="534"/>
      <c r="B69" s="535"/>
      <c r="C69" s="544">
        <v>100</v>
      </c>
      <c r="D69" s="544">
        <f t="shared" ref="D69:M69" si="19">C69-$K11</f>
        <v>94</v>
      </c>
      <c r="E69" s="544">
        <f t="shared" si="19"/>
        <v>88</v>
      </c>
      <c r="F69" s="544">
        <f t="shared" si="19"/>
        <v>82</v>
      </c>
      <c r="G69" s="544">
        <f t="shared" si="19"/>
        <v>76</v>
      </c>
      <c r="H69" s="544">
        <f t="shared" si="19"/>
        <v>70</v>
      </c>
      <c r="I69" s="544">
        <f t="shared" si="19"/>
        <v>64</v>
      </c>
      <c r="J69" s="544">
        <f t="shared" si="19"/>
        <v>58</v>
      </c>
      <c r="K69" s="544">
        <f t="shared" si="19"/>
        <v>52</v>
      </c>
      <c r="L69" s="544">
        <f t="shared" si="19"/>
        <v>46</v>
      </c>
      <c r="M69" s="545">
        <f t="shared" si="19"/>
        <v>40</v>
      </c>
      <c r="N69" s="1153"/>
      <c r="O69" s="1153"/>
      <c r="P69" s="2628"/>
      <c r="Q69" s="504"/>
    </row>
    <row r="70" spans="1:17" s="471" customFormat="1" ht="15" thickTop="1">
      <c r="A70" s="553"/>
      <c r="B70" s="538">
        <f>B12</f>
        <v>111</v>
      </c>
      <c r="C70" s="554"/>
      <c r="D70" s="554"/>
      <c r="E70" s="554"/>
      <c r="F70" s="554"/>
      <c r="G70" s="554"/>
      <c r="H70" s="555"/>
      <c r="I70" s="555"/>
      <c r="J70" s="555"/>
      <c r="K70" s="555"/>
      <c r="L70" s="556"/>
      <c r="M70" s="557"/>
      <c r="N70" s="1154"/>
      <c r="O70" s="1154"/>
      <c r="P70" s="2629"/>
      <c r="Q70" s="559"/>
    </row>
    <row r="71" spans="1:17" s="471" customFormat="1" ht="15" thickBot="1">
      <c r="A71" s="553"/>
      <c r="B71" s="543"/>
      <c r="C71" s="560"/>
      <c r="D71" s="536"/>
      <c r="E71" s="536"/>
      <c r="F71" s="536"/>
      <c r="G71" s="536"/>
      <c r="H71" s="536"/>
      <c r="I71" s="536"/>
      <c r="J71" s="536"/>
      <c r="K71" s="536"/>
      <c r="L71" s="536"/>
      <c r="M71" s="537"/>
      <c r="N71" s="1153"/>
      <c r="O71" s="1153"/>
      <c r="P71" s="2629"/>
      <c r="Q71" s="559"/>
    </row>
    <row r="72" spans="1:17" s="471" customFormat="1" ht="15" thickTop="1">
      <c r="A72" s="553"/>
      <c r="B72" s="538">
        <f>B13</f>
        <v>111</v>
      </c>
      <c r="C72" s="554"/>
      <c r="D72" s="554"/>
      <c r="E72" s="554"/>
      <c r="F72" s="554"/>
      <c r="G72" s="554"/>
      <c r="H72" s="555"/>
      <c r="I72" s="555"/>
      <c r="J72" s="555"/>
      <c r="K72" s="555"/>
      <c r="L72" s="556"/>
      <c r="M72" s="557"/>
      <c r="N72" s="1154"/>
      <c r="O72" s="1154"/>
      <c r="P72" s="2630"/>
      <c r="Q72" s="561"/>
    </row>
    <row r="73" spans="1:17" s="471" customFormat="1" ht="15" thickBot="1">
      <c r="A73" s="553"/>
      <c r="B73" s="543"/>
      <c r="C73" s="560"/>
      <c r="D73" s="560"/>
      <c r="E73" s="560"/>
      <c r="F73" s="560"/>
      <c r="G73" s="560"/>
      <c r="H73" s="562"/>
      <c r="I73" s="562"/>
      <c r="J73" s="562"/>
      <c r="K73" s="562"/>
      <c r="L73" s="562"/>
      <c r="M73" s="563"/>
      <c r="N73" s="1154"/>
      <c r="O73" s="1154"/>
      <c r="P73" s="2629"/>
      <c r="Q73" s="559"/>
    </row>
    <row r="74" spans="1:17" s="471" customFormat="1" ht="15" thickTop="1">
      <c r="A74" s="553"/>
      <c r="B74" s="546">
        <f>B14</f>
        <v>111</v>
      </c>
      <c r="C74" s="554"/>
      <c r="D74" s="554"/>
      <c r="E74" s="554"/>
      <c r="F74" s="554"/>
      <c r="G74" s="523"/>
      <c r="H74" s="564"/>
      <c r="I74" s="564"/>
      <c r="J74" s="564"/>
      <c r="K74" s="564"/>
      <c r="L74" s="565"/>
      <c r="M74" s="566"/>
      <c r="N74" s="1154"/>
      <c r="O74" s="1154"/>
      <c r="P74" s="2631"/>
      <c r="Q74" s="559"/>
    </row>
    <row r="75" spans="1:17" s="471" customFormat="1" ht="15" thickBot="1">
      <c r="A75" s="568"/>
      <c r="B75" s="569"/>
      <c r="C75" s="570"/>
      <c r="D75" s="570"/>
      <c r="E75" s="570"/>
      <c r="F75" s="570"/>
      <c r="G75" s="570"/>
      <c r="H75" s="571"/>
      <c r="I75" s="571"/>
      <c r="J75" s="571"/>
      <c r="K75" s="571"/>
      <c r="L75" s="571"/>
      <c r="M75" s="572"/>
      <c r="N75" s="1154"/>
      <c r="O75" s="1154"/>
      <c r="P75" s="2629"/>
      <c r="Q75" s="559"/>
    </row>
    <row r="76" spans="1:17" ht="15">
      <c r="A76" s="527" t="s">
        <v>2558</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6"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6"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6" thickTop="1">
      <c r="A82" s="534"/>
      <c r="B82" s="546" t="s">
        <v>2096</v>
      </c>
      <c r="C82" s="539" t="s">
        <v>2602</v>
      </c>
      <c r="D82" s="539" t="s">
        <v>2603</v>
      </c>
      <c r="E82" s="539" t="s">
        <v>2604</v>
      </c>
      <c r="F82" s="539" t="s">
        <v>2605</v>
      </c>
      <c r="G82" s="539" t="s">
        <v>2606</v>
      </c>
      <c r="H82" s="539"/>
      <c r="I82" s="539"/>
      <c r="J82" s="539"/>
      <c r="K82" s="539"/>
      <c r="L82" s="539"/>
      <c r="M82" s="1382"/>
      <c r="N82" s="1153"/>
      <c r="O82" s="1153"/>
      <c r="P82" s="2628"/>
      <c r="Q82" s="504"/>
    </row>
    <row r="83" spans="1:17" ht="15" thickBot="1">
      <c r="A83" s="534"/>
      <c r="B83" s="546"/>
      <c r="C83" s="660">
        <v>100</v>
      </c>
      <c r="D83" s="660">
        <f>C83-$K21</f>
        <v>100</v>
      </c>
      <c r="E83" s="660">
        <f>D83-$K21</f>
        <v>100</v>
      </c>
      <c r="F83" s="660">
        <f>E83-$K21</f>
        <v>100</v>
      </c>
      <c r="G83" s="660">
        <f>F83-$K21</f>
        <v>100</v>
      </c>
      <c r="H83" s="660"/>
      <c r="I83" s="660"/>
      <c r="J83" s="660"/>
      <c r="K83" s="660"/>
      <c r="L83" s="660"/>
      <c r="M83" s="450"/>
      <c r="N83" s="1153"/>
      <c r="O83" s="1153"/>
      <c r="P83" s="2628"/>
      <c r="Q83" s="504"/>
    </row>
    <row r="84" spans="1:17" ht="16"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6" thickTop="1">
      <c r="A86" s="579"/>
      <c r="B86" s="538" t="s">
        <v>2608</v>
      </c>
      <c r="C86" s="554"/>
      <c r="D86" s="554"/>
      <c r="E86" s="554"/>
      <c r="F86" s="554"/>
      <c r="G86" s="554"/>
      <c r="H86" s="554"/>
      <c r="I86" s="554"/>
      <c r="J86" s="554"/>
      <c r="K86" s="554"/>
      <c r="L86" s="580"/>
      <c r="M86" s="581"/>
      <c r="N86" s="1151"/>
      <c r="O86" s="1151"/>
      <c r="P86" s="2628"/>
      <c r="Q86" s="504"/>
    </row>
    <row r="87" spans="1:17" s="117" customFormat="1" ht="1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6" thickTop="1">
      <c r="A88" s="579"/>
      <c r="B88" s="538" t="s">
        <v>2609</v>
      </c>
      <c r="C88" s="2956" t="s">
        <v>3090</v>
      </c>
      <c r="D88" s="554"/>
      <c r="E88" s="554"/>
      <c r="F88" s="2633"/>
      <c r="G88" s="554"/>
      <c r="H88" s="554"/>
      <c r="I88" s="554"/>
      <c r="J88" s="554"/>
      <c r="K88" s="554"/>
      <c r="L88" s="554"/>
      <c r="M88" s="581"/>
      <c r="N88" s="1151"/>
      <c r="O88" s="1151"/>
      <c r="P88" s="2628"/>
      <c r="Q88" s="504"/>
    </row>
    <row r="89" spans="1:17" s="117" customFormat="1" ht="1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2628"/>
      <c r="Q89" s="504"/>
    </row>
    <row r="90" spans="1:17" s="471" customFormat="1" ht="31" thickTop="1">
      <c r="A90" s="553"/>
      <c r="B90" s="538" t="str">
        <f>B27</f>
        <v>临路状况</v>
      </c>
      <c r="C90" s="2956" t="s">
        <v>3092</v>
      </c>
      <c r="D90" s="2956" t="s">
        <v>3093</v>
      </c>
      <c r="E90" s="2956" t="s">
        <v>3123</v>
      </c>
      <c r="F90" s="554"/>
      <c r="G90" s="554"/>
      <c r="H90" s="555"/>
      <c r="I90" s="555"/>
      <c r="J90" s="555"/>
      <c r="K90" s="555"/>
      <c r="L90" s="556"/>
      <c r="M90" s="557"/>
      <c r="N90" s="1154"/>
      <c r="O90" s="1154"/>
      <c r="P90" s="2629"/>
      <c r="Q90" s="559"/>
    </row>
    <row r="91" spans="1:17" s="471" customFormat="1" ht="15" thickBot="1">
      <c r="A91" s="553"/>
      <c r="B91" s="543"/>
      <c r="C91" s="560">
        <v>100</v>
      </c>
      <c r="D91" s="560">
        <v>100</v>
      </c>
      <c r="E91" s="560">
        <v>98</v>
      </c>
      <c r="F91" s="560"/>
      <c r="G91" s="560"/>
      <c r="H91" s="562"/>
      <c r="I91" s="562"/>
      <c r="J91" s="562"/>
      <c r="K91" s="562"/>
      <c r="L91" s="562"/>
      <c r="M91" s="563"/>
      <c r="N91" s="1154"/>
      <c r="O91" s="1154"/>
      <c r="P91" s="2629"/>
      <c r="Q91" s="559"/>
    </row>
    <row r="92" spans="1:17" ht="15" thickTop="1">
      <c r="A92" s="534"/>
      <c r="B92" s="538">
        <f>B28</f>
        <v>111</v>
      </c>
      <c r="C92" s="554"/>
      <c r="D92" s="554"/>
      <c r="E92" s="554"/>
      <c r="F92" s="554"/>
      <c r="G92" s="583"/>
      <c r="H92" s="583"/>
      <c r="I92" s="583"/>
      <c r="J92" s="583"/>
      <c r="K92" s="584"/>
      <c r="L92" s="585"/>
      <c r="M92" s="586"/>
      <c r="N92" s="1152"/>
      <c r="O92" s="1152"/>
      <c r="P92" s="2628"/>
      <c r="Q92" s="504"/>
    </row>
    <row r="93" spans="1:17" ht="15" thickBot="1">
      <c r="A93" s="534"/>
      <c r="B93" s="543"/>
      <c r="C93" s="560"/>
      <c r="D93" s="536"/>
      <c r="E93" s="536"/>
      <c r="F93" s="536"/>
      <c r="G93" s="536"/>
      <c r="H93" s="536"/>
      <c r="I93" s="536"/>
      <c r="J93" s="536"/>
      <c r="K93" s="536"/>
      <c r="L93" s="536"/>
      <c r="M93" s="537"/>
      <c r="N93" s="1153"/>
      <c r="O93" s="1153"/>
      <c r="P93" s="2628"/>
      <c r="Q93" s="504"/>
    </row>
    <row r="94" spans="1:17" ht="15" thickTop="1">
      <c r="A94" s="534"/>
      <c r="B94" s="538">
        <f>B29</f>
        <v>111</v>
      </c>
      <c r="C94" s="554"/>
      <c r="D94" s="554"/>
      <c r="E94" s="554"/>
      <c r="F94" s="554"/>
      <c r="G94" s="583"/>
      <c r="H94" s="583"/>
      <c r="I94" s="583"/>
      <c r="J94" s="583"/>
      <c r="K94" s="584"/>
      <c r="L94" s="585"/>
      <c r="M94" s="586"/>
      <c r="N94" s="1152"/>
      <c r="O94" s="1152"/>
      <c r="P94" s="2628"/>
      <c r="Q94" s="504"/>
    </row>
    <row r="95" spans="1:17" ht="15" thickBot="1">
      <c r="A95" s="534"/>
      <c r="B95" s="543"/>
      <c r="C95" s="560"/>
      <c r="D95" s="560"/>
      <c r="E95" s="560"/>
      <c r="F95" s="560"/>
      <c r="G95" s="536"/>
      <c r="H95" s="536"/>
      <c r="I95" s="536"/>
      <c r="J95" s="536"/>
      <c r="K95" s="536"/>
      <c r="L95" s="536"/>
      <c r="M95" s="537"/>
      <c r="N95" s="1153"/>
      <c r="O95" s="1153"/>
      <c r="P95" s="2628"/>
      <c r="Q95" s="504"/>
    </row>
    <row r="96" spans="1:17" ht="15" thickTop="1">
      <c r="A96" s="534"/>
      <c r="B96" s="538">
        <f>B30</f>
        <v>111</v>
      </c>
      <c r="C96" s="554"/>
      <c r="D96" s="554"/>
      <c r="E96" s="554"/>
      <c r="F96" s="554"/>
      <c r="G96" s="583"/>
      <c r="H96" s="583"/>
      <c r="I96" s="583"/>
      <c r="J96" s="583"/>
      <c r="K96" s="584"/>
      <c r="L96" s="585"/>
      <c r="M96" s="586"/>
      <c r="N96" s="1152"/>
      <c r="O96" s="1152"/>
      <c r="P96" s="2628"/>
      <c r="Q96" s="504"/>
    </row>
    <row r="97" spans="1:17" ht="15" thickBot="1">
      <c r="A97" s="534"/>
      <c r="B97" s="543"/>
      <c r="C97" s="570"/>
      <c r="D97" s="570"/>
      <c r="E97" s="570"/>
      <c r="F97" s="570"/>
      <c r="G97" s="536"/>
      <c r="H97" s="536"/>
      <c r="I97" s="536"/>
      <c r="J97" s="536"/>
      <c r="K97" s="536"/>
      <c r="L97" s="536"/>
      <c r="M97" s="537"/>
      <c r="N97" s="1153"/>
      <c r="O97" s="1153"/>
      <c r="P97" s="2628"/>
      <c r="Q97" s="504"/>
    </row>
    <row r="98" spans="1:17" ht="15" thickTop="1">
      <c r="A98" s="534"/>
      <c r="B98" s="546">
        <f>B31</f>
        <v>111</v>
      </c>
      <c r="C98" s="587"/>
      <c r="D98" s="587"/>
      <c r="E98" s="587"/>
      <c r="F98" s="587"/>
      <c r="G98" s="587"/>
      <c r="H98" s="587"/>
      <c r="I98" s="587"/>
      <c r="J98" s="587"/>
      <c r="K98" s="588"/>
      <c r="L98" s="589"/>
      <c r="M98" s="590"/>
      <c r="N98" s="1152"/>
      <c r="O98" s="1152"/>
      <c r="P98" s="2628"/>
      <c r="Q98" s="504"/>
    </row>
    <row r="99" spans="1:17" ht="15" thickBot="1">
      <c r="A99" s="2634"/>
      <c r="B99" s="569"/>
      <c r="C99" s="591"/>
      <c r="D99" s="591"/>
      <c r="E99" s="591"/>
      <c r="F99" s="591"/>
      <c r="G99" s="591"/>
      <c r="H99" s="591"/>
      <c r="I99" s="591"/>
      <c r="J99" s="591"/>
      <c r="K99" s="591"/>
      <c r="L99" s="591"/>
      <c r="M99" s="592"/>
      <c r="N99" s="1153"/>
      <c r="O99" s="1153"/>
      <c r="P99" s="2628"/>
      <c r="Q99" s="504"/>
    </row>
    <row r="100" spans="1:17" ht="15">
      <c r="A100" s="527" t="s">
        <v>2562</v>
      </c>
      <c r="B100" s="528" t="s">
        <v>2610</v>
      </c>
      <c r="C100" s="2955" t="s">
        <v>3103</v>
      </c>
      <c r="D100" s="2955" t="s">
        <v>3104</v>
      </c>
      <c r="E100" s="530"/>
      <c r="F100" s="530"/>
      <c r="G100" s="530"/>
      <c r="H100" s="530"/>
      <c r="I100" s="530"/>
      <c r="J100" s="530"/>
      <c r="K100" s="531"/>
      <c r="L100" s="532"/>
      <c r="M100" s="533"/>
      <c r="N100" s="1152"/>
      <c r="O100" s="1152"/>
      <c r="P100" s="2628"/>
      <c r="Q100" s="504"/>
    </row>
    <row r="101" spans="1:17" ht="1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3"/>
      <c r="O101" s="1153"/>
      <c r="P101" s="2628"/>
      <c r="Q101" s="504"/>
    </row>
    <row r="102" spans="1:17" ht="16" thickTop="1">
      <c r="A102" s="534"/>
      <c r="B102" s="538" t="s">
        <v>2611</v>
      </c>
      <c r="C102" s="578" t="str">
        <f>C103&amp;"(含)"&amp;"-"&amp;D103</f>
        <v>50000(含)-12000</v>
      </c>
      <c r="D102" s="578" t="str">
        <f t="shared" ref="D102:L102" si="23">D103&amp;"(含)"&amp;"-"&amp;E103</f>
        <v>12000(含)-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1"/>
      <c r="O102" s="1151"/>
      <c r="P102" s="2628"/>
      <c r="Q102" s="504"/>
    </row>
    <row r="103" spans="1:17" s="471" customFormat="1">
      <c r="A103" s="593"/>
      <c r="B103" s="594"/>
      <c r="C103" s="595">
        <v>50000</v>
      </c>
      <c r="D103" s="595">
        <v>12000</v>
      </c>
      <c r="E103" s="595"/>
      <c r="F103" s="595"/>
      <c r="G103" s="595"/>
      <c r="H103" s="595"/>
      <c r="I103" s="595"/>
      <c r="J103" s="596"/>
      <c r="K103" s="596"/>
      <c r="L103" s="597"/>
      <c r="M103" s="598"/>
      <c r="N103" s="1154"/>
      <c r="O103" s="1154"/>
      <c r="P103" s="2629"/>
      <c r="Q103" s="559"/>
    </row>
    <row r="104" spans="1:17" s="471" customFormat="1" ht="15" thickBot="1">
      <c r="A104" s="553"/>
      <c r="B104" s="543"/>
      <c r="C104" s="560">
        <v>100</v>
      </c>
      <c r="D104" s="536"/>
      <c r="E104" s="536"/>
      <c r="F104" s="536"/>
      <c r="G104" s="536"/>
      <c r="H104" s="536"/>
      <c r="I104" s="536"/>
      <c r="J104" s="536"/>
      <c r="K104" s="536"/>
      <c r="L104" s="536"/>
      <c r="M104" s="536"/>
      <c r="N104" s="1153"/>
      <c r="O104" s="1153"/>
      <c r="P104" s="2629"/>
      <c r="Q104" s="559"/>
    </row>
    <row r="105" spans="1:17" ht="16" thickTop="1">
      <c r="A105" s="599"/>
      <c r="B105" s="538" t="s">
        <v>2612</v>
      </c>
      <c r="C105" s="2956" t="s">
        <v>3087</v>
      </c>
      <c r="D105" s="554"/>
      <c r="E105" s="583"/>
      <c r="F105" s="583"/>
      <c r="G105" s="583"/>
      <c r="H105" s="583"/>
      <c r="I105" s="583"/>
      <c r="J105" s="583"/>
      <c r="K105" s="584"/>
      <c r="L105" s="585"/>
      <c r="M105" s="586"/>
      <c r="N105" s="1152"/>
      <c r="O105" s="1152"/>
      <c r="P105" s="2628"/>
      <c r="Q105" s="504"/>
    </row>
    <row r="106" spans="1:17" ht="1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3"/>
      <c r="O106" s="1153"/>
      <c r="P106" s="2628"/>
      <c r="Q106" s="504"/>
    </row>
    <row r="107" spans="1:17" ht="16" thickTop="1">
      <c r="A107" s="599"/>
      <c r="B107" s="538" t="s">
        <v>2613</v>
      </c>
      <c r="C107" s="583"/>
      <c r="D107" s="583"/>
      <c r="E107" s="583"/>
      <c r="F107" s="583"/>
      <c r="G107" s="583"/>
      <c r="H107" s="583"/>
      <c r="I107" s="583"/>
      <c r="J107" s="583"/>
      <c r="K107" s="584"/>
      <c r="L107" s="585"/>
      <c r="M107" s="586"/>
      <c r="N107" s="1152"/>
      <c r="O107" s="1152"/>
      <c r="P107" s="2628"/>
      <c r="Q107" s="504"/>
    </row>
    <row r="108" spans="1:17" ht="1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3"/>
      <c r="O108" s="1153"/>
      <c r="P108" s="2628"/>
      <c r="Q108" s="504"/>
    </row>
    <row r="109" spans="1:17" ht="16" thickTop="1">
      <c r="A109" s="599"/>
      <c r="B109" s="538" t="s">
        <v>2614</v>
      </c>
      <c r="C109" s="2956" t="s">
        <v>3094</v>
      </c>
      <c r="D109" s="554"/>
      <c r="E109" s="554"/>
      <c r="F109" s="583"/>
      <c r="G109" s="583"/>
      <c r="H109" s="583"/>
      <c r="I109" s="583"/>
      <c r="J109" s="583"/>
      <c r="K109" s="584"/>
      <c r="L109" s="585"/>
      <c r="M109" s="586"/>
      <c r="N109" s="1152"/>
      <c r="O109" s="1152"/>
      <c r="P109" s="2628"/>
      <c r="Q109" s="504"/>
    </row>
    <row r="110" spans="1:17" ht="1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3"/>
      <c r="O110" s="1153"/>
      <c r="P110" s="2628"/>
      <c r="Q110" s="504"/>
    </row>
    <row r="111" spans="1:17" s="471" customFormat="1" ht="16"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6" thickTop="1">
      <c r="A114" s="599"/>
      <c r="B114" s="538" t="s">
        <v>2615</v>
      </c>
      <c r="C114" s="2956" t="s">
        <v>3096</v>
      </c>
      <c r="D114" s="554"/>
      <c r="E114" s="583"/>
      <c r="F114" s="583"/>
      <c r="G114" s="583"/>
      <c r="H114" s="583"/>
      <c r="I114" s="583"/>
      <c r="J114" s="583"/>
      <c r="K114" s="584"/>
      <c r="L114" s="585"/>
      <c r="M114" s="586"/>
      <c r="N114" s="1152"/>
      <c r="O114" s="1152"/>
      <c r="P114" s="2628"/>
      <c r="Q114" s="504"/>
    </row>
    <row r="115" spans="1:17" ht="1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3"/>
      <c r="O115" s="1153"/>
      <c r="P115" s="2628"/>
      <c r="Q115" s="504"/>
    </row>
    <row r="116" spans="1:17" ht="16" thickTop="1">
      <c r="A116" s="599"/>
      <c r="B116" s="538" t="s">
        <v>2616</v>
      </c>
      <c r="C116" s="2956" t="s">
        <v>3097</v>
      </c>
      <c r="D116" s="554"/>
      <c r="E116" s="554"/>
      <c r="F116" s="554"/>
      <c r="G116" s="554"/>
      <c r="H116" s="583"/>
      <c r="I116" s="583"/>
      <c r="J116" s="583"/>
      <c r="K116" s="584"/>
      <c r="L116" s="585"/>
      <c r="M116" s="586"/>
      <c r="N116" s="1152"/>
      <c r="O116" s="1152"/>
      <c r="P116" s="2628"/>
      <c r="Q116" s="504"/>
    </row>
    <row r="117" spans="1:17" ht="1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6" thickTop="1">
      <c r="A118" s="599"/>
      <c r="B118" s="538" t="s">
        <v>2617</v>
      </c>
      <c r="C118" s="2962" t="s">
        <v>3099</v>
      </c>
      <c r="D118" s="583"/>
      <c r="E118" s="583"/>
      <c r="F118" s="583"/>
      <c r="G118" s="583"/>
      <c r="H118" s="583"/>
      <c r="I118" s="583"/>
      <c r="J118" s="583"/>
      <c r="K118" s="584"/>
      <c r="L118" s="585"/>
      <c r="M118" s="586"/>
      <c r="N118" s="1152"/>
      <c r="O118" s="1152"/>
      <c r="P118" s="2628"/>
      <c r="Q118" s="504"/>
    </row>
    <row r="119" spans="1:17" ht="1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3"/>
      <c r="O119" s="1153"/>
      <c r="P119" s="2628"/>
      <c r="Q119" s="504"/>
    </row>
    <row r="120" spans="1:17" s="471" customFormat="1" ht="31" thickTop="1">
      <c r="A120" s="593"/>
      <c r="B120" s="538" t="s">
        <v>2573</v>
      </c>
      <c r="C120" s="554" t="s">
        <v>3071</v>
      </c>
      <c r="D120" s="554"/>
      <c r="E120" s="554"/>
      <c r="F120" s="554"/>
      <c r="G120" s="554"/>
      <c r="H120" s="554"/>
      <c r="I120" s="554"/>
      <c r="J120" s="554"/>
      <c r="K120" s="554"/>
      <c r="L120" s="580"/>
      <c r="M120" s="581"/>
      <c r="N120" s="1154"/>
      <c r="O120" s="1154"/>
      <c r="P120" s="2629"/>
      <c r="Q120" s="559"/>
    </row>
    <row r="121" spans="1:17" s="471" customFormat="1" ht="15" thickBot="1">
      <c r="A121" s="553"/>
      <c r="B121" s="535"/>
      <c r="C121" s="560">
        <v>100</v>
      </c>
      <c r="D121" s="536"/>
      <c r="E121" s="536"/>
      <c r="F121" s="536"/>
      <c r="G121" s="536"/>
      <c r="H121" s="536"/>
      <c r="I121" s="536"/>
      <c r="J121" s="536"/>
      <c r="K121" s="536"/>
      <c r="L121" s="536"/>
      <c r="M121" s="536"/>
      <c r="N121" s="1154"/>
      <c r="O121" s="1154"/>
      <c r="P121" s="2629"/>
      <c r="Q121" s="559"/>
    </row>
    <row r="122" spans="1:17" ht="16" thickTop="1">
      <c r="A122" s="599"/>
      <c r="B122" s="538" t="s">
        <v>2618</v>
      </c>
      <c r="C122" s="2956" t="s">
        <v>3076</v>
      </c>
      <c r="D122" s="2956" t="s">
        <v>3074</v>
      </c>
      <c r="E122" s="2956" t="s">
        <v>3077</v>
      </c>
      <c r="F122" s="583"/>
      <c r="G122" s="583"/>
      <c r="H122" s="583"/>
      <c r="I122" s="583"/>
      <c r="J122" s="583"/>
      <c r="K122" s="584"/>
      <c r="L122" s="585"/>
      <c r="M122" s="586"/>
      <c r="N122" s="1152"/>
      <c r="O122" s="1152"/>
      <c r="P122" s="2628"/>
      <c r="Q122" s="504"/>
    </row>
    <row r="123" spans="1:17" ht="15" thickBot="1">
      <c r="A123" s="534"/>
      <c r="B123" s="543"/>
      <c r="C123" s="544">
        <v>100</v>
      </c>
      <c r="D123" s="544">
        <f t="shared" ref="D123:M123" si="29">C123-$K42</f>
        <v>96</v>
      </c>
      <c r="E123" s="544">
        <f t="shared" si="29"/>
        <v>92</v>
      </c>
      <c r="F123" s="544">
        <f t="shared" si="29"/>
        <v>88</v>
      </c>
      <c r="G123" s="544">
        <f t="shared" si="29"/>
        <v>84</v>
      </c>
      <c r="H123" s="544">
        <f t="shared" si="29"/>
        <v>80</v>
      </c>
      <c r="I123" s="544">
        <f t="shared" si="29"/>
        <v>76</v>
      </c>
      <c r="J123" s="544">
        <f t="shared" si="29"/>
        <v>72</v>
      </c>
      <c r="K123" s="544">
        <f t="shared" si="29"/>
        <v>68</v>
      </c>
      <c r="L123" s="544">
        <f t="shared" si="29"/>
        <v>64</v>
      </c>
      <c r="M123" s="544">
        <f t="shared" si="29"/>
        <v>60</v>
      </c>
      <c r="N123" s="1153"/>
      <c r="O123" s="1153"/>
      <c r="P123" s="2628"/>
      <c r="Q123" s="504"/>
    </row>
    <row r="124" spans="1:17" ht="16"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6" thickTop="1">
      <c r="A126" s="593"/>
      <c r="B126" s="538" t="str">
        <f>B44</f>
        <v>交房时间</v>
      </c>
      <c r="C126" s="2989" t="s">
        <v>3805</v>
      </c>
      <c r="D126" s="2989">
        <v>2020.12</v>
      </c>
      <c r="E126" s="2989" t="s">
        <v>3806</v>
      </c>
      <c r="F126" s="2989"/>
      <c r="G126" s="2989"/>
      <c r="H126" s="555"/>
      <c r="I126" s="555"/>
      <c r="J126" s="555"/>
      <c r="K126" s="555"/>
      <c r="L126" s="556"/>
      <c r="M126" s="557"/>
      <c r="N126" s="1154"/>
      <c r="O126" s="1154"/>
      <c r="P126" s="2629"/>
      <c r="Q126" s="559"/>
    </row>
    <row r="127" spans="1:17" s="471" customFormat="1" ht="15" thickBot="1">
      <c r="A127" s="553"/>
      <c r="B127" s="543"/>
      <c r="C127" s="560">
        <v>100</v>
      </c>
      <c r="D127" s="536">
        <f>100+9*D132</f>
        <v>103.6</v>
      </c>
      <c r="E127" s="536">
        <f>100-13*D132</f>
        <v>94.8</v>
      </c>
      <c r="F127" s="536"/>
      <c r="G127" s="560"/>
      <c r="H127" s="562"/>
      <c r="I127" s="562"/>
      <c r="J127" s="562"/>
      <c r="K127" s="562"/>
      <c r="L127" s="562"/>
      <c r="M127" s="563"/>
      <c r="N127" s="1154"/>
      <c r="O127" s="1154"/>
      <c r="P127" s="2629"/>
      <c r="Q127" s="559"/>
    </row>
    <row r="128" spans="1:17" ht="16" thickTop="1">
      <c r="A128" s="599"/>
      <c r="B128" s="538" t="str">
        <f>B45</f>
        <v>梯户比</v>
      </c>
      <c r="C128" s="2956" t="s">
        <v>3100</v>
      </c>
      <c r="D128" s="554"/>
      <c r="E128" s="554"/>
      <c r="F128" s="554"/>
      <c r="G128" s="583"/>
      <c r="H128" s="583"/>
      <c r="I128" s="583"/>
      <c r="J128" s="583"/>
      <c r="K128" s="584"/>
      <c r="L128" s="585"/>
      <c r="M128" s="586"/>
      <c r="N128" s="1152"/>
      <c r="O128" s="1152"/>
      <c r="P128" s="2628"/>
      <c r="Q128" s="504"/>
    </row>
    <row r="129" spans="1:17" ht="15" thickBot="1">
      <c r="A129" s="534"/>
      <c r="B129" s="543"/>
      <c r="C129" s="2963">
        <v>100</v>
      </c>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 thickBot="1">
      <c r="A131" s="2634"/>
      <c r="B131" s="569"/>
      <c r="C131" s="570"/>
      <c r="D131" s="570"/>
      <c r="E131" s="570"/>
      <c r="F131" s="570"/>
      <c r="G131" s="591"/>
      <c r="H131" s="591"/>
      <c r="I131" s="591"/>
      <c r="J131" s="591"/>
      <c r="K131" s="591"/>
      <c r="L131" s="591"/>
      <c r="M131" s="592"/>
      <c r="N131" s="1153"/>
      <c r="O131" s="1153"/>
      <c r="P131" s="2628"/>
      <c r="Q131" s="504"/>
    </row>
    <row r="132" spans="1:17">
      <c r="D132" s="403">
        <v>0.4</v>
      </c>
    </row>
    <row r="136" spans="1:17" ht="15" thickBot="1">
      <c r="B136" s="2635" t="s">
        <v>2620</v>
      </c>
    </row>
    <row r="137" spans="1:17" ht="16">
      <c r="B137" s="2636" t="s">
        <v>2621</v>
      </c>
      <c r="C137" s="2637"/>
      <c r="D137" s="2637"/>
      <c r="E137" s="2637"/>
      <c r="F137" s="2637"/>
      <c r="G137" s="2638"/>
      <c r="H137" s="2639"/>
      <c r="I137" s="2640" t="s">
        <v>2622</v>
      </c>
      <c r="J137" s="2637"/>
      <c r="K137" s="2641"/>
    </row>
    <row r="138" spans="1:17" ht="16">
      <c r="B138" s="2642"/>
      <c r="C138" s="146" t="s">
        <v>2623</v>
      </c>
      <c r="D138" s="146" t="s">
        <v>2624</v>
      </c>
      <c r="E138" s="2643" t="s">
        <v>2625</v>
      </c>
      <c r="F138" s="2644" t="s">
        <v>2626</v>
      </c>
      <c r="G138" s="146" t="s">
        <v>2624</v>
      </c>
      <c r="H138" s="147" t="s">
        <v>2625</v>
      </c>
      <c r="I138" s="2645"/>
      <c r="J138" s="146" t="s">
        <v>2627</v>
      </c>
      <c r="K138" s="147" t="s">
        <v>2628</v>
      </c>
    </row>
    <row r="139" spans="1:17" ht="16">
      <c r="B139" s="1084">
        <v>6</v>
      </c>
      <c r="C139" s="1085">
        <v>96</v>
      </c>
      <c r="D139" s="2646" t="s">
        <v>2629</v>
      </c>
      <c r="E139" s="1086">
        <v>100</v>
      </c>
      <c r="F139" s="1087">
        <v>102.5</v>
      </c>
      <c r="G139" s="2646" t="s">
        <v>2629</v>
      </c>
      <c r="H139" s="1088">
        <v>105</v>
      </c>
      <c r="I139" s="2647" t="s">
        <v>2630</v>
      </c>
      <c r="J139" s="1085">
        <v>20</v>
      </c>
      <c r="K139" s="1089">
        <f>C145/(J139-2)</f>
        <v>4.0555555555555553E-3</v>
      </c>
    </row>
    <row r="140" spans="1:17" ht="16">
      <c r="B140" s="1090">
        <v>5</v>
      </c>
      <c r="C140" s="1091">
        <v>100</v>
      </c>
      <c r="D140" s="1091"/>
      <c r="E140" s="1092"/>
      <c r="F140" s="1093">
        <v>102</v>
      </c>
      <c r="G140" s="1091"/>
      <c r="H140" s="1094"/>
      <c r="I140" s="2648" t="s">
        <v>2631</v>
      </c>
      <c r="J140" s="315">
        <f>ROUNDUP((J139-1)/2,0)</f>
        <v>10</v>
      </c>
      <c r="K140" s="1095">
        <v>100</v>
      </c>
    </row>
    <row r="141" spans="1:17" ht="16">
      <c r="B141" s="1090">
        <v>4</v>
      </c>
      <c r="C141" s="1091">
        <v>102</v>
      </c>
      <c r="D141" s="1091"/>
      <c r="E141" s="1092"/>
      <c r="F141" s="1093">
        <v>101.5</v>
      </c>
      <c r="G141" s="1091"/>
      <c r="H141" s="1094"/>
      <c r="I141" s="2648" t="s">
        <v>2632</v>
      </c>
      <c r="J141" s="315">
        <v>1</v>
      </c>
      <c r="K141" s="1096">
        <f>ROUND(100+(J141-J140)*K139*100,1)</f>
        <v>96.4</v>
      </c>
    </row>
    <row r="142" spans="1:17" ht="16">
      <c r="B142" s="1090">
        <v>3</v>
      </c>
      <c r="C142" s="1091">
        <v>103</v>
      </c>
      <c r="D142" s="1091"/>
      <c r="E142" s="1092"/>
      <c r="F142" s="1093">
        <v>101</v>
      </c>
      <c r="G142" s="1091"/>
      <c r="H142" s="1094"/>
      <c r="I142" s="2648" t="s">
        <v>2633</v>
      </c>
      <c r="J142" s="315">
        <f>J139</f>
        <v>20</v>
      </c>
      <c r="K142" s="1097">
        <v>95</v>
      </c>
    </row>
    <row r="143" spans="1:17" ht="16">
      <c r="B143" s="1090">
        <v>2</v>
      </c>
      <c r="C143" s="1091">
        <v>100</v>
      </c>
      <c r="D143" s="1091"/>
      <c r="E143" s="1092"/>
      <c r="F143" s="1093">
        <v>100.5</v>
      </c>
      <c r="G143" s="1091"/>
      <c r="H143" s="1094"/>
      <c r="I143" s="2648" t="s">
        <v>2634</v>
      </c>
      <c r="J143" s="1091">
        <v>15</v>
      </c>
      <c r="K143" s="1096">
        <f>ROUND(100+(J143-J140)*K139*100,1)</f>
        <v>102</v>
      </c>
    </row>
    <row r="144" spans="1:17" ht="16">
      <c r="B144" s="1090">
        <v>1</v>
      </c>
      <c r="C144" s="1091">
        <v>98</v>
      </c>
      <c r="D144" s="2649" t="s">
        <v>2635</v>
      </c>
      <c r="E144" s="1092">
        <v>102</v>
      </c>
      <c r="F144" s="1098">
        <v>100</v>
      </c>
      <c r="G144" s="2649" t="s">
        <v>2635</v>
      </c>
      <c r="H144" s="1094">
        <v>105</v>
      </c>
      <c r="I144" s="2648" t="s">
        <v>2634</v>
      </c>
      <c r="J144" s="1091">
        <v>18</v>
      </c>
      <c r="K144" s="1096">
        <f>ROUND(100+(J144-J140)*K139*100,1)</f>
        <v>103.2</v>
      </c>
    </row>
    <row r="145" spans="2:11" ht="17" thickBot="1">
      <c r="B145" s="2650" t="s">
        <v>2636</v>
      </c>
      <c r="C145" s="1099">
        <f>ROUND(MAX(C139:C144)/MIN(C139:C144)-1,3)</f>
        <v>7.2999999999999995E-2</v>
      </c>
      <c r="D145" s="1100"/>
      <c r="E145" s="1100"/>
      <c r="F145" s="2651" t="s">
        <v>2637</v>
      </c>
      <c r="G145" s="2652"/>
      <c r="H145" s="2653"/>
      <c r="I145" s="2654" t="s">
        <v>2634</v>
      </c>
      <c r="J145" s="1101">
        <v>8</v>
      </c>
      <c r="K145" s="1102">
        <f>ROUND(100+(J145-J140)*K139*100,1)</f>
        <v>99.2</v>
      </c>
    </row>
    <row r="147" spans="2:11">
      <c r="B147" s="2635" t="s">
        <v>2638</v>
      </c>
    </row>
    <row r="148" spans="2:11">
      <c r="B148" s="2635" t="s">
        <v>2639</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zoomScale="90" zoomScaleNormal="90" workbookViewId="0">
      <selection activeCell="F3" sqref="F3"/>
    </sheetView>
  </sheetViews>
  <sheetFormatPr baseColWidth="10" defaultColWidth="9" defaultRowHeight="14"/>
  <cols>
    <col min="1" max="1" width="10.5" style="403" customWidth="1"/>
    <col min="2" max="2" width="15.6640625" style="403" customWidth="1"/>
    <col min="3" max="3" width="15.1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2622"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9" customFormat="1" ht="28.5" customHeight="1" thickBot="1">
      <c r="A1" s="1618" t="s">
        <v>2527</v>
      </c>
      <c r="B1" s="2580" t="s">
        <v>2640</v>
      </c>
      <c r="C1" s="1634" t="s">
        <v>2529</v>
      </c>
      <c r="D1" s="1621"/>
      <c r="E1" s="2655"/>
      <c r="F1" s="2582"/>
      <c r="G1" s="1631" t="s">
        <v>2641</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2326</v>
      </c>
      <c r="B2" s="1418" t="e">
        <f ca="1">IF(C2="——",ROUND(C49*D3/10000,0),ROUND(C49*D3/10000,0)-D2)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2328</v>
      </c>
      <c r="B3" s="609" t="e">
        <f ca="1">IF(C2="——",C49,ROUND(B2*10000/D3,0))</f>
        <v>#DIV/0!</v>
      </c>
      <c r="C3" s="400" t="s">
        <v>2642</v>
      </c>
      <c r="D3" s="399">
        <f>IF(D1="",'数据-汇总表'!E3,SUMIF('数据-汇总表'!$C19:$C33,D1,'数据-汇总表'!$E19:$E33))</f>
        <v>86971.4</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2643</v>
      </c>
      <c r="B4" s="402"/>
      <c r="C4" s="3232" t="s">
        <v>2644</v>
      </c>
      <c r="D4" s="3233"/>
      <c r="E4" s="3234" t="s">
        <v>2645</v>
      </c>
      <c r="F4" s="3235"/>
      <c r="G4" s="3232" t="s">
        <v>2646</v>
      </c>
      <c r="H4" s="3233"/>
      <c r="I4" s="3232" t="s">
        <v>2647</v>
      </c>
      <c r="J4" s="3233"/>
      <c r="K4" s="610" t="s">
        <v>2648</v>
      </c>
      <c r="L4" s="1130"/>
      <c r="M4" s="1131"/>
      <c r="N4" s="1131"/>
      <c r="O4" s="1131"/>
      <c r="P4" s="3236" t="s">
        <v>2649</v>
      </c>
      <c r="Q4" s="3237"/>
      <c r="R4" s="3242" t="s">
        <v>2645</v>
      </c>
      <c r="S4" s="3243"/>
      <c r="T4" s="3242" t="s">
        <v>2646</v>
      </c>
      <c r="U4" s="3243"/>
      <c r="V4" s="3248" t="s">
        <v>2647</v>
      </c>
      <c r="W4" s="3248"/>
      <c r="X4" s="1813"/>
      <c r="Y4" s="3242" t="s">
        <v>2649</v>
      </c>
      <c r="Z4" s="3243"/>
      <c r="AA4" s="3229" t="s">
        <v>2645</v>
      </c>
      <c r="AB4" s="3248" t="s">
        <v>2646</v>
      </c>
      <c r="AC4" s="3229" t="s">
        <v>2647</v>
      </c>
    </row>
    <row r="5" spans="1:29">
      <c r="A5" s="404"/>
      <c r="B5" s="405"/>
      <c r="C5" s="3263" t="s">
        <v>2541</v>
      </c>
      <c r="D5" s="3257"/>
      <c r="E5" s="3264" t="s">
        <v>2542</v>
      </c>
      <c r="F5" s="3262"/>
      <c r="G5" s="3263" t="s">
        <v>2543</v>
      </c>
      <c r="H5" s="3257"/>
      <c r="I5" s="3263" t="s">
        <v>2544</v>
      </c>
      <c r="J5" s="3257"/>
      <c r="K5" s="610"/>
      <c r="L5" s="1130"/>
      <c r="M5" s="1131"/>
      <c r="N5" s="1131"/>
      <c r="O5" s="1131"/>
      <c r="P5" s="3238"/>
      <c r="Q5" s="3239"/>
      <c r="R5" s="3244"/>
      <c r="S5" s="3245"/>
      <c r="T5" s="3244"/>
      <c r="U5" s="3245"/>
      <c r="V5" s="3248"/>
      <c r="W5" s="3248"/>
      <c r="X5" s="1813"/>
      <c r="Y5" s="3244"/>
      <c r="Z5" s="3245"/>
      <c r="AA5" s="3230"/>
      <c r="AB5" s="3248"/>
      <c r="AC5" s="3230"/>
    </row>
    <row r="6" spans="1:29" ht="16" thickBot="1">
      <c r="A6" s="406"/>
      <c r="B6" s="407"/>
      <c r="C6" s="3249" t="s">
        <v>2545</v>
      </c>
      <c r="D6" s="3250"/>
      <c r="E6" s="3259" t="s">
        <v>2545</v>
      </c>
      <c r="F6" s="3260"/>
      <c r="G6" s="3249" t="s">
        <v>2545</v>
      </c>
      <c r="H6" s="3250"/>
      <c r="I6" s="3249" t="s">
        <v>2545</v>
      </c>
      <c r="J6" s="3250"/>
      <c r="K6" s="610" t="s">
        <v>2546</v>
      </c>
      <c r="L6" s="1130"/>
      <c r="M6" s="1131"/>
      <c r="N6" s="1131"/>
      <c r="O6" s="1131"/>
      <c r="P6" s="3240"/>
      <c r="Q6" s="3241"/>
      <c r="R6" s="3244"/>
      <c r="S6" s="3245"/>
      <c r="T6" s="3246"/>
      <c r="U6" s="3247"/>
      <c r="V6" s="3248"/>
      <c r="W6" s="3248"/>
      <c r="X6" s="1813"/>
      <c r="Y6" s="3246"/>
      <c r="Z6" s="3247"/>
      <c r="AA6" s="3231"/>
      <c r="AB6" s="3248"/>
      <c r="AC6" s="3231"/>
    </row>
    <row r="7" spans="1:29" s="117" customFormat="1" ht="16" thickBot="1">
      <c r="A7" s="408" t="s">
        <v>2547</v>
      </c>
      <c r="B7" s="409"/>
      <c r="C7" s="410">
        <f>'数据-取费表'!B2</f>
        <v>43847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53" t="s">
        <v>2548</v>
      </c>
      <c r="Q7" s="3255"/>
      <c r="R7" s="770" t="s">
        <v>17</v>
      </c>
      <c r="S7" s="771">
        <f t="shared" ref="S7:S15" si="0">F7</f>
        <v>0</v>
      </c>
      <c r="T7" s="770" t="s">
        <v>17</v>
      </c>
      <c r="U7" s="771">
        <f t="shared" ref="U7:U15" si="1">H7</f>
        <v>0</v>
      </c>
      <c r="V7" s="770" t="s">
        <v>17</v>
      </c>
      <c r="W7" s="771">
        <f t="shared" ref="W7:W15" si="2">J7</f>
        <v>0</v>
      </c>
      <c r="X7" s="772"/>
      <c r="Y7" s="3253" t="s">
        <v>2548</v>
      </c>
      <c r="Z7" s="3254"/>
      <c r="AA7" s="773" t="e">
        <f>D7/F7</f>
        <v>#DIV/0!</v>
      </c>
      <c r="AB7" s="773" t="e">
        <f>D7/H7</f>
        <v>#DIV/0!</v>
      </c>
      <c r="AC7" s="773" t="e">
        <f>D7/J7</f>
        <v>#DIV/0!</v>
      </c>
    </row>
    <row r="8" spans="1:29" s="117" customFormat="1" ht="16" thickBot="1">
      <c r="A8" s="408" t="s">
        <v>2549</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53" t="s">
        <v>2551</v>
      </c>
      <c r="Q8" s="3254"/>
      <c r="R8" s="770" t="s">
        <v>17</v>
      </c>
      <c r="S8" s="771">
        <f t="shared" si="0"/>
        <v>0</v>
      </c>
      <c r="T8" s="770" t="s">
        <v>17</v>
      </c>
      <c r="U8" s="771">
        <f t="shared" si="1"/>
        <v>0</v>
      </c>
      <c r="V8" s="770" t="s">
        <v>17</v>
      </c>
      <c r="W8" s="771">
        <f t="shared" si="2"/>
        <v>0</v>
      </c>
      <c r="X8" s="772"/>
      <c r="Y8" s="3253" t="s">
        <v>2551</v>
      </c>
      <c r="Z8" s="3254"/>
      <c r="AA8" s="773" t="e">
        <f t="shared" ref="AA8:AA46" si="3">D8/F8</f>
        <v>#DIV/0!</v>
      </c>
      <c r="AB8" s="773" t="e">
        <f t="shared" ref="AB8:AB46" si="4">D8/H8</f>
        <v>#DIV/0!</v>
      </c>
      <c r="AC8" s="773" t="e">
        <f t="shared" ref="AC8:AC46" si="5">D8/J8</f>
        <v>#DIV/0!</v>
      </c>
    </row>
    <row r="9" spans="1:29" s="117" customFormat="1" ht="15">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8" t="s">
        <v>2554</v>
      </c>
      <c r="Q9" s="1795" t="str">
        <f t="shared" ref="Q9:Q15" si="6">B9</f>
        <v>用途</v>
      </c>
      <c r="R9" s="770" t="s">
        <v>17</v>
      </c>
      <c r="S9" s="771">
        <f t="shared" si="0"/>
        <v>100</v>
      </c>
      <c r="T9" s="770" t="s">
        <v>17</v>
      </c>
      <c r="U9" s="771">
        <f t="shared" si="1"/>
        <v>100</v>
      </c>
      <c r="V9" s="770" t="s">
        <v>17</v>
      </c>
      <c r="W9" s="771">
        <f t="shared" si="2"/>
        <v>100</v>
      </c>
      <c r="X9" s="772"/>
      <c r="Y9" s="3037" t="s">
        <v>2555</v>
      </c>
      <c r="Z9" s="55" t="str">
        <f t="shared" ref="Z9:Z15" si="7">Q9</f>
        <v>用途</v>
      </c>
      <c r="AA9" s="773">
        <f t="shared" si="3"/>
        <v>1</v>
      </c>
      <c r="AB9" s="773">
        <f t="shared" si="4"/>
        <v>1</v>
      </c>
      <c r="AC9" s="773">
        <f t="shared" si="5"/>
        <v>1</v>
      </c>
    </row>
    <row r="10" spans="1:29" s="427" customFormat="1" ht="30">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8"/>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6">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8"/>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6">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8"/>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6">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8"/>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7"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8"/>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75">
      <c r="A15" s="440" t="s">
        <v>2558</v>
      </c>
      <c r="B15" s="69" t="s">
        <v>2651</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6" t="s">
        <v>2559</v>
      </c>
      <c r="Q15" s="1810" t="str">
        <f t="shared" si="6"/>
        <v>商业繁华度</v>
      </c>
      <c r="R15" s="774" t="s">
        <v>17</v>
      </c>
      <c r="S15" s="775">
        <f t="shared" si="0"/>
        <v>100</v>
      </c>
      <c r="T15" s="774" t="s">
        <v>17</v>
      </c>
      <c r="U15" s="775">
        <f t="shared" si="1"/>
        <v>100</v>
      </c>
      <c r="V15" s="774" t="s">
        <v>17</v>
      </c>
      <c r="W15" s="775">
        <f t="shared" si="2"/>
        <v>100</v>
      </c>
      <c r="X15" s="1813"/>
      <c r="Y15" s="3219" t="s">
        <v>2559</v>
      </c>
      <c r="Z15" s="1814" t="str">
        <f t="shared" si="7"/>
        <v>商业繁华度</v>
      </c>
      <c r="AA15" s="1811">
        <f t="shared" si="3"/>
        <v>1</v>
      </c>
      <c r="AB15" s="1811">
        <f t="shared" si="4"/>
        <v>1</v>
      </c>
      <c r="AC15" s="1811">
        <f t="shared" si="5"/>
        <v>1</v>
      </c>
    </row>
    <row r="16" spans="1:29" ht="16">
      <c r="A16" s="428"/>
      <c r="B16" s="446"/>
      <c r="C16" s="447"/>
      <c r="D16" s="448"/>
      <c r="E16" s="447"/>
      <c r="F16" s="449"/>
      <c r="G16" s="447"/>
      <c r="H16" s="450"/>
      <c r="I16" s="447"/>
      <c r="J16" s="448"/>
      <c r="K16" s="615"/>
      <c r="L16" s="1140"/>
      <c r="M16" s="1131"/>
      <c r="N16" s="1131"/>
      <c r="O16" s="1131"/>
      <c r="P16" s="3227"/>
      <c r="Q16" s="1810"/>
      <c r="R16" s="774"/>
      <c r="S16" s="775"/>
      <c r="T16" s="774"/>
      <c r="U16" s="775"/>
      <c r="V16" s="774"/>
      <c r="W16" s="775"/>
      <c r="X16" s="1813"/>
      <c r="Y16" s="3220"/>
      <c r="Z16" s="1814"/>
      <c r="AA16" s="1811">
        <v>1</v>
      </c>
      <c r="AB16" s="1811">
        <v>1</v>
      </c>
      <c r="AC16" s="1811">
        <v>1</v>
      </c>
    </row>
    <row r="17" spans="1:29" ht="120">
      <c r="A17" s="428"/>
      <c r="B17" s="451" t="s">
        <v>2095</v>
      </c>
      <c r="C17" s="2605" t="str">
        <f>估价对象房地状况!C6</f>
        <v>估价对象周边有开发区3路、快速直达专线181路、578路多条公交线路，距地铁8号线（瀛海站）约4公里，综合评价交通便捷度一般。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7"/>
      <c r="Q17" s="1810" t="str">
        <f>B17</f>
        <v>交通便捷度</v>
      </c>
      <c r="R17" s="774" t="s">
        <v>17</v>
      </c>
      <c r="S17" s="775">
        <f>F17</f>
        <v>100</v>
      </c>
      <c r="T17" s="774" t="s">
        <v>17</v>
      </c>
      <c r="U17" s="775">
        <f>H17</f>
        <v>100</v>
      </c>
      <c r="V17" s="774" t="s">
        <v>17</v>
      </c>
      <c r="W17" s="775">
        <f>J17</f>
        <v>100</v>
      </c>
      <c r="X17" s="1813"/>
      <c r="Y17" s="3220"/>
      <c r="Z17" s="1814" t="str">
        <f>Q17</f>
        <v>交通便捷度</v>
      </c>
      <c r="AA17" s="1811">
        <f t="shared" si="3"/>
        <v>1</v>
      </c>
      <c r="AB17" s="1811">
        <f t="shared" si="4"/>
        <v>1</v>
      </c>
      <c r="AC17" s="1811">
        <f t="shared" si="5"/>
        <v>1</v>
      </c>
    </row>
    <row r="18" spans="1:29" ht="16">
      <c r="A18" s="428"/>
      <c r="B18" s="456"/>
      <c r="C18" s="2606"/>
      <c r="D18" s="450"/>
      <c r="E18" s="2608"/>
      <c r="F18" s="453"/>
      <c r="G18" s="2607"/>
      <c r="H18" s="448"/>
      <c r="I18" s="2608"/>
      <c r="J18" s="448"/>
      <c r="K18" s="615"/>
      <c r="L18" s="1140"/>
      <c r="M18" s="1131"/>
      <c r="N18" s="1131"/>
      <c r="O18" s="1131"/>
      <c r="P18" s="3227"/>
      <c r="Q18" s="1810"/>
      <c r="R18" s="774"/>
      <c r="S18" s="775"/>
      <c r="T18" s="774"/>
      <c r="U18" s="775"/>
      <c r="V18" s="774"/>
      <c r="W18" s="775"/>
      <c r="X18" s="1813"/>
      <c r="Y18" s="3220"/>
      <c r="Z18" s="1814"/>
      <c r="AA18" s="1811">
        <v>1</v>
      </c>
      <c r="AB18" s="1811">
        <v>1</v>
      </c>
      <c r="AC18" s="1811">
        <v>1</v>
      </c>
    </row>
    <row r="19" spans="1:29" ht="45">
      <c r="A19" s="428"/>
      <c r="B19" s="451" t="s">
        <v>2652</v>
      </c>
      <c r="C19" s="2605"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7"/>
      <c r="Q19" s="1810" t="str">
        <f>B19</f>
        <v>公共配套设施</v>
      </c>
      <c r="R19" s="774" t="s">
        <v>17</v>
      </c>
      <c r="S19" s="775">
        <f>F19</f>
        <v>100</v>
      </c>
      <c r="T19" s="774" t="s">
        <v>17</v>
      </c>
      <c r="U19" s="775">
        <f>H19</f>
        <v>100</v>
      </c>
      <c r="V19" s="774" t="s">
        <v>17</v>
      </c>
      <c r="W19" s="775">
        <f>J19</f>
        <v>100</v>
      </c>
      <c r="X19" s="1813"/>
      <c r="Y19" s="3220"/>
      <c r="Z19" s="1814" t="str">
        <f>Q19</f>
        <v>公共配套设施</v>
      </c>
      <c r="AA19" s="1811">
        <f t="shared" si="3"/>
        <v>1</v>
      </c>
      <c r="AB19" s="1811">
        <f t="shared" si="4"/>
        <v>1</v>
      </c>
      <c r="AC19" s="1811">
        <f t="shared" si="5"/>
        <v>1</v>
      </c>
    </row>
    <row r="20" spans="1:29" ht="16">
      <c r="A20" s="428"/>
      <c r="B20" s="456"/>
      <c r="C20" s="447"/>
      <c r="D20" s="448"/>
      <c r="E20" s="2603"/>
      <c r="F20" s="449"/>
      <c r="G20" s="2602"/>
      <c r="H20" s="448"/>
      <c r="I20" s="2603"/>
      <c r="J20" s="448"/>
      <c r="K20" s="615"/>
      <c r="L20" s="1140"/>
      <c r="M20" s="1131"/>
      <c r="N20" s="1131"/>
      <c r="O20" s="1131"/>
      <c r="P20" s="3227"/>
      <c r="Q20" s="1810"/>
      <c r="R20" s="774"/>
      <c r="S20" s="775"/>
      <c r="T20" s="774"/>
      <c r="U20" s="775"/>
      <c r="V20" s="774"/>
      <c r="W20" s="775"/>
      <c r="X20" s="1813"/>
      <c r="Y20" s="3220"/>
      <c r="Z20" s="1814"/>
      <c r="AA20" s="1811">
        <v>1</v>
      </c>
      <c r="AB20" s="1811">
        <v>1</v>
      </c>
      <c r="AC20" s="1811">
        <v>1</v>
      </c>
    </row>
    <row r="21" spans="1:29" ht="16">
      <c r="A21" s="428"/>
      <c r="B21" s="1384" t="s">
        <v>2653</v>
      </c>
      <c r="C21" s="2605"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7"/>
      <c r="Q21" s="1810" t="str">
        <f>B21</f>
        <v>基础设施水平</v>
      </c>
      <c r="R21" s="774" t="s">
        <v>17</v>
      </c>
      <c r="S21" s="775">
        <f>F21</f>
        <v>100</v>
      </c>
      <c r="T21" s="774" t="s">
        <v>17</v>
      </c>
      <c r="U21" s="775">
        <f>H21</f>
        <v>100</v>
      </c>
      <c r="V21" s="774" t="s">
        <v>17</v>
      </c>
      <c r="W21" s="775">
        <f>J21</f>
        <v>100</v>
      </c>
      <c r="X21" s="1813"/>
      <c r="Y21" s="3220"/>
      <c r="Z21" s="1814" t="str">
        <f>Q21</f>
        <v>基础设施水平</v>
      </c>
      <c r="AA21" s="1811">
        <f>D21/F21</f>
        <v>1</v>
      </c>
      <c r="AB21" s="1811">
        <f>D21/H21</f>
        <v>1</v>
      </c>
      <c r="AC21" s="1811">
        <f>D21/J21</f>
        <v>1</v>
      </c>
    </row>
    <row r="22" spans="1:29" ht="16">
      <c r="A22" s="428"/>
      <c r="B22" s="1384"/>
      <c r="C22" s="2606"/>
      <c r="D22" s="448"/>
      <c r="E22" s="447"/>
      <c r="F22" s="449"/>
      <c r="G22" s="447"/>
      <c r="H22" s="448"/>
      <c r="I22" s="447"/>
      <c r="J22" s="448"/>
      <c r="K22" s="1383"/>
      <c r="L22" s="1140"/>
      <c r="M22" s="1131"/>
      <c r="N22" s="1131"/>
      <c r="O22" s="1131"/>
      <c r="P22" s="3227"/>
      <c r="Q22" s="1810"/>
      <c r="R22" s="774"/>
      <c r="S22" s="775"/>
      <c r="T22" s="774"/>
      <c r="U22" s="775"/>
      <c r="V22" s="774"/>
      <c r="W22" s="775"/>
      <c r="X22" s="1813"/>
      <c r="Y22" s="3220"/>
      <c r="Z22" s="1814"/>
      <c r="AA22" s="1811">
        <v>1</v>
      </c>
      <c r="AB22" s="1811">
        <v>1</v>
      </c>
      <c r="AC22" s="1811">
        <v>1</v>
      </c>
    </row>
    <row r="23" spans="1:29" ht="120">
      <c r="A23" s="428"/>
      <c r="B23" s="451" t="s">
        <v>2100</v>
      </c>
      <c r="C23" s="2662" t="str">
        <f>估价对象房地状况!C9</f>
        <v>区域自然环境：体育公园、南海子公园、凉水河；人文环境：北京电子科技职业学院(亦庄校区)；综合评价环境状况一般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7"/>
      <c r="Q23" s="1810" t="str">
        <f>B23</f>
        <v>自然及人文环境</v>
      </c>
      <c r="R23" s="774" t="s">
        <v>17</v>
      </c>
      <c r="S23" s="775">
        <f>F23</f>
        <v>100</v>
      </c>
      <c r="T23" s="774" t="s">
        <v>17</v>
      </c>
      <c r="U23" s="775">
        <f>H23</f>
        <v>100</v>
      </c>
      <c r="V23" s="774" t="s">
        <v>17</v>
      </c>
      <c r="W23" s="775">
        <f>J23</f>
        <v>100</v>
      </c>
      <c r="X23" s="1813"/>
      <c r="Y23" s="3220"/>
      <c r="Z23" s="1814" t="str">
        <f>Q23</f>
        <v>自然及人文环境</v>
      </c>
      <c r="AA23" s="1811">
        <f t="shared" si="3"/>
        <v>1</v>
      </c>
      <c r="AB23" s="1811">
        <f t="shared" si="4"/>
        <v>1</v>
      </c>
      <c r="AC23" s="1811">
        <f t="shared" si="5"/>
        <v>1</v>
      </c>
    </row>
    <row r="24" spans="1:29" ht="16">
      <c r="A24" s="428"/>
      <c r="B24" s="456"/>
      <c r="C24" s="447"/>
      <c r="D24" s="448"/>
      <c r="E24" s="2603"/>
      <c r="F24" s="449"/>
      <c r="G24" s="2602"/>
      <c r="H24" s="448"/>
      <c r="I24" s="2603"/>
      <c r="J24" s="448"/>
      <c r="K24" s="615"/>
      <c r="L24" s="1140"/>
      <c r="M24" s="1131"/>
      <c r="N24" s="1131"/>
      <c r="O24" s="1131"/>
      <c r="P24" s="3227"/>
      <c r="Q24" s="1810"/>
      <c r="R24" s="774"/>
      <c r="S24" s="775"/>
      <c r="T24" s="774"/>
      <c r="U24" s="775"/>
      <c r="V24" s="774"/>
      <c r="W24" s="775"/>
      <c r="X24" s="1813"/>
      <c r="Y24" s="3220"/>
      <c r="Z24" s="1814"/>
      <c r="AA24" s="1811">
        <v>1</v>
      </c>
      <c r="AB24" s="1811">
        <v>1</v>
      </c>
      <c r="AC24" s="1811">
        <v>1</v>
      </c>
    </row>
    <row r="25" spans="1:29" ht="16">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7"/>
      <c r="Q25" s="1810" t="str">
        <f t="shared" ref="Q25:Q46" si="8">B25</f>
        <v>临街状况</v>
      </c>
      <c r="R25" s="774" t="s">
        <v>17</v>
      </c>
      <c r="S25" s="775">
        <f>F25</f>
        <v>100</v>
      </c>
      <c r="T25" s="774" t="s">
        <v>17</v>
      </c>
      <c r="U25" s="775">
        <f>H25</f>
        <v>100</v>
      </c>
      <c r="V25" s="774" t="s">
        <v>17</v>
      </c>
      <c r="W25" s="775">
        <f>J25</f>
        <v>100</v>
      </c>
      <c r="X25" s="1813"/>
      <c r="Y25" s="3220"/>
      <c r="Z25" s="1814" t="str">
        <f>Q25</f>
        <v>临街状况</v>
      </c>
      <c r="AA25" s="1811">
        <f t="shared" si="3"/>
        <v>1</v>
      </c>
      <c r="AB25" s="1811">
        <f t="shared" si="4"/>
        <v>1</v>
      </c>
      <c r="AC25" s="1811">
        <f t="shared" si="5"/>
        <v>1</v>
      </c>
    </row>
    <row r="26" spans="1:29" ht="16">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7"/>
      <c r="Q26" s="1810" t="str">
        <f t="shared" si="8"/>
        <v>平面位置/可视性</v>
      </c>
      <c r="R26" s="774" t="s">
        <v>17</v>
      </c>
      <c r="S26" s="775">
        <f>F26</f>
        <v>100</v>
      </c>
      <c r="T26" s="774" t="s">
        <v>17</v>
      </c>
      <c r="U26" s="775">
        <f>H26</f>
        <v>100</v>
      </c>
      <c r="V26" s="774" t="s">
        <v>17</v>
      </c>
      <c r="W26" s="775">
        <f>J26</f>
        <v>100</v>
      </c>
      <c r="X26" s="1813"/>
      <c r="Y26" s="3220"/>
      <c r="Z26" s="1814" t="str">
        <f>Q26</f>
        <v>平面位置/可视性</v>
      </c>
      <c r="AA26" s="1811">
        <f t="shared" si="3"/>
        <v>1</v>
      </c>
      <c r="AB26" s="1811">
        <f t="shared" si="4"/>
        <v>1</v>
      </c>
      <c r="AC26" s="1811">
        <f t="shared" si="5"/>
        <v>1</v>
      </c>
    </row>
    <row r="27" spans="1:29" s="117" customFormat="1" ht="16">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27"/>
      <c r="Q27" s="1795" t="str">
        <f t="shared" si="8"/>
        <v>人流量</v>
      </c>
      <c r="R27" s="770" t="s">
        <v>17</v>
      </c>
      <c r="S27" s="771">
        <f>F27</f>
        <v>100</v>
      </c>
      <c r="T27" s="770" t="s">
        <v>17</v>
      </c>
      <c r="U27" s="771">
        <f>H27</f>
        <v>100</v>
      </c>
      <c r="V27" s="770" t="s">
        <v>17</v>
      </c>
      <c r="W27" s="771">
        <f>J27</f>
        <v>100</v>
      </c>
      <c r="X27" s="772"/>
      <c r="Y27" s="3220"/>
      <c r="Z27" s="55" t="str">
        <f>Q27</f>
        <v>人流量</v>
      </c>
      <c r="AA27" s="1811">
        <f>D27/F27</f>
        <v>1</v>
      </c>
      <c r="AB27" s="1811">
        <f>D27/H27</f>
        <v>1</v>
      </c>
      <c r="AC27" s="1811">
        <f>D27/J27</f>
        <v>1</v>
      </c>
    </row>
    <row r="28" spans="1:29" ht="16">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7"/>
      <c r="Q28" s="1810" t="str">
        <f t="shared" si="8"/>
        <v>楼层</v>
      </c>
      <c r="R28" s="774" t="s">
        <v>17</v>
      </c>
      <c r="S28" s="775">
        <f t="shared" ref="S28:S46" si="9">F28</f>
        <v>100</v>
      </c>
      <c r="T28" s="774" t="s">
        <v>17</v>
      </c>
      <c r="U28" s="775">
        <f t="shared" ref="U28:U46" si="10">H28</f>
        <v>100</v>
      </c>
      <c r="V28" s="774" t="s">
        <v>17</v>
      </c>
      <c r="W28" s="775">
        <f t="shared" ref="W28:W46" si="11">J28</f>
        <v>100</v>
      </c>
      <c r="X28" s="1813"/>
      <c r="Y28" s="3220"/>
      <c r="Z28" s="1814" t="str">
        <f t="shared" ref="Z28:Z46" si="12">Q28</f>
        <v>楼层</v>
      </c>
      <c r="AA28" s="1811">
        <f t="shared" si="3"/>
        <v>1</v>
      </c>
      <c r="AB28" s="1811">
        <f t="shared" si="4"/>
        <v>1</v>
      </c>
      <c r="AC28" s="1811">
        <f t="shared" si="5"/>
        <v>1</v>
      </c>
    </row>
    <row r="29" spans="1:29" ht="16">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7"/>
      <c r="Q29" s="1810">
        <f t="shared" si="8"/>
        <v>111</v>
      </c>
      <c r="R29" s="774" t="s">
        <v>17</v>
      </c>
      <c r="S29" s="775">
        <f t="shared" si="9"/>
        <v>100</v>
      </c>
      <c r="T29" s="774" t="s">
        <v>17</v>
      </c>
      <c r="U29" s="775">
        <f t="shared" si="10"/>
        <v>100</v>
      </c>
      <c r="V29" s="774" t="s">
        <v>17</v>
      </c>
      <c r="W29" s="775">
        <f t="shared" si="11"/>
        <v>100</v>
      </c>
      <c r="X29" s="1813"/>
      <c r="Y29" s="3220"/>
      <c r="Z29" s="1814">
        <f t="shared" si="12"/>
        <v>111</v>
      </c>
      <c r="AA29" s="1811">
        <f t="shared" si="3"/>
        <v>1</v>
      </c>
      <c r="AB29" s="1811">
        <f t="shared" si="4"/>
        <v>1</v>
      </c>
      <c r="AC29" s="1811">
        <f t="shared" si="5"/>
        <v>1</v>
      </c>
    </row>
    <row r="30" spans="1:29" ht="16">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7"/>
      <c r="Q30" s="1810">
        <f t="shared" si="8"/>
        <v>111</v>
      </c>
      <c r="R30" s="774" t="s">
        <v>17</v>
      </c>
      <c r="S30" s="775">
        <f t="shared" si="9"/>
        <v>100</v>
      </c>
      <c r="T30" s="774" t="s">
        <v>17</v>
      </c>
      <c r="U30" s="775">
        <f t="shared" si="10"/>
        <v>100</v>
      </c>
      <c r="V30" s="774" t="s">
        <v>17</v>
      </c>
      <c r="W30" s="775">
        <f t="shared" si="11"/>
        <v>100</v>
      </c>
      <c r="X30" s="1813"/>
      <c r="Y30" s="3220"/>
      <c r="Z30" s="1814">
        <f t="shared" si="12"/>
        <v>111</v>
      </c>
      <c r="AA30" s="1811">
        <f t="shared" si="3"/>
        <v>1</v>
      </c>
      <c r="AB30" s="1811">
        <f t="shared" si="4"/>
        <v>1</v>
      </c>
      <c r="AC30" s="1811">
        <f t="shared" si="5"/>
        <v>1</v>
      </c>
    </row>
    <row r="31" spans="1:29" ht="17"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7"/>
      <c r="Q31" s="1810">
        <f t="shared" si="8"/>
        <v>111</v>
      </c>
      <c r="R31" s="774" t="s">
        <v>17</v>
      </c>
      <c r="S31" s="775">
        <f t="shared" si="9"/>
        <v>100</v>
      </c>
      <c r="T31" s="774" t="s">
        <v>17</v>
      </c>
      <c r="U31" s="775">
        <f t="shared" si="10"/>
        <v>100</v>
      </c>
      <c r="V31" s="774" t="s">
        <v>17</v>
      </c>
      <c r="W31" s="775">
        <f t="shared" si="11"/>
        <v>100</v>
      </c>
      <c r="X31" s="1813"/>
      <c r="Y31" s="3220"/>
      <c r="Z31" s="1814">
        <f t="shared" si="12"/>
        <v>111</v>
      </c>
      <c r="AA31" s="1811">
        <f t="shared" si="3"/>
        <v>1</v>
      </c>
      <c r="AB31" s="1811">
        <f t="shared" si="4"/>
        <v>1</v>
      </c>
      <c r="AC31" s="1811">
        <f t="shared" si="5"/>
        <v>1</v>
      </c>
    </row>
    <row r="32" spans="1:29" ht="16">
      <c r="A32" s="440" t="s">
        <v>2562</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21" t="s">
        <v>2564</v>
      </c>
      <c r="Q32" s="1810" t="str">
        <f t="shared" si="8"/>
        <v>商业类型</v>
      </c>
      <c r="R32" s="774" t="s">
        <v>17</v>
      </c>
      <c r="S32" s="775">
        <f t="shared" si="9"/>
        <v>100</v>
      </c>
      <c r="T32" s="774" t="s">
        <v>17</v>
      </c>
      <c r="U32" s="775">
        <f t="shared" si="10"/>
        <v>100</v>
      </c>
      <c r="V32" s="774" t="s">
        <v>17</v>
      </c>
      <c r="W32" s="775">
        <f t="shared" si="11"/>
        <v>100</v>
      </c>
      <c r="X32" s="1813"/>
      <c r="Y32" s="3224" t="s">
        <v>2564</v>
      </c>
      <c r="Z32" s="1814" t="str">
        <f t="shared" si="12"/>
        <v>商业类型</v>
      </c>
      <c r="AA32" s="1811">
        <f t="shared" si="3"/>
        <v>1</v>
      </c>
      <c r="AB32" s="1811">
        <f t="shared" si="4"/>
        <v>1</v>
      </c>
      <c r="AC32" s="1811">
        <f t="shared" si="5"/>
        <v>1</v>
      </c>
    </row>
    <row r="33" spans="1:29" s="471" customFormat="1" ht="16">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2"/>
      <c r="Q33" s="776" t="str">
        <f t="shared" si="8"/>
        <v>项目建筑规模</v>
      </c>
      <c r="R33" s="777" t="s">
        <v>17</v>
      </c>
      <c r="S33" s="778" t="e">
        <f t="shared" si="9"/>
        <v>#N/A</v>
      </c>
      <c r="T33" s="777" t="s">
        <v>17</v>
      </c>
      <c r="U33" s="778" t="e">
        <f t="shared" si="10"/>
        <v>#N/A</v>
      </c>
      <c r="V33" s="777" t="s">
        <v>17</v>
      </c>
      <c r="W33" s="778" t="e">
        <f t="shared" si="11"/>
        <v>#N/A</v>
      </c>
      <c r="X33" s="779"/>
      <c r="Y33" s="3224"/>
      <c r="Z33" s="780" t="str">
        <f t="shared" si="12"/>
        <v>项目建筑规模</v>
      </c>
      <c r="AA33" s="1811" t="e">
        <f t="shared" si="3"/>
        <v>#N/A</v>
      </c>
      <c r="AB33" s="1811" t="e">
        <f t="shared" si="4"/>
        <v>#N/A</v>
      </c>
      <c r="AC33" s="1811" t="e">
        <f t="shared" si="5"/>
        <v>#N/A</v>
      </c>
    </row>
    <row r="34" spans="1:29" ht="16">
      <c r="A34" s="472"/>
      <c r="B34" s="422" t="s">
        <v>2566</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22"/>
      <c r="Q34" s="1810" t="str">
        <f t="shared" si="8"/>
        <v>建筑结构</v>
      </c>
      <c r="R34" s="774" t="s">
        <v>17</v>
      </c>
      <c r="S34" s="775">
        <f t="shared" si="9"/>
        <v>100</v>
      </c>
      <c r="T34" s="774" t="s">
        <v>17</v>
      </c>
      <c r="U34" s="775">
        <f t="shared" si="10"/>
        <v>100</v>
      </c>
      <c r="V34" s="774" t="s">
        <v>17</v>
      </c>
      <c r="W34" s="775">
        <f t="shared" si="11"/>
        <v>100</v>
      </c>
      <c r="X34" s="1813"/>
      <c r="Y34" s="3224"/>
      <c r="Z34" s="1814" t="str">
        <f t="shared" si="12"/>
        <v>建筑结构</v>
      </c>
      <c r="AA34" s="1811">
        <f t="shared" si="3"/>
        <v>1</v>
      </c>
      <c r="AB34" s="1811">
        <f t="shared" si="4"/>
        <v>1</v>
      </c>
      <c r="AC34" s="1811">
        <f t="shared" si="5"/>
        <v>1</v>
      </c>
    </row>
    <row r="35" spans="1:29" ht="16">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22"/>
      <c r="Q35" s="1810" t="str">
        <f t="shared" si="8"/>
        <v>公共部分装修</v>
      </c>
      <c r="R35" s="774" t="s">
        <v>17</v>
      </c>
      <c r="S35" s="775">
        <f t="shared" si="9"/>
        <v>100</v>
      </c>
      <c r="T35" s="774" t="s">
        <v>17</v>
      </c>
      <c r="U35" s="775">
        <f t="shared" si="10"/>
        <v>100</v>
      </c>
      <c r="V35" s="774" t="s">
        <v>17</v>
      </c>
      <c r="W35" s="775">
        <f t="shared" si="11"/>
        <v>100</v>
      </c>
      <c r="X35" s="1813"/>
      <c r="Y35" s="3224"/>
      <c r="Z35" s="1814" t="str">
        <f t="shared" si="12"/>
        <v>公共部分装修</v>
      </c>
      <c r="AA35" s="1811">
        <f t="shared" si="3"/>
        <v>1</v>
      </c>
      <c r="AB35" s="1811">
        <f t="shared" si="4"/>
        <v>1</v>
      </c>
      <c r="AC35" s="1811">
        <f t="shared" si="5"/>
        <v>1</v>
      </c>
    </row>
    <row r="36" spans="1:29" ht="16">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2"/>
      <c r="Q36" s="1810" t="str">
        <f t="shared" si="8"/>
        <v>成新度</v>
      </c>
      <c r="R36" s="774" t="s">
        <v>17</v>
      </c>
      <c r="S36" s="775" t="e">
        <f t="shared" si="9"/>
        <v>#N/A</v>
      </c>
      <c r="T36" s="774" t="s">
        <v>17</v>
      </c>
      <c r="U36" s="775" t="e">
        <f t="shared" si="10"/>
        <v>#N/A</v>
      </c>
      <c r="V36" s="774" t="s">
        <v>17</v>
      </c>
      <c r="W36" s="775" t="e">
        <f t="shared" si="11"/>
        <v>#N/A</v>
      </c>
      <c r="X36" s="1813"/>
      <c r="Y36" s="3224"/>
      <c r="Z36" s="1814" t="str">
        <f t="shared" si="12"/>
        <v>成新度</v>
      </c>
      <c r="AA36" s="1811" t="e">
        <f t="shared" si="3"/>
        <v>#N/A</v>
      </c>
      <c r="AB36" s="1811" t="e">
        <f t="shared" si="4"/>
        <v>#N/A</v>
      </c>
      <c r="AC36" s="1811" t="e">
        <f t="shared" si="5"/>
        <v>#N/A</v>
      </c>
    </row>
    <row r="37" spans="1:29" s="117" customFormat="1" ht="16">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22"/>
      <c r="Q37" s="1795" t="str">
        <f t="shared" si="8"/>
        <v>市政基础设施</v>
      </c>
      <c r="R37" s="770" t="s">
        <v>17</v>
      </c>
      <c r="S37" s="771">
        <f t="shared" si="9"/>
        <v>100</v>
      </c>
      <c r="T37" s="770" t="s">
        <v>17</v>
      </c>
      <c r="U37" s="771">
        <f t="shared" si="10"/>
        <v>100</v>
      </c>
      <c r="V37" s="770" t="s">
        <v>17</v>
      </c>
      <c r="W37" s="771">
        <f t="shared" si="11"/>
        <v>100</v>
      </c>
      <c r="X37" s="772"/>
      <c r="Y37" s="3224"/>
      <c r="Z37" s="55" t="str">
        <f t="shared" si="12"/>
        <v>市政基础设施</v>
      </c>
      <c r="AA37" s="773">
        <f t="shared" si="3"/>
        <v>1</v>
      </c>
      <c r="AB37" s="773">
        <f t="shared" si="4"/>
        <v>1</v>
      </c>
      <c r="AC37" s="773">
        <f t="shared" si="5"/>
        <v>1</v>
      </c>
    </row>
    <row r="38" spans="1:29" ht="16">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22" t="s">
        <v>2564</v>
      </c>
      <c r="Q38" s="1810" t="str">
        <f t="shared" si="8"/>
        <v>业态</v>
      </c>
      <c r="R38" s="774" t="s">
        <v>17</v>
      </c>
      <c r="S38" s="775">
        <f t="shared" si="9"/>
        <v>100</v>
      </c>
      <c r="T38" s="774" t="s">
        <v>17</v>
      </c>
      <c r="U38" s="775">
        <f t="shared" si="10"/>
        <v>100</v>
      </c>
      <c r="V38" s="774" t="s">
        <v>17</v>
      </c>
      <c r="W38" s="775">
        <f t="shared" si="11"/>
        <v>100</v>
      </c>
      <c r="X38" s="1813"/>
      <c r="Y38" s="3224" t="s">
        <v>2564</v>
      </c>
      <c r="Z38" s="1814" t="str">
        <f t="shared" si="12"/>
        <v>业态</v>
      </c>
      <c r="AA38" s="1811">
        <f t="shared" si="3"/>
        <v>1</v>
      </c>
      <c r="AB38" s="1811">
        <f t="shared" si="4"/>
        <v>1</v>
      </c>
      <c r="AC38" s="1811">
        <f t="shared" si="5"/>
        <v>1</v>
      </c>
    </row>
    <row r="39" spans="1:29" ht="16">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22"/>
      <c r="Q39" s="1810" t="str">
        <f t="shared" si="8"/>
        <v>层高</v>
      </c>
      <c r="R39" s="774" t="s">
        <v>17</v>
      </c>
      <c r="S39" s="775">
        <f t="shared" si="9"/>
        <v>100</v>
      </c>
      <c r="T39" s="774" t="s">
        <v>17</v>
      </c>
      <c r="U39" s="775">
        <f t="shared" si="10"/>
        <v>100</v>
      </c>
      <c r="V39" s="774" t="s">
        <v>17</v>
      </c>
      <c r="W39" s="775">
        <f t="shared" si="11"/>
        <v>100</v>
      </c>
      <c r="X39" s="1813"/>
      <c r="Y39" s="3224"/>
      <c r="Z39" s="1814" t="str">
        <f t="shared" si="12"/>
        <v>层高</v>
      </c>
      <c r="AA39" s="1811">
        <f t="shared" si="3"/>
        <v>1</v>
      </c>
      <c r="AB39" s="1811">
        <f t="shared" si="4"/>
        <v>1</v>
      </c>
      <c r="AC39" s="1811">
        <f t="shared" si="5"/>
        <v>1</v>
      </c>
    </row>
    <row r="40" spans="1:29" ht="16">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2"/>
      <c r="Q40" s="1810" t="str">
        <f t="shared" si="8"/>
        <v>单套建筑面积</v>
      </c>
      <c r="R40" s="774" t="s">
        <v>17</v>
      </c>
      <c r="S40" s="775">
        <f t="shared" si="9"/>
        <v>100</v>
      </c>
      <c r="T40" s="774" t="s">
        <v>17</v>
      </c>
      <c r="U40" s="775">
        <f t="shared" si="10"/>
        <v>100</v>
      </c>
      <c r="V40" s="774" t="s">
        <v>17</v>
      </c>
      <c r="W40" s="775">
        <f t="shared" si="11"/>
        <v>100</v>
      </c>
      <c r="X40" s="1813"/>
      <c r="Y40" s="3224"/>
      <c r="Z40" s="1814" t="str">
        <f t="shared" si="12"/>
        <v>单套建筑面积</v>
      </c>
      <c r="AA40" s="1811">
        <f t="shared" si="3"/>
        <v>1</v>
      </c>
      <c r="AB40" s="1811">
        <f t="shared" si="4"/>
        <v>1</v>
      </c>
      <c r="AC40" s="1811">
        <f t="shared" si="5"/>
        <v>1</v>
      </c>
    </row>
    <row r="41" spans="1:29" s="471" customFormat="1" ht="16">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2"/>
      <c r="Q41" s="776" t="str">
        <f t="shared" si="8"/>
        <v>进深比</v>
      </c>
      <c r="R41" s="777" t="s">
        <v>17</v>
      </c>
      <c r="S41" s="778">
        <f t="shared" si="9"/>
        <v>100</v>
      </c>
      <c r="T41" s="777" t="s">
        <v>17</v>
      </c>
      <c r="U41" s="778">
        <f t="shared" si="10"/>
        <v>100</v>
      </c>
      <c r="V41" s="777" t="s">
        <v>17</v>
      </c>
      <c r="W41" s="778">
        <f t="shared" si="11"/>
        <v>100</v>
      </c>
      <c r="X41" s="779"/>
      <c r="Y41" s="3224"/>
      <c r="Z41" s="780" t="str">
        <f t="shared" si="12"/>
        <v>进深比</v>
      </c>
      <c r="AA41" s="1811">
        <f t="shared" si="3"/>
        <v>1</v>
      </c>
      <c r="AB41" s="1811">
        <f t="shared" si="4"/>
        <v>1</v>
      </c>
      <c r="AC41" s="1811">
        <f t="shared" si="5"/>
        <v>1</v>
      </c>
    </row>
    <row r="42" spans="1:29" ht="16">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22"/>
      <c r="Q42" s="1810" t="str">
        <f t="shared" si="8"/>
        <v>内部装修</v>
      </c>
      <c r="R42" s="774" t="s">
        <v>17</v>
      </c>
      <c r="S42" s="775">
        <f t="shared" si="9"/>
        <v>100</v>
      </c>
      <c r="T42" s="774" t="s">
        <v>17</v>
      </c>
      <c r="U42" s="775">
        <f t="shared" si="10"/>
        <v>100</v>
      </c>
      <c r="V42" s="774" t="s">
        <v>17</v>
      </c>
      <c r="W42" s="775">
        <f t="shared" si="11"/>
        <v>100</v>
      </c>
      <c r="X42" s="1813"/>
      <c r="Y42" s="3224"/>
      <c r="Z42" s="1814" t="str">
        <f t="shared" si="12"/>
        <v>内部装修</v>
      </c>
      <c r="AA42" s="1811">
        <f t="shared" si="3"/>
        <v>1</v>
      </c>
      <c r="AB42" s="1811">
        <f t="shared" si="4"/>
        <v>1</v>
      </c>
      <c r="AC42" s="1811">
        <f t="shared" si="5"/>
        <v>1</v>
      </c>
    </row>
    <row r="43" spans="1:29" ht="16">
      <c r="A43" s="472"/>
      <c r="B43" s="422" t="s">
        <v>2575</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22"/>
      <c r="Q43" s="1810" t="str">
        <f t="shared" si="8"/>
        <v>内部装修维护情况</v>
      </c>
      <c r="R43" s="774" t="s">
        <v>17</v>
      </c>
      <c r="S43" s="775">
        <f t="shared" si="9"/>
        <v>100</v>
      </c>
      <c r="T43" s="774" t="s">
        <v>17</v>
      </c>
      <c r="U43" s="775">
        <f t="shared" si="10"/>
        <v>100</v>
      </c>
      <c r="V43" s="774" t="s">
        <v>17</v>
      </c>
      <c r="W43" s="775">
        <f t="shared" si="11"/>
        <v>100</v>
      </c>
      <c r="X43" s="1813"/>
      <c r="Y43" s="3224"/>
      <c r="Z43" s="1814" t="str">
        <f t="shared" si="12"/>
        <v>内部装修维护情况</v>
      </c>
      <c r="AA43" s="1811">
        <f t="shared" si="3"/>
        <v>1</v>
      </c>
      <c r="AB43" s="1811">
        <f t="shared" si="4"/>
        <v>1</v>
      </c>
      <c r="AC43" s="1811">
        <f t="shared" si="5"/>
        <v>1</v>
      </c>
    </row>
    <row r="44" spans="1:29" s="117" customFormat="1" ht="16">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2"/>
      <c r="Q44" s="1795">
        <f t="shared" si="8"/>
        <v>111</v>
      </c>
      <c r="R44" s="770" t="s">
        <v>17</v>
      </c>
      <c r="S44" s="771">
        <f t="shared" si="9"/>
        <v>100</v>
      </c>
      <c r="T44" s="770" t="s">
        <v>17</v>
      </c>
      <c r="U44" s="771">
        <f t="shared" si="10"/>
        <v>100</v>
      </c>
      <c r="V44" s="770" t="s">
        <v>17</v>
      </c>
      <c r="W44" s="771">
        <f t="shared" si="11"/>
        <v>100</v>
      </c>
      <c r="X44" s="772"/>
      <c r="Y44" s="3224"/>
      <c r="Z44" s="55">
        <f t="shared" si="12"/>
        <v>111</v>
      </c>
      <c r="AA44" s="773">
        <f t="shared" si="3"/>
        <v>1</v>
      </c>
      <c r="AB44" s="773">
        <f t="shared" si="4"/>
        <v>1</v>
      </c>
      <c r="AC44" s="773">
        <f t="shared" si="5"/>
        <v>1</v>
      </c>
    </row>
    <row r="45" spans="1:29" ht="16">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2"/>
      <c r="Q45" s="1810">
        <f t="shared" si="8"/>
        <v>111</v>
      </c>
      <c r="R45" s="774" t="s">
        <v>17</v>
      </c>
      <c r="S45" s="775">
        <f t="shared" si="9"/>
        <v>100</v>
      </c>
      <c r="T45" s="774" t="s">
        <v>17</v>
      </c>
      <c r="U45" s="775">
        <f t="shared" si="10"/>
        <v>100</v>
      </c>
      <c r="V45" s="774" t="s">
        <v>17</v>
      </c>
      <c r="W45" s="775">
        <f t="shared" si="11"/>
        <v>100</v>
      </c>
      <c r="X45" s="1813"/>
      <c r="Y45" s="3224"/>
      <c r="Z45" s="1814">
        <f t="shared" si="12"/>
        <v>111</v>
      </c>
      <c r="AA45" s="1811">
        <f t="shared" si="3"/>
        <v>1</v>
      </c>
      <c r="AB45" s="1811">
        <f t="shared" si="4"/>
        <v>1</v>
      </c>
      <c r="AC45" s="1811">
        <f t="shared" si="5"/>
        <v>1</v>
      </c>
    </row>
    <row r="46" spans="1:29" ht="17"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3"/>
      <c r="Q46" s="1810">
        <f t="shared" si="8"/>
        <v>111</v>
      </c>
      <c r="R46" s="774" t="s">
        <v>17</v>
      </c>
      <c r="S46" s="775">
        <f t="shared" si="9"/>
        <v>100</v>
      </c>
      <c r="T46" s="774" t="s">
        <v>17</v>
      </c>
      <c r="U46" s="775">
        <f t="shared" si="10"/>
        <v>100</v>
      </c>
      <c r="V46" s="774" t="s">
        <v>17</v>
      </c>
      <c r="W46" s="775">
        <f t="shared" si="11"/>
        <v>100</v>
      </c>
      <c r="X46" s="1813"/>
      <c r="Y46" s="3225"/>
      <c r="Z46" s="1814">
        <f t="shared" si="12"/>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17" t="str">
        <f>A47</f>
        <v>成交单价（元/平方米）</v>
      </c>
      <c r="Q47" s="3217"/>
      <c r="R47" s="3248">
        <f>E47</f>
        <v>0</v>
      </c>
      <c r="S47" s="3248"/>
      <c r="T47" s="3248">
        <f>G47</f>
        <v>0</v>
      </c>
      <c r="U47" s="3248"/>
      <c r="V47" s="3248">
        <f>I47</f>
        <v>0</v>
      </c>
      <c r="W47" s="3248"/>
      <c r="X47" s="759"/>
      <c r="Y47" s="781"/>
      <c r="Z47" s="759"/>
      <c r="AA47" s="759"/>
      <c r="AB47" s="759"/>
      <c r="AC47" s="759"/>
    </row>
    <row r="48" spans="1:29" ht="1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 thickBot="1">
      <c r="A49" s="492" t="s">
        <v>2668</v>
      </c>
      <c r="B49" s="493"/>
      <c r="C49" s="1417" t="e">
        <f>R49</f>
        <v>#DIV/0!</v>
      </c>
      <c r="D49" s="1417"/>
      <c r="E49" s="1417"/>
      <c r="F49" s="1417"/>
      <c r="G49" s="1417"/>
      <c r="H49" s="1417"/>
      <c r="I49" s="1417"/>
      <c r="J49" s="1417"/>
      <c r="K49" s="785"/>
      <c r="L49" s="1143"/>
      <c r="M49" s="1144"/>
      <c r="N49" s="1131"/>
      <c r="O49" s="1144"/>
      <c r="P49" s="3214" t="str">
        <f>A49</f>
        <v>估价对象XX用房的比较价值（楼面单价，元/平方米）</v>
      </c>
      <c r="Q49" s="3215"/>
      <c r="R49" s="3216" t="e">
        <f>IF(F1="售价",ROUND(AVERAGE(R48:V48),0),ROUND(AVERAGE(R48:V48),1))</f>
        <v>#DIV/0!</v>
      </c>
      <c r="S49" s="3216"/>
      <c r="T49" s="3216"/>
      <c r="U49" s="3216"/>
      <c r="V49" s="3216"/>
      <c r="W49" s="321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 thickBot="1">
      <c r="A57" s="763" t="s">
        <v>2672</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2547</v>
      </c>
      <c r="B58" s="506"/>
      <c r="C58" s="1574" t="str">
        <f>YEAR(C7)&amp;"-"&amp;MONTH(C7)</f>
        <v>2020-1</v>
      </c>
      <c r="D58" s="1575">
        <f>EDATE(C58,-1)</f>
        <v>43800</v>
      </c>
      <c r="E58" s="1575">
        <f t="shared" ref="E58:N58" si="13">EDATE(D58,-1)</f>
        <v>43770</v>
      </c>
      <c r="F58" s="1575">
        <f t="shared" si="13"/>
        <v>43739</v>
      </c>
      <c r="G58" s="1575">
        <f t="shared" si="13"/>
        <v>43709</v>
      </c>
      <c r="H58" s="1575">
        <f t="shared" si="13"/>
        <v>43678</v>
      </c>
      <c r="I58" s="1575">
        <f t="shared" si="13"/>
        <v>43647</v>
      </c>
      <c r="J58" s="1575">
        <f t="shared" si="13"/>
        <v>43617</v>
      </c>
      <c r="K58" s="1575">
        <f t="shared" si="13"/>
        <v>43586</v>
      </c>
      <c r="L58" s="1575">
        <f t="shared" si="13"/>
        <v>43556</v>
      </c>
      <c r="M58" s="1575">
        <f t="shared" si="13"/>
        <v>43525</v>
      </c>
      <c r="N58" s="1575">
        <f t="shared" si="13"/>
        <v>43497</v>
      </c>
      <c r="O58" s="1575">
        <f>EDATE(N58,-1)</f>
        <v>43466</v>
      </c>
      <c r="P58" s="1570"/>
    </row>
    <row r="59" spans="1:29" s="117" customFormat="1">
      <c r="A59" s="509"/>
      <c r="B59" s="510"/>
      <c r="C59" s="1573">
        <v>100</v>
      </c>
      <c r="D59" s="512"/>
      <c r="E59" s="512"/>
      <c r="F59" s="512"/>
      <c r="G59" s="512"/>
      <c r="H59" s="512"/>
      <c r="I59" s="512"/>
      <c r="J59" s="512"/>
      <c r="K59" s="512"/>
      <c r="L59" s="512"/>
      <c r="M59" s="513"/>
      <c r="N59" s="512"/>
      <c r="O59" s="513"/>
      <c r="P59" s="2626"/>
    </row>
    <row r="60" spans="1:29" s="117" customFormat="1" ht="1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2650</v>
      </c>
      <c r="D61" s="523"/>
      <c r="E61" s="523"/>
      <c r="F61" s="523"/>
      <c r="G61" s="523"/>
      <c r="H61" s="523"/>
      <c r="I61" s="523"/>
      <c r="J61" s="523"/>
      <c r="K61" s="523"/>
      <c r="L61" s="524"/>
      <c r="M61" s="525"/>
      <c r="N61" s="1151"/>
      <c r="O61" s="1151"/>
      <c r="P61" s="2627"/>
      <c r="Q61" s="504"/>
    </row>
    <row r="62" spans="1:29" s="117" customFormat="1" ht="15" thickBot="1">
      <c r="A62" s="521"/>
      <c r="B62" s="510"/>
      <c r="C62" s="511">
        <v>100</v>
      </c>
      <c r="D62" s="512"/>
      <c r="E62" s="512"/>
      <c r="F62" s="512"/>
      <c r="G62" s="512"/>
      <c r="H62" s="512"/>
      <c r="I62" s="512"/>
      <c r="J62" s="512"/>
      <c r="K62" s="512"/>
      <c r="L62" s="512"/>
      <c r="M62" s="514"/>
      <c r="N62" s="1151"/>
      <c r="O62" s="1151"/>
      <c r="P62" s="2626"/>
      <c r="Q62" s="504"/>
    </row>
    <row r="63" spans="1:29" ht="15">
      <c r="A63" s="527" t="s">
        <v>2586</v>
      </c>
      <c r="B63" s="528" t="s">
        <v>2553</v>
      </c>
      <c r="C63" s="529">
        <f>C9</f>
        <v>0</v>
      </c>
      <c r="D63" s="530"/>
      <c r="E63" s="530"/>
      <c r="F63" s="530"/>
      <c r="G63" s="530"/>
      <c r="H63" s="530"/>
      <c r="I63" s="530"/>
      <c r="J63" s="530"/>
      <c r="K63" s="531"/>
      <c r="L63" s="532"/>
      <c r="M63" s="533"/>
      <c r="N63" s="1152"/>
      <c r="O63" s="1152"/>
      <c r="P63" s="2628"/>
      <c r="Q63" s="504"/>
    </row>
    <row r="64" spans="1:29" ht="15" thickBot="1">
      <c r="A64" s="534"/>
      <c r="B64" s="535"/>
      <c r="C64" s="536">
        <v>100</v>
      </c>
      <c r="D64" s="536"/>
      <c r="E64" s="536"/>
      <c r="F64" s="536"/>
      <c r="G64" s="536"/>
      <c r="H64" s="536"/>
      <c r="I64" s="536"/>
      <c r="J64" s="536"/>
      <c r="K64" s="536"/>
      <c r="L64" s="536"/>
      <c r="M64" s="537"/>
      <c r="N64" s="1153"/>
      <c r="O64" s="1153"/>
      <c r="P64" s="2628"/>
      <c r="Q64" s="504"/>
    </row>
    <row r="65" spans="1:17" ht="31" thickTop="1">
      <c r="A65" s="534"/>
      <c r="B65" s="538" t="s">
        <v>2556</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6"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6" thickTop="1">
      <c r="A67" s="534"/>
      <c r="B67" s="546" t="s">
        <v>2557</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3"/>
      <c r="O69" s="1153"/>
      <c r="P69" s="2628"/>
      <c r="Q69" s="504"/>
    </row>
    <row r="70" spans="1:17" s="471" customFormat="1" ht="15" thickTop="1">
      <c r="A70" s="553"/>
      <c r="B70" s="538">
        <f>B12</f>
        <v>111</v>
      </c>
      <c r="C70" s="554"/>
      <c r="D70" s="554"/>
      <c r="E70" s="554"/>
      <c r="F70" s="554"/>
      <c r="G70" s="554"/>
      <c r="H70" s="555"/>
      <c r="I70" s="555"/>
      <c r="J70" s="555"/>
      <c r="K70" s="555"/>
      <c r="L70" s="556"/>
      <c r="M70" s="557"/>
      <c r="N70" s="1154"/>
      <c r="O70" s="1154"/>
      <c r="P70" s="2629"/>
      <c r="Q70" s="559"/>
    </row>
    <row r="71" spans="1:17" s="471" customFormat="1" ht="15" thickBot="1">
      <c r="A71" s="553"/>
      <c r="B71" s="543"/>
      <c r="C71" s="560"/>
      <c r="D71" s="536"/>
      <c r="E71" s="536"/>
      <c r="F71" s="536"/>
      <c r="G71" s="536"/>
      <c r="H71" s="536"/>
      <c r="I71" s="536"/>
      <c r="J71" s="536"/>
      <c r="K71" s="536"/>
      <c r="L71" s="536"/>
      <c r="M71" s="537"/>
      <c r="N71" s="1153"/>
      <c r="O71" s="1153"/>
      <c r="P71" s="2629"/>
      <c r="Q71" s="559"/>
    </row>
    <row r="72" spans="1:17" s="471" customFormat="1" ht="15" thickTop="1">
      <c r="A72" s="553"/>
      <c r="B72" s="538">
        <f>B13</f>
        <v>111</v>
      </c>
      <c r="C72" s="554"/>
      <c r="D72" s="554"/>
      <c r="E72" s="554"/>
      <c r="F72" s="554"/>
      <c r="G72" s="554"/>
      <c r="H72" s="555"/>
      <c r="I72" s="555"/>
      <c r="J72" s="555"/>
      <c r="K72" s="555"/>
      <c r="L72" s="556"/>
      <c r="M72" s="557"/>
      <c r="N72" s="1154"/>
      <c r="O72" s="1154"/>
      <c r="P72" s="2630"/>
      <c r="Q72" s="561"/>
    </row>
    <row r="73" spans="1:17" s="471" customFormat="1" ht="15" thickBot="1">
      <c r="A73" s="553"/>
      <c r="B73" s="543"/>
      <c r="C73" s="560"/>
      <c r="D73" s="536"/>
      <c r="E73" s="536"/>
      <c r="F73" s="536"/>
      <c r="G73" s="560"/>
      <c r="H73" s="562"/>
      <c r="I73" s="562"/>
      <c r="J73" s="562"/>
      <c r="K73" s="562"/>
      <c r="L73" s="562"/>
      <c r="M73" s="563"/>
      <c r="N73" s="1154"/>
      <c r="O73" s="1154"/>
      <c r="P73" s="2629"/>
      <c r="Q73" s="559"/>
    </row>
    <row r="74" spans="1:17" s="471" customFormat="1" ht="15" thickTop="1">
      <c r="A74" s="553"/>
      <c r="B74" s="546">
        <f>B14</f>
        <v>111</v>
      </c>
      <c r="C74" s="554"/>
      <c r="D74" s="554"/>
      <c r="E74" s="554"/>
      <c r="F74" s="554"/>
      <c r="G74" s="523"/>
      <c r="H74" s="564"/>
      <c r="I74" s="564"/>
      <c r="J74" s="564"/>
      <c r="K74" s="564"/>
      <c r="L74" s="565"/>
      <c r="M74" s="566"/>
      <c r="N74" s="1154"/>
      <c r="O74" s="1154"/>
      <c r="P74" s="2631"/>
      <c r="Q74" s="559"/>
    </row>
    <row r="75" spans="1:17" s="471" customFormat="1" ht="15" thickBot="1">
      <c r="A75" s="568"/>
      <c r="B75" s="569"/>
      <c r="C75" s="570"/>
      <c r="D75" s="570"/>
      <c r="E75" s="570"/>
      <c r="F75" s="570"/>
      <c r="G75" s="570"/>
      <c r="H75" s="571"/>
      <c r="I75" s="571"/>
      <c r="J75" s="571"/>
      <c r="K75" s="571"/>
      <c r="L75" s="571"/>
      <c r="M75" s="572"/>
      <c r="N75" s="1154"/>
      <c r="O75" s="1154"/>
      <c r="P75" s="2629"/>
      <c r="Q75" s="559"/>
    </row>
    <row r="76" spans="1:17" ht="15">
      <c r="A76" s="527" t="s">
        <v>2558</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6"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6"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6" thickTop="1">
      <c r="A82" s="534"/>
      <c r="B82" s="546" t="s">
        <v>2653</v>
      </c>
      <c r="C82" s="660" t="s">
        <v>2673</v>
      </c>
      <c r="D82" s="660" t="s">
        <v>2674</v>
      </c>
      <c r="E82" s="660" t="s">
        <v>2675</v>
      </c>
      <c r="F82" s="660" t="s">
        <v>2676</v>
      </c>
      <c r="G82" s="660" t="s">
        <v>2677</v>
      </c>
      <c r="H82" s="539"/>
      <c r="I82" s="539"/>
      <c r="J82" s="539"/>
      <c r="K82" s="539"/>
      <c r="L82" s="539"/>
      <c r="M82" s="1382"/>
      <c r="N82" s="1153"/>
      <c r="O82" s="1153"/>
      <c r="P82" s="2628"/>
      <c r="Q82" s="504"/>
    </row>
    <row r="83" spans="1:17" ht="15" thickBot="1">
      <c r="A83" s="534"/>
      <c r="B83" s="546"/>
      <c r="C83" s="544">
        <v>100</v>
      </c>
      <c r="D83" s="544">
        <f>C83-$K21</f>
        <v>100</v>
      </c>
      <c r="E83" s="544">
        <f>D83-$K21</f>
        <v>100</v>
      </c>
      <c r="F83" s="544">
        <f>E83-$K21</f>
        <v>100</v>
      </c>
      <c r="G83" s="544">
        <f>F83-$K21</f>
        <v>100</v>
      </c>
      <c r="H83" s="660"/>
      <c r="I83" s="660"/>
      <c r="J83" s="660"/>
      <c r="K83" s="660"/>
      <c r="L83" s="660"/>
      <c r="M83" s="450"/>
      <c r="N83" s="1153"/>
      <c r="O83" s="1153"/>
      <c r="P83" s="2628"/>
      <c r="Q83" s="504"/>
    </row>
    <row r="84" spans="1:17" ht="16"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6" thickTop="1">
      <c r="A86" s="579"/>
      <c r="B86" s="538" t="s">
        <v>2678</v>
      </c>
      <c r="C86" s="554"/>
      <c r="D86" s="554"/>
      <c r="E86" s="554"/>
      <c r="F86" s="554"/>
      <c r="G86" s="554"/>
      <c r="H86" s="554"/>
      <c r="I86" s="554"/>
      <c r="J86" s="554"/>
      <c r="K86" s="554"/>
      <c r="L86" s="580"/>
      <c r="M86" s="581"/>
      <c r="N86" s="1151"/>
      <c r="O86" s="1151"/>
      <c r="P86" s="2628"/>
      <c r="Q86" s="504"/>
    </row>
    <row r="87" spans="1:17" s="117" customFormat="1" ht="1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2628"/>
      <c r="Q87" s="504"/>
    </row>
    <row r="88" spans="1:17" s="117" customFormat="1" ht="16"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 thickBot="1">
      <c r="A89" s="579"/>
      <c r="B89" s="543"/>
      <c r="C89" s="560"/>
      <c r="D89" s="536"/>
      <c r="E89" s="536"/>
      <c r="F89" s="536"/>
      <c r="G89" s="536"/>
      <c r="H89" s="536"/>
      <c r="I89" s="536"/>
      <c r="J89" s="536"/>
      <c r="K89" s="536"/>
      <c r="L89" s="536"/>
      <c r="M89" s="536"/>
      <c r="N89" s="1153"/>
      <c r="O89" s="1153"/>
      <c r="P89" s="2628"/>
      <c r="Q89" s="504"/>
    </row>
    <row r="90" spans="1:17" s="471" customFormat="1" ht="16"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4"/>
      <c r="O91" s="1154"/>
      <c r="P91" s="2629"/>
      <c r="Q91" s="559"/>
    </row>
    <row r="92" spans="1:17" ht="16" thickTop="1">
      <c r="A92" s="534"/>
      <c r="B92" s="538" t="str">
        <f>B28</f>
        <v>楼层</v>
      </c>
      <c r="C92" s="554"/>
      <c r="D92" s="554"/>
      <c r="E92" s="554"/>
      <c r="F92" s="554"/>
      <c r="G92" s="554"/>
      <c r="H92" s="554"/>
      <c r="I92" s="554"/>
      <c r="J92" s="554"/>
      <c r="K92" s="554"/>
      <c r="L92" s="580"/>
      <c r="M92" s="581"/>
      <c r="N92" s="1152"/>
      <c r="O92" s="1152"/>
      <c r="P92" s="2628"/>
      <c r="Q92" s="504"/>
    </row>
    <row r="93" spans="1:17" ht="15" thickBot="1">
      <c r="A93" s="534"/>
      <c r="B93" s="543"/>
      <c r="C93" s="536"/>
      <c r="D93" s="536"/>
      <c r="E93" s="536"/>
      <c r="F93" s="536"/>
      <c r="G93" s="536"/>
      <c r="H93" s="536"/>
      <c r="I93" s="536"/>
      <c r="J93" s="536"/>
      <c r="K93" s="536"/>
      <c r="L93" s="536"/>
      <c r="M93" s="537"/>
      <c r="N93" s="1153"/>
      <c r="O93" s="1153"/>
      <c r="P93" s="2628"/>
      <c r="Q93" s="504"/>
    </row>
    <row r="94" spans="1:17" ht="15" thickTop="1">
      <c r="A94" s="534"/>
      <c r="B94" s="538">
        <f>B29</f>
        <v>111</v>
      </c>
      <c r="C94" s="554"/>
      <c r="D94" s="554"/>
      <c r="E94" s="554"/>
      <c r="F94" s="554"/>
      <c r="G94" s="583"/>
      <c r="H94" s="583"/>
      <c r="I94" s="583"/>
      <c r="J94" s="583"/>
      <c r="K94" s="584"/>
      <c r="L94" s="585"/>
      <c r="M94" s="586"/>
      <c r="N94" s="1152"/>
      <c r="O94" s="1152"/>
      <c r="P94" s="2628"/>
      <c r="Q94" s="504"/>
    </row>
    <row r="95" spans="1:17" ht="15" thickBot="1">
      <c r="A95" s="534"/>
      <c r="B95" s="543"/>
      <c r="C95" s="560"/>
      <c r="D95" s="536"/>
      <c r="E95" s="536"/>
      <c r="F95" s="536"/>
      <c r="G95" s="536"/>
      <c r="H95" s="536"/>
      <c r="I95" s="536"/>
      <c r="J95" s="536"/>
      <c r="K95" s="536"/>
      <c r="L95" s="536"/>
      <c r="M95" s="537"/>
      <c r="N95" s="1153"/>
      <c r="O95" s="1153"/>
      <c r="P95" s="2628"/>
      <c r="Q95" s="504"/>
    </row>
    <row r="96" spans="1:17" ht="15" thickTop="1">
      <c r="A96" s="534"/>
      <c r="B96" s="538">
        <f>B30</f>
        <v>111</v>
      </c>
      <c r="C96" s="554"/>
      <c r="D96" s="554"/>
      <c r="E96" s="554"/>
      <c r="F96" s="554"/>
      <c r="G96" s="583"/>
      <c r="H96" s="583"/>
      <c r="I96" s="583"/>
      <c r="J96" s="583"/>
      <c r="K96" s="584"/>
      <c r="L96" s="585"/>
      <c r="M96" s="586"/>
      <c r="N96" s="1152"/>
      <c r="O96" s="1152"/>
      <c r="P96" s="2628"/>
      <c r="Q96" s="504"/>
    </row>
    <row r="97" spans="1:17" ht="15" thickBot="1">
      <c r="A97" s="534"/>
      <c r="B97" s="543"/>
      <c r="C97" s="560"/>
      <c r="D97" s="536"/>
      <c r="E97" s="536"/>
      <c r="F97" s="536"/>
      <c r="G97" s="536"/>
      <c r="H97" s="536"/>
      <c r="I97" s="536"/>
      <c r="J97" s="536"/>
      <c r="K97" s="536"/>
      <c r="L97" s="536"/>
      <c r="M97" s="537"/>
      <c r="N97" s="1153"/>
      <c r="O97" s="1153"/>
      <c r="P97" s="2628"/>
      <c r="Q97" s="504"/>
    </row>
    <row r="98" spans="1:17" ht="15" thickTop="1">
      <c r="A98" s="534"/>
      <c r="B98" s="546">
        <f>B31</f>
        <v>111</v>
      </c>
      <c r="C98" s="554"/>
      <c r="D98" s="554"/>
      <c r="E98" s="554"/>
      <c r="F98" s="554"/>
      <c r="G98" s="587"/>
      <c r="H98" s="587"/>
      <c r="I98" s="587"/>
      <c r="J98" s="587"/>
      <c r="K98" s="588"/>
      <c r="L98" s="589"/>
      <c r="M98" s="590"/>
      <c r="N98" s="1152"/>
      <c r="O98" s="1152"/>
      <c r="P98" s="2628"/>
      <c r="Q98" s="504"/>
    </row>
    <row r="99" spans="1:17" ht="15" thickBot="1">
      <c r="A99" s="2634"/>
      <c r="B99" s="569"/>
      <c r="C99" s="570"/>
      <c r="D99" s="570"/>
      <c r="E99" s="570"/>
      <c r="F99" s="570"/>
      <c r="G99" s="591"/>
      <c r="H99" s="591"/>
      <c r="I99" s="591"/>
      <c r="J99" s="591"/>
      <c r="K99" s="591"/>
      <c r="L99" s="591"/>
      <c r="M99" s="592"/>
      <c r="N99" s="1153"/>
      <c r="O99" s="1153"/>
      <c r="P99" s="2628"/>
      <c r="Q99" s="504"/>
    </row>
    <row r="100" spans="1:17" ht="15">
      <c r="A100" s="527" t="s">
        <v>2562</v>
      </c>
      <c r="B100" s="528" t="s">
        <v>2679</v>
      </c>
      <c r="C100" s="530"/>
      <c r="D100" s="530"/>
      <c r="E100" s="530"/>
      <c r="F100" s="530"/>
      <c r="G100" s="530"/>
      <c r="H100" s="530"/>
      <c r="I100" s="530"/>
      <c r="J100" s="530"/>
      <c r="K100" s="531"/>
      <c r="L100" s="532"/>
      <c r="M100" s="533"/>
      <c r="N100" s="1152"/>
      <c r="O100" s="1152"/>
      <c r="P100" s="2628"/>
      <c r="Q100" s="504"/>
    </row>
    <row r="101" spans="1:17" ht="1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3"/>
      <c r="O101" s="1153"/>
      <c r="P101" s="2628"/>
      <c r="Q101" s="504"/>
    </row>
    <row r="102" spans="1:17" ht="16" thickTop="1">
      <c r="A102" s="534"/>
      <c r="B102" s="538" t="s">
        <v>2611</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 thickBot="1">
      <c r="A104" s="553"/>
      <c r="B104" s="543"/>
      <c r="C104" s="560"/>
      <c r="D104" s="536"/>
      <c r="E104" s="536"/>
      <c r="F104" s="536"/>
      <c r="G104" s="536"/>
      <c r="H104" s="536"/>
      <c r="I104" s="536"/>
      <c r="J104" s="536"/>
      <c r="K104" s="536"/>
      <c r="L104" s="536"/>
      <c r="M104" s="537"/>
      <c r="N104" s="1153"/>
      <c r="O104" s="1153"/>
      <c r="P104" s="2629"/>
      <c r="Q104" s="559"/>
    </row>
    <row r="105" spans="1:17" ht="16" thickTop="1">
      <c r="A105" s="599"/>
      <c r="B105" s="538" t="s">
        <v>2612</v>
      </c>
      <c r="C105" s="554"/>
      <c r="D105" s="554"/>
      <c r="E105" s="583"/>
      <c r="F105" s="583"/>
      <c r="G105" s="583"/>
      <c r="H105" s="583"/>
      <c r="I105" s="583"/>
      <c r="J105" s="583"/>
      <c r="K105" s="584"/>
      <c r="L105" s="585"/>
      <c r="M105" s="586"/>
      <c r="N105" s="1152"/>
      <c r="O105" s="1152"/>
      <c r="P105" s="2628"/>
      <c r="Q105" s="504"/>
    </row>
    <row r="106" spans="1:17" ht="1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3"/>
      <c r="O106" s="1153"/>
      <c r="P106" s="2628"/>
      <c r="Q106" s="504"/>
    </row>
    <row r="107" spans="1:17" ht="16" thickTop="1">
      <c r="A107" s="599"/>
      <c r="B107" s="538" t="s">
        <v>2614</v>
      </c>
      <c r="C107" s="554"/>
      <c r="D107" s="554"/>
      <c r="E107" s="554"/>
      <c r="F107" s="583"/>
      <c r="G107" s="583"/>
      <c r="H107" s="583"/>
      <c r="I107" s="583"/>
      <c r="J107" s="583"/>
      <c r="K107" s="584"/>
      <c r="L107" s="585"/>
      <c r="M107" s="586"/>
      <c r="N107" s="1152"/>
      <c r="O107" s="1152"/>
      <c r="P107" s="2628"/>
      <c r="Q107" s="504"/>
    </row>
    <row r="108" spans="1:17" ht="1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3"/>
      <c r="O108" s="1153"/>
      <c r="P108" s="2628"/>
      <c r="Q108" s="504"/>
    </row>
    <row r="109" spans="1:17" ht="16"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3"/>
      <c r="O111" s="1153"/>
      <c r="P111" s="2628"/>
      <c r="Q111" s="504"/>
    </row>
    <row r="112" spans="1:17" s="471" customFormat="1" ht="16" thickTop="1">
      <c r="A112" s="593"/>
      <c r="B112" s="538" t="s">
        <v>2616</v>
      </c>
      <c r="C112" s="554"/>
      <c r="D112" s="554"/>
      <c r="E112" s="554"/>
      <c r="F112" s="554"/>
      <c r="G112" s="554"/>
      <c r="H112" s="583"/>
      <c r="I112" s="583"/>
      <c r="J112" s="583"/>
      <c r="K112" s="584"/>
      <c r="L112" s="585"/>
      <c r="M112" s="586"/>
      <c r="N112" s="1154"/>
      <c r="O112" s="1154"/>
      <c r="P112" s="2629"/>
      <c r="Q112" s="559"/>
    </row>
    <row r="113" spans="1:17" s="471" customFormat="1" ht="1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4"/>
      <c r="O113" s="1154"/>
      <c r="P113" s="2629"/>
      <c r="Q113" s="559"/>
    </row>
    <row r="114" spans="1:17" ht="16" thickTop="1">
      <c r="A114" s="599"/>
      <c r="B114" s="538" t="s">
        <v>2680</v>
      </c>
      <c r="C114" s="554"/>
      <c r="D114" s="554"/>
      <c r="E114" s="583"/>
      <c r="F114" s="583"/>
      <c r="G114" s="583"/>
      <c r="H114" s="583"/>
      <c r="I114" s="583"/>
      <c r="J114" s="583"/>
      <c r="K114" s="584"/>
      <c r="L114" s="585"/>
      <c r="M114" s="586"/>
      <c r="N114" s="1152"/>
      <c r="O114" s="1152"/>
      <c r="P114" s="2628"/>
      <c r="Q114" s="504"/>
    </row>
    <row r="115" spans="1:17" ht="1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3"/>
      <c r="O115" s="1153"/>
      <c r="P115" s="2628"/>
      <c r="Q115" s="504"/>
    </row>
    <row r="116" spans="1:17" ht="16" thickTop="1">
      <c r="A116" s="599"/>
      <c r="B116" s="538" t="s">
        <v>2681</v>
      </c>
      <c r="C116" s="554"/>
      <c r="D116" s="554"/>
      <c r="E116" s="554"/>
      <c r="F116" s="554"/>
      <c r="G116" s="554"/>
      <c r="H116" s="583"/>
      <c r="I116" s="583"/>
      <c r="J116" s="583"/>
      <c r="K116" s="584"/>
      <c r="L116" s="585"/>
      <c r="M116" s="586"/>
      <c r="N116" s="1152"/>
      <c r="O116" s="1152"/>
      <c r="P116" s="2628"/>
      <c r="Q116" s="504"/>
    </row>
    <row r="117" spans="1:17" ht="1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6" thickTop="1">
      <c r="A118" s="599"/>
      <c r="B118" s="538" t="s">
        <v>2682</v>
      </c>
      <c r="C118" s="627"/>
      <c r="D118" s="627"/>
      <c r="E118" s="627"/>
      <c r="F118" s="627"/>
      <c r="G118" s="627"/>
      <c r="H118" s="555"/>
      <c r="I118" s="555"/>
      <c r="J118" s="555"/>
      <c r="K118" s="555"/>
      <c r="L118" s="556"/>
      <c r="M118" s="557"/>
      <c r="N118" s="1152"/>
      <c r="O118" s="1152"/>
      <c r="P118" s="2628"/>
      <c r="Q118" s="504"/>
    </row>
    <row r="119" spans="1:17" ht="1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6" thickTop="1">
      <c r="A120" s="593"/>
      <c r="B120" s="538" t="s">
        <v>2683</v>
      </c>
      <c r="C120" s="583"/>
      <c r="D120" s="583"/>
      <c r="E120" s="583"/>
      <c r="F120" s="583"/>
      <c r="G120" s="555"/>
      <c r="H120" s="555"/>
      <c r="I120" s="555"/>
      <c r="J120" s="555"/>
      <c r="K120" s="555"/>
      <c r="L120" s="556"/>
      <c r="M120" s="557"/>
      <c r="N120" s="1154"/>
      <c r="O120" s="1154"/>
      <c r="P120" s="2629"/>
      <c r="Q120" s="559"/>
    </row>
    <row r="121" spans="1:17" s="471" customFormat="1" ht="1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4"/>
      <c r="O121" s="1154"/>
      <c r="P121" s="2629"/>
      <c r="Q121" s="559"/>
    </row>
    <row r="122" spans="1:17" ht="16" thickTop="1">
      <c r="A122" s="599"/>
      <c r="B122" s="538" t="s">
        <v>2618</v>
      </c>
      <c r="C122" s="554"/>
      <c r="D122" s="554"/>
      <c r="E122" s="554"/>
      <c r="F122" s="583"/>
      <c r="G122" s="583"/>
      <c r="H122" s="583"/>
      <c r="I122" s="583"/>
      <c r="J122" s="583"/>
      <c r="K122" s="584"/>
      <c r="L122" s="585"/>
      <c r="M122" s="586"/>
      <c r="N122" s="1152"/>
      <c r="O122" s="1152"/>
      <c r="P122" s="2628"/>
      <c r="Q122" s="504"/>
    </row>
    <row r="123" spans="1:17" ht="1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3"/>
      <c r="O123" s="1153"/>
      <c r="P123" s="2628"/>
      <c r="Q123" s="504"/>
    </row>
    <row r="124" spans="1:17" ht="16"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zoomScale="90" zoomScaleNormal="90" workbookViewId="0">
      <selection activeCell="F3" sqref="F3"/>
    </sheetView>
  </sheetViews>
  <sheetFormatPr baseColWidth="10" defaultColWidth="9" defaultRowHeight="14"/>
  <cols>
    <col min="1" max="1" width="10.5" style="403" customWidth="1"/>
    <col min="2" max="3" width="15.6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112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9" customFormat="1" ht="28.5" customHeight="1" thickBot="1">
      <c r="A1" s="1618" t="s">
        <v>2527</v>
      </c>
      <c r="B1" s="2667" t="s">
        <v>2684</v>
      </c>
      <c r="C1" s="1620" t="s">
        <v>2529</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2642</v>
      </c>
      <c r="D3" s="399">
        <f>IF(D1="",'数据-汇总表'!E3,SUMIF('数据-汇总表'!$C19:$C33,D1,'数据-汇总表'!$E19:$E33))</f>
        <v>86971.4</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32" t="s">
        <v>2644</v>
      </c>
      <c r="D4" s="3233"/>
      <c r="E4" s="3234" t="s">
        <v>2645</v>
      </c>
      <c r="F4" s="3235"/>
      <c r="G4" s="3232" t="s">
        <v>2646</v>
      </c>
      <c r="H4" s="3233"/>
      <c r="I4" s="3232" t="s">
        <v>2647</v>
      </c>
      <c r="J4" s="3233"/>
      <c r="K4" s="610" t="s">
        <v>2648</v>
      </c>
      <c r="L4" s="1130"/>
      <c r="M4" s="1131"/>
      <c r="N4" s="1131"/>
      <c r="O4" s="1131"/>
      <c r="P4" s="3271" t="s">
        <v>2649</v>
      </c>
      <c r="Q4" s="3272"/>
      <c r="R4" s="3275" t="s">
        <v>2645</v>
      </c>
      <c r="S4" s="3276"/>
      <c r="T4" s="3275" t="s">
        <v>2646</v>
      </c>
      <c r="U4" s="3276"/>
      <c r="V4" s="3277" t="s">
        <v>2647</v>
      </c>
      <c r="W4" s="3277"/>
      <c r="X4" s="2668"/>
      <c r="Y4" s="3275" t="s">
        <v>2649</v>
      </c>
      <c r="Z4" s="3276"/>
      <c r="AA4" s="3279" t="s">
        <v>2645</v>
      </c>
      <c r="AB4" s="3279" t="s">
        <v>2646</v>
      </c>
      <c r="AC4" s="3268" t="s">
        <v>2647</v>
      </c>
    </row>
    <row r="5" spans="1:29">
      <c r="A5" s="404"/>
      <c r="B5" s="405"/>
      <c r="C5" s="3263" t="s">
        <v>2541</v>
      </c>
      <c r="D5" s="3257"/>
      <c r="E5" s="3264" t="s">
        <v>2542</v>
      </c>
      <c r="F5" s="3262"/>
      <c r="G5" s="3263" t="s">
        <v>2543</v>
      </c>
      <c r="H5" s="3257"/>
      <c r="I5" s="3263" t="s">
        <v>2544</v>
      </c>
      <c r="J5" s="3257"/>
      <c r="K5" s="610"/>
      <c r="L5" s="1130"/>
      <c r="M5" s="1131"/>
      <c r="N5" s="1131"/>
      <c r="O5" s="1131"/>
      <c r="P5" s="3273"/>
      <c r="Q5" s="3239"/>
      <c r="R5" s="3244"/>
      <c r="S5" s="3245"/>
      <c r="T5" s="3244"/>
      <c r="U5" s="3245"/>
      <c r="V5" s="3248"/>
      <c r="W5" s="3248"/>
      <c r="X5" s="1813"/>
      <c r="Y5" s="3244"/>
      <c r="Z5" s="3245"/>
      <c r="AA5" s="3230"/>
      <c r="AB5" s="3230"/>
      <c r="AC5" s="3269"/>
    </row>
    <row r="6" spans="1:29" ht="16" thickBot="1">
      <c r="A6" s="406"/>
      <c r="B6" s="407"/>
      <c r="C6" s="3249" t="s">
        <v>2545</v>
      </c>
      <c r="D6" s="3250"/>
      <c r="E6" s="3259" t="s">
        <v>2545</v>
      </c>
      <c r="F6" s="3260"/>
      <c r="G6" s="3249" t="s">
        <v>2545</v>
      </c>
      <c r="H6" s="3250"/>
      <c r="I6" s="3249" t="s">
        <v>2545</v>
      </c>
      <c r="J6" s="3250"/>
      <c r="K6" s="610" t="s">
        <v>2546</v>
      </c>
      <c r="L6" s="1130"/>
      <c r="M6" s="1131"/>
      <c r="N6" s="1131"/>
      <c r="O6" s="1131"/>
      <c r="P6" s="3274"/>
      <c r="Q6" s="3241"/>
      <c r="R6" s="3244"/>
      <c r="S6" s="3245"/>
      <c r="T6" s="3246"/>
      <c r="U6" s="3247"/>
      <c r="V6" s="3248"/>
      <c r="W6" s="3248"/>
      <c r="X6" s="1813"/>
      <c r="Y6" s="3246"/>
      <c r="Z6" s="3247"/>
      <c r="AA6" s="3231"/>
      <c r="AB6" s="3231"/>
      <c r="AC6" s="3270"/>
    </row>
    <row r="7" spans="1:29" s="117" customFormat="1" ht="16" thickBot="1">
      <c r="A7" s="408" t="s">
        <v>2547</v>
      </c>
      <c r="B7" s="409"/>
      <c r="C7" s="410">
        <f>'数据-取费表'!B2</f>
        <v>43847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8" t="s">
        <v>2548</v>
      </c>
      <c r="Q7" s="3255"/>
      <c r="R7" s="770" t="s">
        <v>17</v>
      </c>
      <c r="S7" s="771">
        <f t="shared" ref="S7:S15" si="0">F7</f>
        <v>0</v>
      </c>
      <c r="T7" s="770" t="s">
        <v>17</v>
      </c>
      <c r="U7" s="771">
        <f t="shared" ref="U7:U15" si="1">H7</f>
        <v>0</v>
      </c>
      <c r="V7" s="770" t="s">
        <v>17</v>
      </c>
      <c r="W7" s="771">
        <f t="shared" ref="W7:W15" si="2">J7</f>
        <v>0</v>
      </c>
      <c r="X7" s="772"/>
      <c r="Y7" s="3253" t="s">
        <v>2548</v>
      </c>
      <c r="Z7" s="3254"/>
      <c r="AA7" s="773" t="e">
        <f>D7/F7</f>
        <v>#DIV/0!</v>
      </c>
      <c r="AB7" s="773" t="e">
        <f>D7/H7</f>
        <v>#DIV/0!</v>
      </c>
      <c r="AC7" s="2669" t="e">
        <f>D7/J7</f>
        <v>#DIV/0!</v>
      </c>
    </row>
    <row r="8" spans="1:29" s="117" customFormat="1" ht="16" thickBot="1">
      <c r="A8" s="408" t="s">
        <v>2549</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8" t="s">
        <v>2551</v>
      </c>
      <c r="Q8" s="3254"/>
      <c r="R8" s="770" t="s">
        <v>17</v>
      </c>
      <c r="S8" s="771">
        <f t="shared" si="0"/>
        <v>0</v>
      </c>
      <c r="T8" s="770" t="s">
        <v>17</v>
      </c>
      <c r="U8" s="771">
        <f t="shared" si="1"/>
        <v>0</v>
      </c>
      <c r="V8" s="770" t="s">
        <v>17</v>
      </c>
      <c r="W8" s="771">
        <f t="shared" si="2"/>
        <v>0</v>
      </c>
      <c r="X8" s="772"/>
      <c r="Y8" s="3253" t="s">
        <v>2551</v>
      </c>
      <c r="Z8" s="3254"/>
      <c r="AA8" s="773" t="e">
        <f t="shared" ref="AA8:AA47" si="3">D8/F8</f>
        <v>#DIV/0!</v>
      </c>
      <c r="AB8" s="773" t="e">
        <f t="shared" ref="AB8:AB47" si="4">D8/H8</f>
        <v>#DIV/0!</v>
      </c>
      <c r="AC8" s="2669" t="e">
        <f t="shared" ref="AC8:AC47" si="5">D8/J8</f>
        <v>#DIV/0!</v>
      </c>
    </row>
    <row r="9" spans="1:29" s="117" customFormat="1" ht="15">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8" t="s">
        <v>2554</v>
      </c>
      <c r="Q9" s="1795" t="str">
        <f t="shared" ref="Q9:Q15" si="6">B9</f>
        <v>用途</v>
      </c>
      <c r="R9" s="770" t="s">
        <v>17</v>
      </c>
      <c r="S9" s="771">
        <f t="shared" si="0"/>
        <v>100</v>
      </c>
      <c r="T9" s="770" t="s">
        <v>17</v>
      </c>
      <c r="U9" s="771">
        <f t="shared" si="1"/>
        <v>100</v>
      </c>
      <c r="V9" s="770" t="s">
        <v>17</v>
      </c>
      <c r="W9" s="771">
        <f t="shared" si="2"/>
        <v>100</v>
      </c>
      <c r="X9" s="772"/>
      <c r="Y9" s="3037" t="s">
        <v>2555</v>
      </c>
      <c r="Z9" s="55" t="str">
        <f t="shared" ref="Z9:Z15" si="7">Q9</f>
        <v>用途</v>
      </c>
      <c r="AA9" s="773">
        <f t="shared" si="3"/>
        <v>1</v>
      </c>
      <c r="AB9" s="773">
        <f t="shared" si="4"/>
        <v>1</v>
      </c>
      <c r="AC9" s="2669">
        <f t="shared" si="5"/>
        <v>1</v>
      </c>
    </row>
    <row r="10" spans="1:29" s="427" customFormat="1" ht="30">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8"/>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69">
        <f t="shared" si="5"/>
        <v>1</v>
      </c>
    </row>
    <row r="11" spans="1:29" ht="16">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8"/>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2669" t="e">
        <f t="shared" si="5"/>
        <v>#N/A</v>
      </c>
    </row>
    <row r="12" spans="1:29" s="117" customFormat="1" ht="16">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28"/>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69">
        <f>D12/J12</f>
        <v>1</v>
      </c>
    </row>
    <row r="13" spans="1:29" ht="16">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28"/>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69">
        <f t="shared" si="5"/>
        <v>1</v>
      </c>
    </row>
    <row r="14" spans="1:29" ht="17"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28"/>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69">
        <f t="shared" si="5"/>
        <v>1</v>
      </c>
    </row>
    <row r="15" spans="1:29" ht="75">
      <c r="A15" s="440" t="s">
        <v>2558</v>
      </c>
      <c r="B15" s="629" t="s">
        <v>2685</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6" t="s">
        <v>2559</v>
      </c>
      <c r="Q15" s="1810" t="str">
        <f t="shared" si="6"/>
        <v>办公集聚程度</v>
      </c>
      <c r="R15" s="774" t="s">
        <v>17</v>
      </c>
      <c r="S15" s="775">
        <f t="shared" si="0"/>
        <v>100</v>
      </c>
      <c r="T15" s="774" t="s">
        <v>17</v>
      </c>
      <c r="U15" s="775">
        <f t="shared" si="1"/>
        <v>100</v>
      </c>
      <c r="V15" s="774" t="s">
        <v>17</v>
      </c>
      <c r="W15" s="775">
        <f t="shared" si="2"/>
        <v>100</v>
      </c>
      <c r="X15" s="1813"/>
      <c r="Y15" s="3219" t="s">
        <v>2559</v>
      </c>
      <c r="Z15" s="1814" t="str">
        <f t="shared" si="7"/>
        <v>办公集聚程度</v>
      </c>
      <c r="AA15" s="1811">
        <f t="shared" si="3"/>
        <v>1</v>
      </c>
      <c r="AB15" s="1811">
        <f t="shared" si="4"/>
        <v>1</v>
      </c>
      <c r="AC15" s="2672">
        <f t="shared" si="5"/>
        <v>1</v>
      </c>
    </row>
    <row r="16" spans="1:29" ht="16">
      <c r="A16" s="428"/>
      <c r="B16" s="630"/>
      <c r="C16" s="2609"/>
      <c r="D16" s="448"/>
      <c r="E16" s="447"/>
      <c r="F16" s="448"/>
      <c r="G16" s="2609"/>
      <c r="H16" s="450"/>
      <c r="I16" s="447"/>
      <c r="J16" s="448"/>
      <c r="K16" s="615"/>
      <c r="L16" s="1140"/>
      <c r="M16" s="1131"/>
      <c r="N16" s="1131"/>
      <c r="O16" s="1131"/>
      <c r="P16" s="3227"/>
      <c r="Q16" s="1810"/>
      <c r="R16" s="774"/>
      <c r="S16" s="775"/>
      <c r="T16" s="774"/>
      <c r="U16" s="775"/>
      <c r="V16" s="774"/>
      <c r="W16" s="775"/>
      <c r="X16" s="1813"/>
      <c r="Y16" s="3220"/>
      <c r="Z16" s="1814"/>
      <c r="AA16" s="1811">
        <v>1</v>
      </c>
      <c r="AB16" s="1811">
        <v>1</v>
      </c>
      <c r="AC16" s="2672">
        <v>1</v>
      </c>
    </row>
    <row r="17" spans="1:29" ht="120">
      <c r="A17" s="428"/>
      <c r="B17" s="631" t="s">
        <v>2095</v>
      </c>
      <c r="C17" s="2673" t="str">
        <f>估价对象房地状况!C6</f>
        <v>估价对象周边有开发区3路、快速直达专线181路、578路多条公交线路，距地铁8号线（瀛海站）约4公里，综合评价交通便捷度一般。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7"/>
      <c r="Q17" s="1810" t="str">
        <f>B17</f>
        <v>交通便捷度</v>
      </c>
      <c r="R17" s="774" t="s">
        <v>17</v>
      </c>
      <c r="S17" s="775">
        <f>F17</f>
        <v>100</v>
      </c>
      <c r="T17" s="774" t="s">
        <v>17</v>
      </c>
      <c r="U17" s="775">
        <f>H17</f>
        <v>100</v>
      </c>
      <c r="V17" s="774" t="s">
        <v>17</v>
      </c>
      <c r="W17" s="775">
        <f>J17</f>
        <v>100</v>
      </c>
      <c r="X17" s="1813"/>
      <c r="Y17" s="3220"/>
      <c r="Z17" s="1814" t="str">
        <f>Q17</f>
        <v>交通便捷度</v>
      </c>
      <c r="AA17" s="1811">
        <f t="shared" si="3"/>
        <v>1</v>
      </c>
      <c r="AB17" s="1811">
        <f t="shared" si="4"/>
        <v>1</v>
      </c>
      <c r="AC17" s="2672">
        <f t="shared" si="5"/>
        <v>1</v>
      </c>
    </row>
    <row r="18" spans="1:29" ht="16">
      <c r="A18" s="428"/>
      <c r="B18" s="632"/>
      <c r="C18" s="2674"/>
      <c r="D18" s="450"/>
      <c r="E18" s="2607"/>
      <c r="F18" s="450"/>
      <c r="G18" s="2608"/>
      <c r="H18" s="448"/>
      <c r="I18" s="2608"/>
      <c r="J18" s="448"/>
      <c r="K18" s="615"/>
      <c r="L18" s="1140"/>
      <c r="M18" s="1131"/>
      <c r="N18" s="1131"/>
      <c r="O18" s="1131"/>
      <c r="P18" s="3227"/>
      <c r="Q18" s="1810"/>
      <c r="R18" s="774"/>
      <c r="S18" s="775"/>
      <c r="T18" s="774"/>
      <c r="U18" s="775"/>
      <c r="V18" s="774"/>
      <c r="W18" s="775"/>
      <c r="X18" s="1813"/>
      <c r="Y18" s="3220"/>
      <c r="Z18" s="1814"/>
      <c r="AA18" s="1811">
        <v>1</v>
      </c>
      <c r="AB18" s="1811">
        <v>1</v>
      </c>
      <c r="AC18" s="2672">
        <v>1</v>
      </c>
    </row>
    <row r="19" spans="1:29" ht="45">
      <c r="A19" s="428"/>
      <c r="B19" s="631" t="s">
        <v>2686</v>
      </c>
      <c r="C19" s="2673"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7"/>
      <c r="Q19" s="1810" t="str">
        <f>B19</f>
        <v>公共配套设施</v>
      </c>
      <c r="R19" s="774" t="s">
        <v>17</v>
      </c>
      <c r="S19" s="775">
        <f>F19</f>
        <v>100</v>
      </c>
      <c r="T19" s="774" t="s">
        <v>17</v>
      </c>
      <c r="U19" s="775">
        <f>H19</f>
        <v>100</v>
      </c>
      <c r="V19" s="774" t="s">
        <v>17</v>
      </c>
      <c r="W19" s="775">
        <f>J19</f>
        <v>100</v>
      </c>
      <c r="X19" s="1813"/>
      <c r="Y19" s="3220"/>
      <c r="Z19" s="1814" t="str">
        <f>Q19</f>
        <v>公共配套设施</v>
      </c>
      <c r="AA19" s="1811">
        <f t="shared" si="3"/>
        <v>1</v>
      </c>
      <c r="AB19" s="1811">
        <f t="shared" si="4"/>
        <v>1</v>
      </c>
      <c r="AC19" s="2672">
        <f t="shared" si="5"/>
        <v>1</v>
      </c>
    </row>
    <row r="20" spans="1:29" ht="16">
      <c r="A20" s="428"/>
      <c r="B20" s="632"/>
      <c r="C20" s="2609"/>
      <c r="D20" s="448"/>
      <c r="E20" s="2602"/>
      <c r="F20" s="448"/>
      <c r="G20" s="2603"/>
      <c r="H20" s="448"/>
      <c r="I20" s="2603"/>
      <c r="J20" s="448"/>
      <c r="K20" s="615"/>
      <c r="L20" s="1140"/>
      <c r="M20" s="1131"/>
      <c r="N20" s="1131"/>
      <c r="O20" s="1131"/>
      <c r="P20" s="3227"/>
      <c r="Q20" s="1810"/>
      <c r="R20" s="774"/>
      <c r="S20" s="775"/>
      <c r="T20" s="774"/>
      <c r="U20" s="775"/>
      <c r="V20" s="774"/>
      <c r="W20" s="775"/>
      <c r="X20" s="1813"/>
      <c r="Y20" s="3220"/>
      <c r="Z20" s="1814"/>
      <c r="AA20" s="1811">
        <v>1</v>
      </c>
      <c r="AB20" s="1811">
        <v>1</v>
      </c>
      <c r="AC20" s="2672">
        <v>1</v>
      </c>
    </row>
    <row r="21" spans="1:29" ht="16">
      <c r="A21" s="428"/>
      <c r="B21" s="633" t="s">
        <v>2687</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7"/>
      <c r="Q21" s="1810" t="str">
        <f>B21</f>
        <v>基础设施水平</v>
      </c>
      <c r="R21" s="774" t="s">
        <v>17</v>
      </c>
      <c r="S21" s="775">
        <f>F21</f>
        <v>100</v>
      </c>
      <c r="T21" s="774" t="s">
        <v>17</v>
      </c>
      <c r="U21" s="775">
        <f>H21</f>
        <v>100</v>
      </c>
      <c r="V21" s="774" t="s">
        <v>17</v>
      </c>
      <c r="W21" s="775">
        <f>J21</f>
        <v>100</v>
      </c>
      <c r="X21" s="1813"/>
      <c r="Y21" s="3220"/>
      <c r="Z21" s="1814" t="str">
        <f>Q21</f>
        <v>基础设施水平</v>
      </c>
      <c r="AA21" s="1811">
        <f>D21/F21</f>
        <v>1</v>
      </c>
      <c r="AB21" s="1811">
        <f>D21/H21</f>
        <v>1</v>
      </c>
      <c r="AC21" s="2672">
        <f>D21/J21</f>
        <v>1</v>
      </c>
    </row>
    <row r="22" spans="1:29" ht="16">
      <c r="A22" s="428"/>
      <c r="B22" s="633"/>
      <c r="C22" s="2674"/>
      <c r="D22" s="448"/>
      <c r="E22" s="447"/>
      <c r="F22" s="448"/>
      <c r="G22" s="2609"/>
      <c r="H22" s="448"/>
      <c r="I22" s="2609"/>
      <c r="J22" s="448"/>
      <c r="K22" s="1383"/>
      <c r="L22" s="1140"/>
      <c r="M22" s="1131"/>
      <c r="N22" s="1131"/>
      <c r="O22" s="1131"/>
      <c r="P22" s="3227"/>
      <c r="Q22" s="1810"/>
      <c r="R22" s="774"/>
      <c r="S22" s="775"/>
      <c r="T22" s="774"/>
      <c r="U22" s="775"/>
      <c r="V22" s="774"/>
      <c r="W22" s="775"/>
      <c r="X22" s="1813"/>
      <c r="Y22" s="3220"/>
      <c r="Z22" s="1814"/>
      <c r="AA22" s="1811">
        <v>1</v>
      </c>
      <c r="AB22" s="1811">
        <v>1</v>
      </c>
      <c r="AC22" s="2672">
        <v>1</v>
      </c>
    </row>
    <row r="23" spans="1:29" ht="105">
      <c r="A23" s="428"/>
      <c r="B23" s="631" t="s">
        <v>2688</v>
      </c>
      <c r="C23" s="2673" t="str">
        <f>估价对象房地状况!C9</f>
        <v>区域自然环境：体育公园、南海子公园、凉水河；人文环境：北京电子科技职业学院(亦庄校区)；综合评价环境状况一般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7"/>
      <c r="Q23" s="1810" t="str">
        <f>B23</f>
        <v>环境质量</v>
      </c>
      <c r="R23" s="774" t="s">
        <v>17</v>
      </c>
      <c r="S23" s="775">
        <f>F23</f>
        <v>100</v>
      </c>
      <c r="T23" s="774" t="s">
        <v>17</v>
      </c>
      <c r="U23" s="775">
        <f>H23</f>
        <v>100</v>
      </c>
      <c r="V23" s="774" t="s">
        <v>17</v>
      </c>
      <c r="W23" s="775">
        <f>J23</f>
        <v>100</v>
      </c>
      <c r="X23" s="1813"/>
      <c r="Y23" s="3220"/>
      <c r="Z23" s="1814" t="str">
        <f>Q23</f>
        <v>环境质量</v>
      </c>
      <c r="AA23" s="1811">
        <f t="shared" si="3"/>
        <v>1</v>
      </c>
      <c r="AB23" s="1811">
        <f t="shared" si="4"/>
        <v>1</v>
      </c>
      <c r="AC23" s="2672">
        <f t="shared" si="5"/>
        <v>1</v>
      </c>
    </row>
    <row r="24" spans="1:29" ht="16">
      <c r="A24" s="428"/>
      <c r="B24" s="633"/>
      <c r="C24" s="2609"/>
      <c r="D24" s="448"/>
      <c r="E24" s="2602"/>
      <c r="F24" s="448"/>
      <c r="G24" s="2603"/>
      <c r="H24" s="448"/>
      <c r="I24" s="2603"/>
      <c r="J24" s="448"/>
      <c r="K24" s="615"/>
      <c r="L24" s="1140"/>
      <c r="M24" s="1131"/>
      <c r="N24" s="1131"/>
      <c r="O24" s="1131"/>
      <c r="P24" s="3227"/>
      <c r="Q24" s="1810"/>
      <c r="R24" s="774"/>
      <c r="S24" s="775"/>
      <c r="T24" s="774"/>
      <c r="U24" s="775"/>
      <c r="V24" s="774"/>
      <c r="W24" s="775"/>
      <c r="X24" s="1813"/>
      <c r="Y24" s="3220"/>
      <c r="Z24" s="1814"/>
      <c r="AA24" s="1811">
        <v>1</v>
      </c>
      <c r="AB24" s="1811">
        <v>1</v>
      </c>
      <c r="AC24" s="2672">
        <v>1</v>
      </c>
    </row>
    <row r="25" spans="1:29" ht="30">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27"/>
      <c r="Q25" s="1810" t="str">
        <f>B25</f>
        <v>毗邻道路的类型与等级</v>
      </c>
      <c r="R25" s="774" t="s">
        <v>17</v>
      </c>
      <c r="S25" s="775">
        <f>F25</f>
        <v>100</v>
      </c>
      <c r="T25" s="774" t="s">
        <v>17</v>
      </c>
      <c r="U25" s="775">
        <f>H25</f>
        <v>100</v>
      </c>
      <c r="V25" s="774" t="s">
        <v>17</v>
      </c>
      <c r="W25" s="775">
        <f>J25</f>
        <v>100</v>
      </c>
      <c r="X25" s="1813"/>
      <c r="Y25" s="3220"/>
      <c r="Z25" s="1814" t="str">
        <f>Q25</f>
        <v>毗邻道路的类型与等级</v>
      </c>
      <c r="AA25" s="1811">
        <f t="shared" si="3"/>
        <v>1</v>
      </c>
      <c r="AB25" s="1811">
        <f t="shared" si="4"/>
        <v>1</v>
      </c>
      <c r="AC25" s="2672">
        <f t="shared" si="5"/>
        <v>1</v>
      </c>
    </row>
    <row r="26" spans="1:29" ht="16">
      <c r="A26" s="404"/>
      <c r="B26" s="632"/>
      <c r="C26" s="634"/>
      <c r="D26" s="435"/>
      <c r="E26" s="616"/>
      <c r="F26" s="435"/>
      <c r="G26" s="634"/>
      <c r="H26" s="435"/>
      <c r="I26" s="616"/>
      <c r="J26" s="435"/>
      <c r="K26" s="615"/>
      <c r="L26" s="1140"/>
      <c r="M26" s="1131"/>
      <c r="N26" s="1131"/>
      <c r="O26" s="1131"/>
      <c r="P26" s="3227"/>
      <c r="Q26" s="1810"/>
      <c r="R26" s="774"/>
      <c r="S26" s="775"/>
      <c r="T26" s="774"/>
      <c r="U26" s="775"/>
      <c r="V26" s="774"/>
      <c r="W26" s="775"/>
      <c r="X26" s="1813"/>
      <c r="Y26" s="3220"/>
      <c r="Z26" s="1814"/>
      <c r="AA26" s="1811">
        <v>1</v>
      </c>
      <c r="AB26" s="1811">
        <v>1</v>
      </c>
      <c r="AC26" s="2672">
        <v>1</v>
      </c>
    </row>
    <row r="27" spans="1:29" ht="16">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7"/>
      <c r="Q27" s="1810" t="str">
        <f t="shared" ref="Q27:Q47" si="8">B27</f>
        <v>楼层</v>
      </c>
      <c r="R27" s="774" t="s">
        <v>17</v>
      </c>
      <c r="S27" s="775">
        <f>F27</f>
        <v>100</v>
      </c>
      <c r="T27" s="774" t="s">
        <v>17</v>
      </c>
      <c r="U27" s="775">
        <f>H27</f>
        <v>100</v>
      </c>
      <c r="V27" s="774" t="s">
        <v>17</v>
      </c>
      <c r="W27" s="775">
        <f>J27</f>
        <v>100</v>
      </c>
      <c r="X27" s="1813"/>
      <c r="Y27" s="3220"/>
      <c r="Z27" s="1814" t="str">
        <f>Q27</f>
        <v>楼层</v>
      </c>
      <c r="AA27" s="1811">
        <f t="shared" si="3"/>
        <v>1</v>
      </c>
      <c r="AB27" s="1811">
        <f t="shared" si="4"/>
        <v>1</v>
      </c>
      <c r="AC27" s="2672">
        <f t="shared" si="5"/>
        <v>1</v>
      </c>
    </row>
    <row r="28" spans="1:29" s="117" customFormat="1" ht="16">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27"/>
      <c r="Q28" s="1795" t="str">
        <f t="shared" si="8"/>
        <v>朝向</v>
      </c>
      <c r="R28" s="770" t="s">
        <v>17</v>
      </c>
      <c r="S28" s="771">
        <f>F28</f>
        <v>100</v>
      </c>
      <c r="T28" s="770" t="s">
        <v>17</v>
      </c>
      <c r="U28" s="771">
        <f>H28</f>
        <v>100</v>
      </c>
      <c r="V28" s="770" t="s">
        <v>17</v>
      </c>
      <c r="W28" s="771">
        <f>J28</f>
        <v>100</v>
      </c>
      <c r="X28" s="772"/>
      <c r="Y28" s="3220"/>
      <c r="Z28" s="55" t="str">
        <f>Q28</f>
        <v>朝向</v>
      </c>
      <c r="AA28" s="1811">
        <f>D28/F28</f>
        <v>1</v>
      </c>
      <c r="AB28" s="1811">
        <f>D28/H28</f>
        <v>1</v>
      </c>
      <c r="AC28" s="2672">
        <f>D28/J28</f>
        <v>1</v>
      </c>
    </row>
    <row r="29" spans="1:29" ht="16">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27"/>
      <c r="Q29" s="1810">
        <f t="shared" si="8"/>
        <v>111</v>
      </c>
      <c r="R29" s="774" t="s">
        <v>17</v>
      </c>
      <c r="S29" s="775">
        <f t="shared" ref="S29:S47" si="9">F29</f>
        <v>100</v>
      </c>
      <c r="T29" s="774" t="s">
        <v>17</v>
      </c>
      <c r="U29" s="775">
        <f t="shared" ref="U29:U47" si="10">H29</f>
        <v>100</v>
      </c>
      <c r="V29" s="774" t="s">
        <v>17</v>
      </c>
      <c r="W29" s="775">
        <f t="shared" ref="W29:W47" si="11">J29</f>
        <v>100</v>
      </c>
      <c r="X29" s="1813"/>
      <c r="Y29" s="3220"/>
      <c r="Z29" s="1814">
        <f t="shared" ref="Z29:Z47" si="12">Q29</f>
        <v>111</v>
      </c>
      <c r="AA29" s="1811">
        <f t="shared" si="3"/>
        <v>1</v>
      </c>
      <c r="AB29" s="1811">
        <f t="shared" si="4"/>
        <v>1</v>
      </c>
      <c r="AC29" s="2672">
        <f t="shared" si="5"/>
        <v>1</v>
      </c>
    </row>
    <row r="30" spans="1:29" ht="16">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27"/>
      <c r="Q30" s="1810">
        <f t="shared" si="8"/>
        <v>111</v>
      </c>
      <c r="R30" s="774" t="s">
        <v>17</v>
      </c>
      <c r="S30" s="775">
        <f t="shared" si="9"/>
        <v>100</v>
      </c>
      <c r="T30" s="774" t="s">
        <v>17</v>
      </c>
      <c r="U30" s="775">
        <f t="shared" si="10"/>
        <v>100</v>
      </c>
      <c r="V30" s="774" t="s">
        <v>17</v>
      </c>
      <c r="W30" s="775">
        <f t="shared" si="11"/>
        <v>100</v>
      </c>
      <c r="X30" s="1813"/>
      <c r="Y30" s="3220"/>
      <c r="Z30" s="1814">
        <f t="shared" si="12"/>
        <v>111</v>
      </c>
      <c r="AA30" s="1811">
        <f t="shared" si="3"/>
        <v>1</v>
      </c>
      <c r="AB30" s="1811">
        <f t="shared" si="4"/>
        <v>1</v>
      </c>
      <c r="AC30" s="2672">
        <f t="shared" si="5"/>
        <v>1</v>
      </c>
    </row>
    <row r="31" spans="1:29" ht="16">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27"/>
      <c r="Q31" s="1810">
        <f t="shared" si="8"/>
        <v>111</v>
      </c>
      <c r="R31" s="774" t="s">
        <v>17</v>
      </c>
      <c r="S31" s="775">
        <f t="shared" si="9"/>
        <v>100</v>
      </c>
      <c r="T31" s="774" t="s">
        <v>17</v>
      </c>
      <c r="U31" s="775">
        <f t="shared" si="10"/>
        <v>100</v>
      </c>
      <c r="V31" s="774" t="s">
        <v>17</v>
      </c>
      <c r="W31" s="775">
        <f t="shared" si="11"/>
        <v>100</v>
      </c>
      <c r="X31" s="1813"/>
      <c r="Y31" s="3220"/>
      <c r="Z31" s="1814">
        <f t="shared" si="12"/>
        <v>111</v>
      </c>
      <c r="AA31" s="1811">
        <f t="shared" si="3"/>
        <v>1</v>
      </c>
      <c r="AB31" s="1811">
        <f t="shared" si="4"/>
        <v>1</v>
      </c>
      <c r="AC31" s="2672">
        <f t="shared" si="5"/>
        <v>1</v>
      </c>
    </row>
    <row r="32" spans="1:29" ht="17"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27"/>
      <c r="Q32" s="1810">
        <f t="shared" si="8"/>
        <v>111</v>
      </c>
      <c r="R32" s="774" t="s">
        <v>17</v>
      </c>
      <c r="S32" s="775">
        <f t="shared" si="9"/>
        <v>100</v>
      </c>
      <c r="T32" s="774" t="s">
        <v>17</v>
      </c>
      <c r="U32" s="775">
        <f t="shared" si="10"/>
        <v>100</v>
      </c>
      <c r="V32" s="774" t="s">
        <v>17</v>
      </c>
      <c r="W32" s="775">
        <f t="shared" si="11"/>
        <v>100</v>
      </c>
      <c r="X32" s="1813"/>
      <c r="Y32" s="3220"/>
      <c r="Z32" s="1814">
        <f t="shared" si="12"/>
        <v>111</v>
      </c>
      <c r="AA32" s="1811">
        <f t="shared" si="3"/>
        <v>1</v>
      </c>
      <c r="AB32" s="1811">
        <f t="shared" si="4"/>
        <v>1</v>
      </c>
      <c r="AC32" s="2672">
        <f t="shared" si="5"/>
        <v>1</v>
      </c>
    </row>
    <row r="33" spans="1:29" ht="16">
      <c r="A33" s="440" t="s">
        <v>2562</v>
      </c>
      <c r="B33" s="71" t="s">
        <v>2691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21" t="s">
        <v>2564</v>
      </c>
      <c r="Q33" s="1810" t="str">
        <f t="shared" si="8"/>
        <v>建筑类型</v>
      </c>
      <c r="R33" s="774" t="s">
        <v>17</v>
      </c>
      <c r="S33" s="775">
        <f t="shared" si="9"/>
        <v>100</v>
      </c>
      <c r="T33" s="774" t="s">
        <v>17</v>
      </c>
      <c r="U33" s="775">
        <f t="shared" si="10"/>
        <v>100</v>
      </c>
      <c r="V33" s="774" t="s">
        <v>17</v>
      </c>
      <c r="W33" s="775">
        <f t="shared" si="11"/>
        <v>100</v>
      </c>
      <c r="X33" s="1813"/>
      <c r="Y33" s="3224" t="s">
        <v>2564</v>
      </c>
      <c r="Z33" s="1814" t="str">
        <f t="shared" si="12"/>
        <v>建筑类型</v>
      </c>
      <c r="AA33" s="1811">
        <f t="shared" si="3"/>
        <v>1</v>
      </c>
      <c r="AB33" s="1811">
        <f t="shared" si="4"/>
        <v>1</v>
      </c>
      <c r="AC33" s="2672">
        <f t="shared" si="5"/>
        <v>1</v>
      </c>
    </row>
    <row r="34" spans="1:29" s="471" customFormat="1" ht="16">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2"/>
      <c r="Q34" s="776" t="str">
        <f t="shared" si="8"/>
        <v>项目建筑规模</v>
      </c>
      <c r="R34" s="777" t="s">
        <v>17</v>
      </c>
      <c r="S34" s="778" t="e">
        <f t="shared" si="9"/>
        <v>#N/A</v>
      </c>
      <c r="T34" s="777" t="s">
        <v>17</v>
      </c>
      <c r="U34" s="778" t="e">
        <f t="shared" si="10"/>
        <v>#N/A</v>
      </c>
      <c r="V34" s="777" t="s">
        <v>17</v>
      </c>
      <c r="W34" s="778" t="e">
        <f t="shared" si="11"/>
        <v>#N/A</v>
      </c>
      <c r="X34" s="779"/>
      <c r="Y34" s="3224"/>
      <c r="Z34" s="780" t="str">
        <f t="shared" si="12"/>
        <v>项目建筑规模</v>
      </c>
      <c r="AA34" s="1811" t="e">
        <f t="shared" si="3"/>
        <v>#N/A</v>
      </c>
      <c r="AB34" s="1811" t="e">
        <f t="shared" si="4"/>
        <v>#N/A</v>
      </c>
      <c r="AC34" s="2672" t="e">
        <f t="shared" si="5"/>
        <v>#N/A</v>
      </c>
    </row>
    <row r="35" spans="1:29" ht="16">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2"/>
      <c r="Q35" s="1810" t="str">
        <f t="shared" si="8"/>
        <v>建筑结构</v>
      </c>
      <c r="R35" s="774" t="s">
        <v>17</v>
      </c>
      <c r="S35" s="775">
        <f t="shared" si="9"/>
        <v>100</v>
      </c>
      <c r="T35" s="774" t="s">
        <v>17</v>
      </c>
      <c r="U35" s="775">
        <f t="shared" si="10"/>
        <v>100</v>
      </c>
      <c r="V35" s="774" t="s">
        <v>17</v>
      </c>
      <c r="W35" s="775">
        <f t="shared" si="11"/>
        <v>100</v>
      </c>
      <c r="X35" s="1813"/>
      <c r="Y35" s="3224"/>
      <c r="Z35" s="1814" t="str">
        <f t="shared" si="12"/>
        <v>建筑结构</v>
      </c>
      <c r="AA35" s="1811">
        <f t="shared" si="3"/>
        <v>1</v>
      </c>
      <c r="AB35" s="1811">
        <f t="shared" si="4"/>
        <v>1</v>
      </c>
      <c r="AC35" s="2672">
        <f t="shared" si="5"/>
        <v>1</v>
      </c>
    </row>
    <row r="36" spans="1:29" ht="16">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2"/>
      <c r="Q36" s="1810" t="str">
        <f t="shared" si="8"/>
        <v>公共部分装修</v>
      </c>
      <c r="R36" s="774" t="s">
        <v>17</v>
      </c>
      <c r="S36" s="775">
        <f t="shared" si="9"/>
        <v>100</v>
      </c>
      <c r="T36" s="774" t="s">
        <v>17</v>
      </c>
      <c r="U36" s="775">
        <f t="shared" si="10"/>
        <v>100</v>
      </c>
      <c r="V36" s="774" t="s">
        <v>17</v>
      </c>
      <c r="W36" s="775">
        <f t="shared" si="11"/>
        <v>100</v>
      </c>
      <c r="X36" s="1813"/>
      <c r="Y36" s="3224"/>
      <c r="Z36" s="1814" t="str">
        <f t="shared" si="12"/>
        <v>公共部分装修</v>
      </c>
      <c r="AA36" s="1811">
        <f t="shared" si="3"/>
        <v>1</v>
      </c>
      <c r="AB36" s="1811">
        <f t="shared" si="4"/>
        <v>1</v>
      </c>
      <c r="AC36" s="2672">
        <f t="shared" si="5"/>
        <v>1</v>
      </c>
    </row>
    <row r="37" spans="1:29" ht="16">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2"/>
      <c r="Q37" s="1810" t="str">
        <f t="shared" si="8"/>
        <v>成新度</v>
      </c>
      <c r="R37" s="774" t="s">
        <v>17</v>
      </c>
      <c r="S37" s="775" t="e">
        <f t="shared" si="9"/>
        <v>#N/A</v>
      </c>
      <c r="T37" s="774" t="s">
        <v>17</v>
      </c>
      <c r="U37" s="775" t="e">
        <f t="shared" si="10"/>
        <v>#N/A</v>
      </c>
      <c r="V37" s="774" t="s">
        <v>17</v>
      </c>
      <c r="W37" s="775" t="e">
        <f t="shared" si="11"/>
        <v>#N/A</v>
      </c>
      <c r="X37" s="1813"/>
      <c r="Y37" s="3224"/>
      <c r="Z37" s="1814" t="str">
        <f t="shared" si="12"/>
        <v>成新度</v>
      </c>
      <c r="AA37" s="1811" t="e">
        <f t="shared" si="3"/>
        <v>#N/A</v>
      </c>
      <c r="AB37" s="1811" t="e">
        <f t="shared" si="4"/>
        <v>#N/A</v>
      </c>
      <c r="AC37" s="2672" t="e">
        <f t="shared" si="5"/>
        <v>#N/A</v>
      </c>
    </row>
    <row r="38" spans="1:29" s="117" customFormat="1" ht="16">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2"/>
      <c r="Q38" s="1795" t="str">
        <f t="shared" si="8"/>
        <v>写字楼等级</v>
      </c>
      <c r="R38" s="770" t="s">
        <v>17</v>
      </c>
      <c r="S38" s="771">
        <f t="shared" si="9"/>
        <v>100</v>
      </c>
      <c r="T38" s="770" t="s">
        <v>17</v>
      </c>
      <c r="U38" s="771">
        <f t="shared" si="10"/>
        <v>100</v>
      </c>
      <c r="V38" s="770" t="s">
        <v>17</v>
      </c>
      <c r="W38" s="771">
        <f t="shared" si="11"/>
        <v>100</v>
      </c>
      <c r="X38" s="772"/>
      <c r="Y38" s="3224"/>
      <c r="Z38" s="55" t="str">
        <f t="shared" si="12"/>
        <v>写字楼等级</v>
      </c>
      <c r="AA38" s="773">
        <f t="shared" si="3"/>
        <v>1</v>
      </c>
      <c r="AB38" s="773">
        <f t="shared" si="4"/>
        <v>1</v>
      </c>
      <c r="AC38" s="2669">
        <f t="shared" si="5"/>
        <v>1</v>
      </c>
    </row>
    <row r="39" spans="1:29" ht="16">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2" t="s">
        <v>2564</v>
      </c>
      <c r="Q39" s="1810" t="str">
        <f t="shared" si="8"/>
        <v>物业管理</v>
      </c>
      <c r="R39" s="774" t="s">
        <v>17</v>
      </c>
      <c r="S39" s="775">
        <f t="shared" si="9"/>
        <v>100</v>
      </c>
      <c r="T39" s="774" t="s">
        <v>17</v>
      </c>
      <c r="U39" s="775">
        <f t="shared" si="10"/>
        <v>100</v>
      </c>
      <c r="V39" s="774" t="s">
        <v>17</v>
      </c>
      <c r="W39" s="775">
        <f t="shared" si="11"/>
        <v>100</v>
      </c>
      <c r="X39" s="1813"/>
      <c r="Y39" s="3224" t="s">
        <v>2564</v>
      </c>
      <c r="Z39" s="1814" t="str">
        <f t="shared" si="12"/>
        <v>物业管理</v>
      </c>
      <c r="AA39" s="1811">
        <f t="shared" si="3"/>
        <v>1</v>
      </c>
      <c r="AB39" s="1811">
        <f t="shared" si="4"/>
        <v>1</v>
      </c>
      <c r="AC39" s="2672">
        <f t="shared" si="5"/>
        <v>1</v>
      </c>
    </row>
    <row r="40" spans="1:29" ht="16">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2"/>
      <c r="Q40" s="1810" t="str">
        <f t="shared" si="8"/>
        <v>市政基础设施</v>
      </c>
      <c r="R40" s="774" t="s">
        <v>17</v>
      </c>
      <c r="S40" s="775">
        <f t="shared" si="9"/>
        <v>100</v>
      </c>
      <c r="T40" s="774" t="s">
        <v>17</v>
      </c>
      <c r="U40" s="775">
        <f t="shared" si="10"/>
        <v>100</v>
      </c>
      <c r="V40" s="774" t="s">
        <v>17</v>
      </c>
      <c r="W40" s="775">
        <f t="shared" si="11"/>
        <v>100</v>
      </c>
      <c r="X40" s="1813"/>
      <c r="Y40" s="3224"/>
      <c r="Z40" s="1814" t="str">
        <f t="shared" si="12"/>
        <v>市政基础设施</v>
      </c>
      <c r="AA40" s="1811">
        <f t="shared" si="3"/>
        <v>1</v>
      </c>
      <c r="AB40" s="1811">
        <f t="shared" si="4"/>
        <v>1</v>
      </c>
      <c r="AC40" s="2672">
        <f t="shared" si="5"/>
        <v>1</v>
      </c>
    </row>
    <row r="41" spans="1:29" ht="16">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2"/>
      <c r="Q41" s="1810" t="str">
        <f t="shared" si="8"/>
        <v>层高</v>
      </c>
      <c r="R41" s="774" t="s">
        <v>17</v>
      </c>
      <c r="S41" s="775">
        <f t="shared" si="9"/>
        <v>100</v>
      </c>
      <c r="T41" s="774" t="s">
        <v>17</v>
      </c>
      <c r="U41" s="775">
        <f t="shared" si="10"/>
        <v>100</v>
      </c>
      <c r="V41" s="774" t="s">
        <v>17</v>
      </c>
      <c r="W41" s="775">
        <f t="shared" si="11"/>
        <v>100</v>
      </c>
      <c r="X41" s="1813"/>
      <c r="Y41" s="3224"/>
      <c r="Z41" s="1814" t="str">
        <f t="shared" si="12"/>
        <v>层高</v>
      </c>
      <c r="AA41" s="1811">
        <f t="shared" si="3"/>
        <v>1</v>
      </c>
      <c r="AB41" s="1811">
        <f t="shared" si="4"/>
        <v>1</v>
      </c>
      <c r="AC41" s="2672">
        <f t="shared" si="5"/>
        <v>1</v>
      </c>
    </row>
    <row r="42" spans="1:29" s="471" customFormat="1" ht="16">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2"/>
      <c r="Q42" s="776" t="str">
        <f t="shared" si="8"/>
        <v>单套建筑面积</v>
      </c>
      <c r="R42" s="777" t="s">
        <v>17</v>
      </c>
      <c r="S42" s="778">
        <f t="shared" si="9"/>
        <v>100</v>
      </c>
      <c r="T42" s="777" t="s">
        <v>17</v>
      </c>
      <c r="U42" s="778">
        <f t="shared" si="10"/>
        <v>100</v>
      </c>
      <c r="V42" s="777" t="s">
        <v>17</v>
      </c>
      <c r="W42" s="778">
        <f t="shared" si="11"/>
        <v>100</v>
      </c>
      <c r="X42" s="779"/>
      <c r="Y42" s="3224"/>
      <c r="Z42" s="780" t="str">
        <f t="shared" si="12"/>
        <v>单套建筑面积</v>
      </c>
      <c r="AA42" s="1811">
        <f t="shared" si="3"/>
        <v>1</v>
      </c>
      <c r="AB42" s="1811">
        <f t="shared" si="4"/>
        <v>1</v>
      </c>
      <c r="AC42" s="2672">
        <f t="shared" si="5"/>
        <v>1</v>
      </c>
    </row>
    <row r="43" spans="1:29" ht="16">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2"/>
      <c r="Q43" s="1810" t="str">
        <f t="shared" si="8"/>
        <v>内部装修</v>
      </c>
      <c r="R43" s="774" t="s">
        <v>17</v>
      </c>
      <c r="S43" s="775">
        <f t="shared" si="9"/>
        <v>100</v>
      </c>
      <c r="T43" s="774" t="s">
        <v>17</v>
      </c>
      <c r="U43" s="775">
        <f t="shared" si="10"/>
        <v>100</v>
      </c>
      <c r="V43" s="774" t="s">
        <v>17</v>
      </c>
      <c r="W43" s="775">
        <f t="shared" si="11"/>
        <v>100</v>
      </c>
      <c r="X43" s="1813"/>
      <c r="Y43" s="3224"/>
      <c r="Z43" s="1814" t="str">
        <f t="shared" si="12"/>
        <v>内部装修</v>
      </c>
      <c r="AA43" s="1811">
        <f t="shared" si="3"/>
        <v>1</v>
      </c>
      <c r="AB43" s="1811">
        <f t="shared" si="4"/>
        <v>1</v>
      </c>
      <c r="AC43" s="2672">
        <f t="shared" si="5"/>
        <v>1</v>
      </c>
    </row>
    <row r="44" spans="1:29" ht="16">
      <c r="A44" s="472"/>
      <c r="B44" s="422" t="s">
        <v>2575</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22"/>
      <c r="Q44" s="1810" t="str">
        <f t="shared" si="8"/>
        <v>内部装修维护情况</v>
      </c>
      <c r="R44" s="774" t="s">
        <v>17</v>
      </c>
      <c r="S44" s="775">
        <f t="shared" si="9"/>
        <v>100</v>
      </c>
      <c r="T44" s="774" t="s">
        <v>17</v>
      </c>
      <c r="U44" s="775">
        <f t="shared" si="10"/>
        <v>100</v>
      </c>
      <c r="V44" s="774" t="s">
        <v>17</v>
      </c>
      <c r="W44" s="775">
        <f t="shared" si="11"/>
        <v>100</v>
      </c>
      <c r="X44" s="1813"/>
      <c r="Y44" s="3224"/>
      <c r="Z44" s="1814" t="str">
        <f t="shared" si="12"/>
        <v>内部装修维护情况</v>
      </c>
      <c r="AA44" s="1811">
        <f t="shared" si="3"/>
        <v>1</v>
      </c>
      <c r="AB44" s="1811">
        <f t="shared" si="4"/>
        <v>1</v>
      </c>
      <c r="AC44" s="2672">
        <f t="shared" si="5"/>
        <v>1</v>
      </c>
    </row>
    <row r="45" spans="1:29" s="117" customFormat="1" ht="16">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2"/>
      <c r="Q45" s="1795">
        <f t="shared" si="8"/>
        <v>111</v>
      </c>
      <c r="R45" s="770" t="s">
        <v>17</v>
      </c>
      <c r="S45" s="771">
        <f t="shared" si="9"/>
        <v>100</v>
      </c>
      <c r="T45" s="770" t="s">
        <v>17</v>
      </c>
      <c r="U45" s="771">
        <f t="shared" si="10"/>
        <v>100</v>
      </c>
      <c r="V45" s="770" t="s">
        <v>17</v>
      </c>
      <c r="W45" s="771">
        <f t="shared" si="11"/>
        <v>100</v>
      </c>
      <c r="X45" s="772"/>
      <c r="Y45" s="3224"/>
      <c r="Z45" s="55">
        <f t="shared" si="12"/>
        <v>111</v>
      </c>
      <c r="AA45" s="773">
        <f t="shared" si="3"/>
        <v>1</v>
      </c>
      <c r="AB45" s="773">
        <f t="shared" si="4"/>
        <v>1</v>
      </c>
      <c r="AC45" s="2669">
        <f t="shared" si="5"/>
        <v>1</v>
      </c>
    </row>
    <row r="46" spans="1:29" ht="16">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2"/>
      <c r="Q46" s="1810">
        <f t="shared" si="8"/>
        <v>111</v>
      </c>
      <c r="R46" s="774" t="s">
        <v>17</v>
      </c>
      <c r="S46" s="775">
        <f t="shared" si="9"/>
        <v>100</v>
      </c>
      <c r="T46" s="774" t="s">
        <v>17</v>
      </c>
      <c r="U46" s="775">
        <f t="shared" si="10"/>
        <v>100</v>
      </c>
      <c r="V46" s="774" t="s">
        <v>17</v>
      </c>
      <c r="W46" s="775">
        <f t="shared" si="11"/>
        <v>100</v>
      </c>
      <c r="X46" s="1813"/>
      <c r="Y46" s="3224"/>
      <c r="Z46" s="1814">
        <f t="shared" si="12"/>
        <v>111</v>
      </c>
      <c r="AA46" s="1811">
        <f t="shared" si="3"/>
        <v>1</v>
      </c>
      <c r="AB46" s="1811">
        <f t="shared" si="4"/>
        <v>1</v>
      </c>
      <c r="AC46" s="2672">
        <f t="shared" si="5"/>
        <v>1</v>
      </c>
    </row>
    <row r="47" spans="1:29" ht="17"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3"/>
      <c r="Q47" s="1810">
        <f t="shared" si="8"/>
        <v>111</v>
      </c>
      <c r="R47" s="774" t="s">
        <v>17</v>
      </c>
      <c r="S47" s="775">
        <f t="shared" si="9"/>
        <v>100</v>
      </c>
      <c r="T47" s="774" t="s">
        <v>17</v>
      </c>
      <c r="U47" s="775">
        <f t="shared" si="10"/>
        <v>100</v>
      </c>
      <c r="V47" s="774" t="s">
        <v>17</v>
      </c>
      <c r="W47" s="775">
        <f t="shared" si="11"/>
        <v>100</v>
      </c>
      <c r="X47" s="1813"/>
      <c r="Y47" s="3225"/>
      <c r="Z47" s="1814">
        <f t="shared" si="12"/>
        <v>111</v>
      </c>
      <c r="AA47" s="1811">
        <f t="shared" si="3"/>
        <v>1</v>
      </c>
      <c r="AB47" s="1811">
        <f t="shared" si="4"/>
        <v>1</v>
      </c>
      <c r="AC47" s="2672">
        <f t="shared" si="5"/>
        <v>1</v>
      </c>
    </row>
    <row r="48" spans="1:29" ht="15">
      <c r="A48" s="479" t="s">
        <v>2576</v>
      </c>
      <c r="B48" s="480"/>
      <c r="C48" s="1407" t="s">
        <v>1</v>
      </c>
      <c r="D48" s="1408"/>
      <c r="E48" s="1409"/>
      <c r="F48" s="1410"/>
      <c r="G48" s="1411"/>
      <c r="H48" s="1412"/>
      <c r="I48" s="1409"/>
      <c r="J48" s="485"/>
      <c r="K48" s="783"/>
      <c r="L48" s="1143"/>
      <c r="M48" s="1131"/>
      <c r="N48" s="1131"/>
      <c r="O48" s="1131"/>
      <c r="P48" s="3228" t="str">
        <f>A48</f>
        <v>成交单价（元/平方米）</v>
      </c>
      <c r="Q48" s="3217"/>
      <c r="R48" s="3218">
        <f>E48</f>
        <v>0</v>
      </c>
      <c r="S48" s="3218"/>
      <c r="T48" s="3218">
        <f>G48</f>
        <v>0</v>
      </c>
      <c r="U48" s="3218"/>
      <c r="V48" s="3218">
        <f>I48</f>
        <v>0</v>
      </c>
      <c r="W48" s="3218"/>
      <c r="X48" s="446"/>
      <c r="Y48" s="781"/>
      <c r="Z48" s="446"/>
      <c r="AA48" s="446"/>
      <c r="AB48" s="446"/>
      <c r="AC48" s="630"/>
    </row>
    <row r="49" spans="1:29" ht="1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228" t="str">
        <f>A49</f>
        <v>比较价值（元/平方米）</v>
      </c>
      <c r="Q49" s="3217"/>
      <c r="R49" s="3218" t="e">
        <f>IF(F1="售价",ROUND(PRODUCT(R48,AA7:AA47),0),ROUND(PRODUCT(R48,AA7:AA47),1))</f>
        <v>#DIV/0!</v>
      </c>
      <c r="S49" s="3218"/>
      <c r="T49" s="3218" t="e">
        <f>IF(F1="售价",ROUND(PRODUCT(T48,AB7:AB47),0),ROUND(PRODUCT(T48,AB7:AB47),1))</f>
        <v>#DIV/0!</v>
      </c>
      <c r="U49" s="3218"/>
      <c r="V49" s="3218" t="e">
        <f>IF(F1="售价",ROUND(PRODUCT(V48,AC7:AC47),0),ROUND(PRODUCT(V48,AC7:AC47),1))</f>
        <v>#DIV/0!</v>
      </c>
      <c r="W49" s="3218"/>
      <c r="X49" s="446"/>
      <c r="Y49" s="446"/>
      <c r="Z49" s="446"/>
      <c r="AA49" s="446"/>
      <c r="AB49" s="446"/>
      <c r="AC49" s="630"/>
    </row>
    <row r="50" spans="1:29" ht="15" thickBot="1">
      <c r="A50" s="492" t="s">
        <v>2668</v>
      </c>
      <c r="B50" s="493"/>
      <c r="C50" s="1417" t="e">
        <f>R50</f>
        <v>#DIV/0!</v>
      </c>
      <c r="D50" s="1417"/>
      <c r="E50" s="1417"/>
      <c r="F50" s="1417"/>
      <c r="G50" s="1417"/>
      <c r="H50" s="1417"/>
      <c r="I50" s="1417"/>
      <c r="J50" s="494"/>
      <c r="K50" s="785"/>
      <c r="L50" s="1143"/>
      <c r="M50" s="1131"/>
      <c r="N50" s="1131"/>
      <c r="O50" s="1131"/>
      <c r="P50" s="3265" t="str">
        <f>A50</f>
        <v>估价对象XX用房的比较价值（楼面单价，元/平方米）</v>
      </c>
      <c r="Q50" s="3266"/>
      <c r="R50" s="3267" t="e">
        <f>IF(F1="售价",ROUND(AVERAGE(R49:V49),0),ROUND(AVERAGE(R49:V49),1))</f>
        <v>#DIV/0!</v>
      </c>
      <c r="S50" s="3267"/>
      <c r="T50" s="3267"/>
      <c r="U50" s="3267"/>
      <c r="V50" s="3267"/>
      <c r="W50" s="3267"/>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 thickBot="1">
      <c r="A58" s="763" t="s">
        <v>2672</v>
      </c>
      <c r="B58" s="759"/>
      <c r="C58" s="764"/>
      <c r="D58" s="764"/>
      <c r="E58" s="764"/>
      <c r="F58" s="765"/>
      <c r="G58" s="765"/>
      <c r="H58" s="764"/>
      <c r="I58" s="764"/>
      <c r="J58" s="764"/>
      <c r="K58" s="766"/>
      <c r="L58" s="1161"/>
      <c r="M58" s="1159"/>
      <c r="N58" s="1159"/>
      <c r="O58" s="1159"/>
      <c r="P58" s="2679"/>
      <c r="Q58" s="504"/>
    </row>
    <row r="59" spans="1:29" s="508" customFormat="1" ht="15">
      <c r="A59" s="505" t="s">
        <v>2547</v>
      </c>
      <c r="B59" s="506"/>
      <c r="C59" s="1574" t="str">
        <f>YEAR(C7)&amp;"-"&amp;MONTH(C7)</f>
        <v>2020-1</v>
      </c>
      <c r="D59" s="1575">
        <f>EDATE(C59,-1)</f>
        <v>43800</v>
      </c>
      <c r="E59" s="1575">
        <f>EDATE(D59,-1)</f>
        <v>43770</v>
      </c>
      <c r="F59" s="1575">
        <f t="shared" ref="F59:O59" si="13">EDATE(E59,-1)</f>
        <v>43739</v>
      </c>
      <c r="G59" s="1575">
        <f t="shared" si="13"/>
        <v>43709</v>
      </c>
      <c r="H59" s="1575">
        <f t="shared" si="13"/>
        <v>43678</v>
      </c>
      <c r="I59" s="1575">
        <f t="shared" si="13"/>
        <v>43647</v>
      </c>
      <c r="J59" s="1575">
        <f t="shared" si="13"/>
        <v>43617</v>
      </c>
      <c r="K59" s="1575">
        <f t="shared" si="13"/>
        <v>43586</v>
      </c>
      <c r="L59" s="1575">
        <f t="shared" si="13"/>
        <v>43556</v>
      </c>
      <c r="M59" s="1575">
        <f t="shared" si="13"/>
        <v>43525</v>
      </c>
      <c r="N59" s="1575">
        <f t="shared" si="13"/>
        <v>43497</v>
      </c>
      <c r="O59" s="1575">
        <f t="shared" si="13"/>
        <v>43466</v>
      </c>
      <c r="P59" s="1571"/>
    </row>
    <row r="60" spans="1:29" s="117" customFormat="1">
      <c r="A60" s="509"/>
      <c r="B60" s="510"/>
      <c r="C60" s="1573">
        <v>100</v>
      </c>
      <c r="D60" s="512"/>
      <c r="E60" s="512"/>
      <c r="F60" s="512"/>
      <c r="G60" s="512"/>
      <c r="H60" s="512"/>
      <c r="I60" s="512"/>
      <c r="J60" s="512"/>
      <c r="K60" s="512"/>
      <c r="L60" s="512"/>
      <c r="M60" s="513"/>
      <c r="N60" s="512"/>
      <c r="O60" s="513"/>
      <c r="P60" s="2680"/>
    </row>
    <row r="61" spans="1:29" s="117" customFormat="1" ht="1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2650</v>
      </c>
      <c r="D62" s="523"/>
      <c r="E62" s="523"/>
      <c r="F62" s="523"/>
      <c r="G62" s="523"/>
      <c r="H62" s="523"/>
      <c r="I62" s="523"/>
      <c r="J62" s="523"/>
      <c r="K62" s="523"/>
      <c r="L62" s="524"/>
      <c r="M62" s="525"/>
      <c r="N62" s="1151"/>
      <c r="O62" s="1151"/>
      <c r="P62" s="2681"/>
      <c r="Q62" s="504"/>
    </row>
    <row r="63" spans="1:29" s="117" customFormat="1" ht="15" thickBot="1">
      <c r="A63" s="521"/>
      <c r="B63" s="510"/>
      <c r="C63" s="511">
        <v>100</v>
      </c>
      <c r="D63" s="512"/>
      <c r="E63" s="512"/>
      <c r="F63" s="512"/>
      <c r="G63" s="512"/>
      <c r="H63" s="512"/>
      <c r="I63" s="512"/>
      <c r="J63" s="512"/>
      <c r="K63" s="512"/>
      <c r="L63" s="512"/>
      <c r="M63" s="514"/>
      <c r="N63" s="1151"/>
      <c r="O63" s="1151"/>
      <c r="P63" s="2680"/>
      <c r="Q63" s="504"/>
    </row>
    <row r="64" spans="1:29" ht="15">
      <c r="A64" s="527" t="s">
        <v>2586</v>
      </c>
      <c r="B64" s="528" t="s">
        <v>2553</v>
      </c>
      <c r="C64" s="529">
        <f>C9</f>
        <v>0</v>
      </c>
      <c r="D64" s="530"/>
      <c r="E64" s="530"/>
      <c r="F64" s="530"/>
      <c r="G64" s="530"/>
      <c r="H64" s="530"/>
      <c r="I64" s="530"/>
      <c r="J64" s="530"/>
      <c r="K64" s="531"/>
      <c r="L64" s="532"/>
      <c r="M64" s="533"/>
      <c r="N64" s="1152"/>
      <c r="O64" s="1152"/>
      <c r="P64" s="2682"/>
      <c r="Q64" s="504"/>
    </row>
    <row r="65" spans="1:17" ht="15" thickBot="1">
      <c r="A65" s="534"/>
      <c r="B65" s="535"/>
      <c r="C65" s="536">
        <v>100</v>
      </c>
      <c r="D65" s="536"/>
      <c r="E65" s="536"/>
      <c r="F65" s="536"/>
      <c r="G65" s="536"/>
      <c r="H65" s="536"/>
      <c r="I65" s="536"/>
      <c r="J65" s="536"/>
      <c r="K65" s="536"/>
      <c r="L65" s="536"/>
      <c r="M65" s="537"/>
      <c r="N65" s="1153"/>
      <c r="O65" s="1153"/>
      <c r="P65" s="2682"/>
      <c r="Q65" s="504"/>
    </row>
    <row r="66" spans="1:17" ht="31" thickTop="1">
      <c r="A66" s="534"/>
      <c r="B66" s="538" t="s">
        <v>2556</v>
      </c>
      <c r="C66" s="539" t="s">
        <v>2587</v>
      </c>
      <c r="D66" s="539" t="s">
        <v>2588</v>
      </c>
      <c r="E66" s="539" t="s">
        <v>2589</v>
      </c>
      <c r="F66" s="539" t="s">
        <v>2590</v>
      </c>
      <c r="G66" s="539" t="s">
        <v>2591</v>
      </c>
      <c r="H66" s="539" t="s">
        <v>2592</v>
      </c>
      <c r="I66" s="539" t="s">
        <v>2593</v>
      </c>
      <c r="J66" s="539"/>
      <c r="K66" s="540"/>
      <c r="L66" s="541"/>
      <c r="M66" s="542"/>
      <c r="N66" s="1152"/>
      <c r="O66" s="1152"/>
      <c r="P66" s="2682"/>
      <c r="Q66" s="504"/>
    </row>
    <row r="67" spans="1:17" ht="16"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6" thickTop="1">
      <c r="A68" s="534"/>
      <c r="B68" s="546" t="s">
        <v>2557</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3"/>
      <c r="O68" s="1153"/>
      <c r="P68" s="2682"/>
      <c r="Q68" s="504"/>
    </row>
    <row r="69" spans="1:17">
      <c r="A69" s="534"/>
      <c r="B69" s="548"/>
      <c r="C69" s="549"/>
      <c r="D69" s="549"/>
      <c r="E69" s="549"/>
      <c r="F69" s="549"/>
      <c r="G69" s="549"/>
      <c r="H69" s="549"/>
      <c r="I69" s="549"/>
      <c r="J69" s="549"/>
      <c r="K69" s="550"/>
      <c r="L69" s="551"/>
      <c r="M69" s="552"/>
      <c r="N69" s="1152"/>
      <c r="O69" s="1152"/>
      <c r="P69" s="2682"/>
      <c r="Q69" s="504"/>
    </row>
    <row r="70" spans="1:17" ht="1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3"/>
      <c r="O70" s="1153"/>
      <c r="P70" s="2682"/>
      <c r="Q70" s="504"/>
    </row>
    <row r="71" spans="1:17" s="471" customFormat="1" ht="15" thickTop="1">
      <c r="A71" s="553"/>
      <c r="B71" s="538">
        <f>B12</f>
        <v>111</v>
      </c>
      <c r="C71" s="554"/>
      <c r="D71" s="554"/>
      <c r="E71" s="554"/>
      <c r="F71" s="554"/>
      <c r="G71" s="554"/>
      <c r="H71" s="555"/>
      <c r="I71" s="555"/>
      <c r="J71" s="555"/>
      <c r="K71" s="555"/>
      <c r="L71" s="556"/>
      <c r="M71" s="557"/>
      <c r="N71" s="1154"/>
      <c r="O71" s="1154"/>
      <c r="P71" s="2683"/>
      <c r="Q71" s="559"/>
    </row>
    <row r="72" spans="1:17" s="471" customFormat="1" ht="15" thickBot="1">
      <c r="A72" s="553"/>
      <c r="B72" s="543"/>
      <c r="C72" s="560"/>
      <c r="D72" s="536"/>
      <c r="E72" s="536"/>
      <c r="F72" s="536"/>
      <c r="G72" s="536"/>
      <c r="H72" s="536"/>
      <c r="I72" s="536"/>
      <c r="J72" s="536"/>
      <c r="K72" s="536"/>
      <c r="L72" s="536"/>
      <c r="M72" s="537"/>
      <c r="N72" s="1153"/>
      <c r="O72" s="1153"/>
      <c r="P72" s="2683"/>
      <c r="Q72" s="559"/>
    </row>
    <row r="73" spans="1:17" s="471" customFormat="1" ht="15" thickTop="1">
      <c r="A73" s="553"/>
      <c r="B73" s="538">
        <f>B13</f>
        <v>111</v>
      </c>
      <c r="C73" s="554"/>
      <c r="D73" s="554"/>
      <c r="E73" s="554"/>
      <c r="F73" s="554"/>
      <c r="G73" s="554"/>
      <c r="H73" s="555"/>
      <c r="I73" s="555"/>
      <c r="J73" s="555"/>
      <c r="K73" s="555"/>
      <c r="L73" s="556"/>
      <c r="M73" s="557"/>
      <c r="N73" s="1154"/>
      <c r="O73" s="1154"/>
      <c r="P73" s="2684"/>
      <c r="Q73" s="561"/>
    </row>
    <row r="74" spans="1:17" s="471" customFormat="1" ht="15" thickBot="1">
      <c r="A74" s="553"/>
      <c r="B74" s="543"/>
      <c r="C74" s="560"/>
      <c r="D74" s="560"/>
      <c r="E74" s="560"/>
      <c r="F74" s="560"/>
      <c r="G74" s="560"/>
      <c r="H74" s="562"/>
      <c r="I74" s="562"/>
      <c r="J74" s="562"/>
      <c r="K74" s="562"/>
      <c r="L74" s="562"/>
      <c r="M74" s="563"/>
      <c r="N74" s="1154"/>
      <c r="O74" s="1154"/>
      <c r="P74" s="2683"/>
      <c r="Q74" s="559"/>
    </row>
    <row r="75" spans="1:17" s="471" customFormat="1" ht="15" thickTop="1">
      <c r="A75" s="553"/>
      <c r="B75" s="546">
        <f>B14</f>
        <v>111</v>
      </c>
      <c r="C75" s="523"/>
      <c r="D75" s="523"/>
      <c r="E75" s="523"/>
      <c r="F75" s="523"/>
      <c r="G75" s="523"/>
      <c r="H75" s="564"/>
      <c r="I75" s="564"/>
      <c r="J75" s="564"/>
      <c r="K75" s="564"/>
      <c r="L75" s="565"/>
      <c r="M75" s="566"/>
      <c r="N75" s="1154"/>
      <c r="O75" s="1154"/>
      <c r="P75" s="2685"/>
      <c r="Q75" s="559"/>
    </row>
    <row r="76" spans="1:17" s="471" customFormat="1" ht="15" thickBot="1">
      <c r="A76" s="568"/>
      <c r="B76" s="569"/>
      <c r="C76" s="570"/>
      <c r="D76" s="570"/>
      <c r="E76" s="570"/>
      <c r="F76" s="570"/>
      <c r="G76" s="570"/>
      <c r="H76" s="571"/>
      <c r="I76" s="571"/>
      <c r="J76" s="571"/>
      <c r="K76" s="571"/>
      <c r="L76" s="571"/>
      <c r="M76" s="572"/>
      <c r="N76" s="1154"/>
      <c r="O76" s="1154"/>
      <c r="P76" s="2683"/>
      <c r="Q76" s="559"/>
    </row>
    <row r="77" spans="1:17" ht="15">
      <c r="A77" s="527" t="s">
        <v>2558</v>
      </c>
      <c r="B77" s="528" t="s">
        <v>2695</v>
      </c>
      <c r="C77" s="573" t="s">
        <v>2595</v>
      </c>
      <c r="D77" s="573" t="s">
        <v>2596</v>
      </c>
      <c r="E77" s="573" t="s">
        <v>2597</v>
      </c>
      <c r="F77" s="573" t="s">
        <v>2598</v>
      </c>
      <c r="G77" s="573" t="s">
        <v>2599</v>
      </c>
      <c r="H77" s="529"/>
      <c r="I77" s="529"/>
      <c r="J77" s="529"/>
      <c r="K77" s="574"/>
      <c r="L77" s="575"/>
      <c r="M77" s="576"/>
      <c r="N77" s="1152"/>
      <c r="O77" s="1152"/>
      <c r="P77" s="2686"/>
      <c r="Q77" s="504"/>
    </row>
    <row r="78" spans="1:17" ht="1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6" thickTop="1">
      <c r="A79" s="534"/>
      <c r="B79" s="538" t="s">
        <v>2600</v>
      </c>
      <c r="C79" s="578" t="s">
        <v>2595</v>
      </c>
      <c r="D79" s="578" t="s">
        <v>2596</v>
      </c>
      <c r="E79" s="578" t="s">
        <v>2597</v>
      </c>
      <c r="F79" s="578" t="s">
        <v>2598</v>
      </c>
      <c r="G79" s="578" t="s">
        <v>2599</v>
      </c>
      <c r="H79" s="539"/>
      <c r="I79" s="539"/>
      <c r="J79" s="539"/>
      <c r="K79" s="540"/>
      <c r="L79" s="541"/>
      <c r="M79" s="542"/>
      <c r="N79" s="1152"/>
      <c r="O79" s="1152"/>
      <c r="P79" s="2682"/>
      <c r="Q79" s="504"/>
    </row>
    <row r="80" spans="1:17" ht="1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6" thickTop="1">
      <c r="A81" s="534"/>
      <c r="B81" s="538" t="s">
        <v>2601</v>
      </c>
      <c r="C81" s="578" t="s">
        <v>2595</v>
      </c>
      <c r="D81" s="578" t="s">
        <v>2596</v>
      </c>
      <c r="E81" s="578" t="s">
        <v>2597</v>
      </c>
      <c r="F81" s="578" t="s">
        <v>2598</v>
      </c>
      <c r="G81" s="578" t="s">
        <v>2599</v>
      </c>
      <c r="H81" s="539"/>
      <c r="I81" s="539"/>
      <c r="J81" s="539"/>
      <c r="K81" s="540"/>
      <c r="L81" s="541"/>
      <c r="M81" s="542"/>
      <c r="N81" s="1152"/>
      <c r="O81" s="1152"/>
      <c r="P81" s="2682"/>
      <c r="Q81" s="504"/>
    </row>
    <row r="82" spans="1:17" ht="1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6" thickTop="1">
      <c r="A83" s="534"/>
      <c r="B83" s="546" t="s">
        <v>2687</v>
      </c>
      <c r="C83" s="660" t="s">
        <v>2673</v>
      </c>
      <c r="D83" s="660" t="s">
        <v>2674</v>
      </c>
      <c r="E83" s="660" t="s">
        <v>2675</v>
      </c>
      <c r="F83" s="660" t="s">
        <v>2676</v>
      </c>
      <c r="G83" s="660" t="s">
        <v>2677</v>
      </c>
      <c r="H83" s="539"/>
      <c r="I83" s="539"/>
      <c r="J83" s="539"/>
      <c r="K83" s="539"/>
      <c r="L83" s="539"/>
      <c r="M83" s="1382"/>
      <c r="N83" s="1153"/>
      <c r="O83" s="1153"/>
      <c r="P83" s="2682"/>
      <c r="Q83" s="504"/>
    </row>
    <row r="84" spans="1:17" ht="1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6" thickTop="1">
      <c r="A85" s="534"/>
      <c r="B85" s="538" t="s">
        <v>2696</v>
      </c>
      <c r="C85" s="578" t="s">
        <v>2595</v>
      </c>
      <c r="D85" s="578" t="s">
        <v>2596</v>
      </c>
      <c r="E85" s="578" t="s">
        <v>2597</v>
      </c>
      <c r="F85" s="578" t="s">
        <v>2598</v>
      </c>
      <c r="G85" s="578" t="s">
        <v>2599</v>
      </c>
      <c r="H85" s="539"/>
      <c r="I85" s="539"/>
      <c r="J85" s="539"/>
      <c r="K85" s="540"/>
      <c r="L85" s="541"/>
      <c r="M85" s="542"/>
      <c r="N85" s="1152"/>
      <c r="O85" s="1152"/>
      <c r="P85" s="2682"/>
      <c r="Q85" s="504"/>
    </row>
    <row r="86" spans="1:17" ht="1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31" thickTop="1">
      <c r="A87" s="579"/>
      <c r="B87" s="538" t="s">
        <v>2697</v>
      </c>
      <c r="C87" s="554"/>
      <c r="D87" s="554"/>
      <c r="E87" s="554"/>
      <c r="F87" s="554"/>
      <c r="G87" s="554"/>
      <c r="H87" s="554"/>
      <c r="I87" s="554"/>
      <c r="J87" s="554"/>
      <c r="K87" s="554"/>
      <c r="L87" s="580"/>
      <c r="M87" s="581"/>
      <c r="N87" s="1151"/>
      <c r="O87" s="1151"/>
      <c r="P87" s="2682"/>
      <c r="Q87" s="504"/>
    </row>
    <row r="88" spans="1:17" s="117" customFormat="1" ht="1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3"/>
      <c r="O88" s="1153"/>
      <c r="P88" s="2682"/>
      <c r="Q88" s="504"/>
    </row>
    <row r="89" spans="1:17" s="117" customFormat="1" ht="16"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3"/>
      <c r="O90" s="1153"/>
      <c r="P90" s="2682"/>
      <c r="Q90" s="504"/>
    </row>
    <row r="91" spans="1:17" s="471" customFormat="1" ht="16"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4"/>
      <c r="O92" s="1154"/>
      <c r="P92" s="2683"/>
      <c r="Q92" s="559"/>
    </row>
    <row r="93" spans="1:17" ht="15" thickTop="1">
      <c r="A93" s="534"/>
      <c r="B93" s="538">
        <f>B29</f>
        <v>111</v>
      </c>
      <c r="C93" s="554"/>
      <c r="D93" s="554"/>
      <c r="E93" s="554"/>
      <c r="F93" s="554"/>
      <c r="G93" s="554"/>
      <c r="H93" s="554"/>
      <c r="I93" s="554"/>
      <c r="J93" s="554"/>
      <c r="K93" s="554"/>
      <c r="L93" s="580"/>
      <c r="M93" s="581"/>
      <c r="N93" s="1152"/>
      <c r="O93" s="1152"/>
      <c r="P93" s="2682"/>
      <c r="Q93" s="504"/>
    </row>
    <row r="94" spans="1:17" ht="15" thickBot="1">
      <c r="A94" s="534"/>
      <c r="B94" s="543"/>
      <c r="C94" s="560"/>
      <c r="D94" s="536"/>
      <c r="E94" s="536"/>
      <c r="F94" s="536"/>
      <c r="G94" s="536"/>
      <c r="H94" s="536"/>
      <c r="I94" s="536"/>
      <c r="J94" s="536"/>
      <c r="K94" s="536"/>
      <c r="L94" s="536"/>
      <c r="M94" s="537"/>
      <c r="N94" s="1153"/>
      <c r="O94" s="1153"/>
      <c r="P94" s="2682"/>
      <c r="Q94" s="504"/>
    </row>
    <row r="95" spans="1:17" ht="15" thickTop="1">
      <c r="A95" s="534"/>
      <c r="B95" s="538">
        <f>B30</f>
        <v>111</v>
      </c>
      <c r="C95" s="554"/>
      <c r="D95" s="554"/>
      <c r="E95" s="554"/>
      <c r="F95" s="554"/>
      <c r="G95" s="583"/>
      <c r="H95" s="583"/>
      <c r="I95" s="583"/>
      <c r="J95" s="583"/>
      <c r="K95" s="584"/>
      <c r="L95" s="585"/>
      <c r="M95" s="586"/>
      <c r="N95" s="1152"/>
      <c r="O95" s="1152"/>
      <c r="P95" s="2682"/>
      <c r="Q95" s="504"/>
    </row>
    <row r="96" spans="1:17" ht="15" thickBot="1">
      <c r="A96" s="534"/>
      <c r="B96" s="543"/>
      <c r="C96" s="560"/>
      <c r="D96" s="560"/>
      <c r="E96" s="560"/>
      <c r="F96" s="560"/>
      <c r="G96" s="536"/>
      <c r="H96" s="536"/>
      <c r="I96" s="536"/>
      <c r="J96" s="536"/>
      <c r="K96" s="536"/>
      <c r="L96" s="536"/>
      <c r="M96" s="537"/>
      <c r="N96" s="1153"/>
      <c r="O96" s="1153"/>
      <c r="P96" s="2682"/>
      <c r="Q96" s="504"/>
    </row>
    <row r="97" spans="1:17" ht="15" thickTop="1">
      <c r="A97" s="534"/>
      <c r="B97" s="538">
        <f>B31</f>
        <v>111</v>
      </c>
      <c r="C97" s="554"/>
      <c r="D97" s="554"/>
      <c r="E97" s="554"/>
      <c r="F97" s="554"/>
      <c r="G97" s="583"/>
      <c r="H97" s="583"/>
      <c r="I97" s="583"/>
      <c r="J97" s="583"/>
      <c r="K97" s="584"/>
      <c r="L97" s="585"/>
      <c r="M97" s="586"/>
      <c r="N97" s="1152"/>
      <c r="O97" s="1152"/>
      <c r="P97" s="2682"/>
      <c r="Q97" s="504"/>
    </row>
    <row r="98" spans="1:17" ht="15" thickBot="1">
      <c r="A98" s="534"/>
      <c r="B98" s="543"/>
      <c r="C98" s="560"/>
      <c r="D98" s="536"/>
      <c r="E98" s="536"/>
      <c r="F98" s="536"/>
      <c r="G98" s="536"/>
      <c r="H98" s="536"/>
      <c r="I98" s="536"/>
      <c r="J98" s="536"/>
      <c r="K98" s="536"/>
      <c r="L98" s="536"/>
      <c r="M98" s="537"/>
      <c r="N98" s="1153"/>
      <c r="O98" s="1153"/>
      <c r="P98" s="2682"/>
      <c r="Q98" s="504"/>
    </row>
    <row r="99" spans="1:17" ht="15" thickTop="1">
      <c r="A99" s="534"/>
      <c r="B99" s="546">
        <f>B32</f>
        <v>111</v>
      </c>
      <c r="C99" s="523"/>
      <c r="D99" s="523"/>
      <c r="E99" s="523"/>
      <c r="F99" s="523"/>
      <c r="G99" s="587"/>
      <c r="H99" s="587"/>
      <c r="I99" s="587"/>
      <c r="J99" s="587"/>
      <c r="K99" s="588"/>
      <c r="L99" s="589"/>
      <c r="M99" s="590"/>
      <c r="N99" s="1152"/>
      <c r="O99" s="1152"/>
      <c r="P99" s="2682"/>
      <c r="Q99" s="504"/>
    </row>
    <row r="100" spans="1:17" ht="15" thickBot="1">
      <c r="A100" s="2634"/>
      <c r="B100" s="569"/>
      <c r="C100" s="570"/>
      <c r="D100" s="570"/>
      <c r="E100" s="570"/>
      <c r="F100" s="570"/>
      <c r="G100" s="591"/>
      <c r="H100" s="591"/>
      <c r="I100" s="591"/>
      <c r="J100" s="591"/>
      <c r="K100" s="591"/>
      <c r="L100" s="591"/>
      <c r="M100" s="592"/>
      <c r="N100" s="1153"/>
      <c r="O100" s="1153"/>
      <c r="P100" s="2682"/>
      <c r="Q100" s="504"/>
    </row>
    <row r="101" spans="1:17" ht="15">
      <c r="A101" s="527" t="s">
        <v>2562</v>
      </c>
      <c r="B101" s="528" t="s">
        <v>2610</v>
      </c>
      <c r="C101" s="530"/>
      <c r="D101" s="530"/>
      <c r="E101" s="530"/>
      <c r="F101" s="530"/>
      <c r="G101" s="530"/>
      <c r="H101" s="530"/>
      <c r="I101" s="530"/>
      <c r="J101" s="530"/>
      <c r="K101" s="531"/>
      <c r="L101" s="532"/>
      <c r="M101" s="533"/>
      <c r="N101" s="1152"/>
      <c r="O101" s="1152"/>
      <c r="P101" s="2682"/>
      <c r="Q101" s="504"/>
    </row>
    <row r="102" spans="1:17" ht="1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3"/>
      <c r="O102" s="1153"/>
      <c r="P102" s="2682"/>
      <c r="Q102" s="504"/>
    </row>
    <row r="103" spans="1:17" ht="16" thickTop="1">
      <c r="A103" s="534"/>
      <c r="B103" s="538" t="s">
        <v>2611</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 thickBot="1">
      <c r="A105" s="553"/>
      <c r="B105" s="543"/>
      <c r="C105" s="560"/>
      <c r="D105" s="536"/>
      <c r="E105" s="536"/>
      <c r="F105" s="536"/>
      <c r="G105" s="536"/>
      <c r="H105" s="536"/>
      <c r="I105" s="536"/>
      <c r="J105" s="536"/>
      <c r="K105" s="536"/>
      <c r="L105" s="536"/>
      <c r="M105" s="537"/>
      <c r="N105" s="1153"/>
      <c r="O105" s="1153"/>
      <c r="P105" s="2683"/>
      <c r="Q105" s="559"/>
    </row>
    <row r="106" spans="1:17" ht="16" thickTop="1">
      <c r="A106" s="599"/>
      <c r="B106" s="538" t="s">
        <v>2612</v>
      </c>
      <c r="C106" s="554"/>
      <c r="D106" s="554"/>
      <c r="E106" s="583"/>
      <c r="F106" s="583"/>
      <c r="G106" s="583"/>
      <c r="H106" s="583"/>
      <c r="I106" s="583"/>
      <c r="J106" s="583"/>
      <c r="K106" s="584"/>
      <c r="L106" s="585"/>
      <c r="M106" s="586"/>
      <c r="N106" s="1152"/>
      <c r="O106" s="1152"/>
      <c r="P106" s="2682"/>
      <c r="Q106" s="504"/>
    </row>
    <row r="107" spans="1:17" ht="1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3"/>
      <c r="O107" s="1153"/>
      <c r="P107" s="2682"/>
      <c r="Q107" s="504"/>
    </row>
    <row r="108" spans="1:17" ht="16" thickTop="1">
      <c r="A108" s="599"/>
      <c r="B108" s="538" t="s">
        <v>2614</v>
      </c>
      <c r="C108" s="554"/>
      <c r="D108" s="554"/>
      <c r="E108" s="554"/>
      <c r="F108" s="583"/>
      <c r="G108" s="583"/>
      <c r="H108" s="583"/>
      <c r="I108" s="583"/>
      <c r="J108" s="583"/>
      <c r="K108" s="584"/>
      <c r="L108" s="585"/>
      <c r="M108" s="586"/>
      <c r="N108" s="1152"/>
      <c r="O108" s="1152"/>
      <c r="P108" s="2682"/>
      <c r="Q108" s="504"/>
    </row>
    <row r="109" spans="1:17" ht="1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3"/>
      <c r="O109" s="1153"/>
      <c r="P109" s="2682"/>
      <c r="Q109" s="504"/>
    </row>
    <row r="110" spans="1:17" ht="16"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3"/>
      <c r="O112" s="1153"/>
      <c r="P112" s="2682"/>
      <c r="Q112" s="504"/>
    </row>
    <row r="113" spans="1:17" s="471" customFormat="1" ht="16" thickTop="1">
      <c r="A113" s="593"/>
      <c r="B113" s="538" t="s">
        <v>2698</v>
      </c>
      <c r="C113" s="554"/>
      <c r="D113" s="554"/>
      <c r="E113" s="554"/>
      <c r="F113" s="554"/>
      <c r="G113" s="554"/>
      <c r="H113" s="583"/>
      <c r="I113" s="583"/>
      <c r="J113" s="583"/>
      <c r="K113" s="584"/>
      <c r="L113" s="585"/>
      <c r="M113" s="586"/>
      <c r="N113" s="1154"/>
      <c r="O113" s="1154"/>
      <c r="P113" s="2683"/>
      <c r="Q113" s="559"/>
    </row>
    <row r="114" spans="1:17" s="471" customFormat="1" ht="1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4"/>
      <c r="O114" s="1154"/>
      <c r="P114" s="2683"/>
      <c r="Q114" s="559"/>
    </row>
    <row r="115" spans="1:17" ht="16" thickTop="1">
      <c r="A115" s="599"/>
      <c r="B115" s="538" t="s">
        <v>2615</v>
      </c>
      <c r="C115" s="554"/>
      <c r="D115" s="554"/>
      <c r="E115" s="583"/>
      <c r="F115" s="583"/>
      <c r="G115" s="583"/>
      <c r="H115" s="583"/>
      <c r="I115" s="583"/>
      <c r="J115" s="583"/>
      <c r="K115" s="584"/>
      <c r="L115" s="585"/>
      <c r="M115" s="586"/>
      <c r="N115" s="1152"/>
      <c r="O115" s="1152"/>
      <c r="P115" s="2682"/>
      <c r="Q115" s="504"/>
    </row>
    <row r="116" spans="1:17" ht="1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3"/>
      <c r="O116" s="1153"/>
      <c r="P116" s="2682"/>
      <c r="Q116" s="504"/>
    </row>
    <row r="117" spans="1:17" ht="16" thickTop="1">
      <c r="A117" s="599"/>
      <c r="B117" s="538" t="s">
        <v>2616</v>
      </c>
      <c r="C117" s="554"/>
      <c r="D117" s="554"/>
      <c r="E117" s="554"/>
      <c r="F117" s="554"/>
      <c r="G117" s="554"/>
      <c r="H117" s="583"/>
      <c r="I117" s="583"/>
      <c r="J117" s="583"/>
      <c r="K117" s="584"/>
      <c r="L117" s="585"/>
      <c r="M117" s="586"/>
      <c r="N117" s="1152"/>
      <c r="O117" s="1152"/>
      <c r="P117" s="2682"/>
      <c r="Q117" s="504"/>
    </row>
    <row r="118" spans="1:17" ht="1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6" thickTop="1">
      <c r="A119" s="599"/>
      <c r="B119" s="636" t="s">
        <v>2699</v>
      </c>
      <c r="C119" s="583"/>
      <c r="D119" s="583"/>
      <c r="E119" s="583"/>
      <c r="F119" s="583"/>
      <c r="G119" s="583"/>
      <c r="H119" s="583"/>
      <c r="I119" s="583"/>
      <c r="J119" s="583"/>
      <c r="K119" s="583"/>
      <c r="L119" s="2687"/>
      <c r="M119" s="2688"/>
      <c r="N119" s="1153"/>
      <c r="O119" s="1153"/>
      <c r="P119" s="2689"/>
      <c r="Q119" s="638"/>
    </row>
    <row r="120" spans="1:17" ht="1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3"/>
      <c r="O120" s="1153"/>
      <c r="P120" s="2682"/>
      <c r="Q120" s="504"/>
    </row>
    <row r="121" spans="1:17" s="471" customFormat="1" ht="16" thickTop="1">
      <c r="A121" s="593"/>
      <c r="B121" s="538" t="s">
        <v>2682</v>
      </c>
      <c r="C121" s="554"/>
      <c r="D121" s="554"/>
      <c r="E121" s="554"/>
      <c r="F121" s="583"/>
      <c r="G121" s="555"/>
      <c r="H121" s="555"/>
      <c r="I121" s="555"/>
      <c r="J121" s="555"/>
      <c r="K121" s="555"/>
      <c r="L121" s="556"/>
      <c r="M121" s="557"/>
      <c r="N121" s="1154"/>
      <c r="O121" s="1154"/>
      <c r="P121" s="2683"/>
      <c r="Q121" s="559"/>
    </row>
    <row r="122" spans="1:17" s="471" customFormat="1" ht="15" thickBot="1">
      <c r="A122" s="553"/>
      <c r="B122" s="535"/>
      <c r="C122" s="560"/>
      <c r="D122" s="560"/>
      <c r="E122" s="560"/>
      <c r="F122" s="560"/>
      <c r="G122" s="560"/>
      <c r="H122" s="560"/>
      <c r="I122" s="560"/>
      <c r="J122" s="560"/>
      <c r="K122" s="560"/>
      <c r="L122" s="560"/>
      <c r="M122" s="560"/>
      <c r="N122" s="1154"/>
      <c r="O122" s="1154"/>
      <c r="P122" s="2683"/>
      <c r="Q122" s="559"/>
    </row>
    <row r="123" spans="1:17" ht="16" thickTop="1">
      <c r="A123" s="599"/>
      <c r="B123" s="538" t="s">
        <v>2618</v>
      </c>
      <c r="C123" s="554"/>
      <c r="D123" s="554"/>
      <c r="E123" s="554"/>
      <c r="F123" s="583"/>
      <c r="G123" s="583"/>
      <c r="H123" s="583"/>
      <c r="I123" s="583"/>
      <c r="J123" s="583"/>
      <c r="K123" s="584"/>
      <c r="L123" s="585"/>
      <c r="M123" s="586"/>
      <c r="N123" s="1152"/>
      <c r="O123" s="1152"/>
      <c r="P123" s="2682"/>
      <c r="Q123" s="504"/>
    </row>
    <row r="124" spans="1:17" ht="1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3"/>
      <c r="O124" s="1153"/>
      <c r="P124" s="2682"/>
      <c r="Q124" s="504"/>
    </row>
    <row r="125" spans="1:17" ht="16"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3"/>
      <c r="Q125" s="504"/>
    </row>
    <row r="126" spans="1:17" ht="1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baseColWidth="10" defaultColWidth="9" defaultRowHeight="14"/>
  <cols>
    <col min="1" max="1" width="84" style="1944" customWidth="1"/>
    <col min="2" max="16384" width="9" style="1944"/>
  </cols>
  <sheetData>
    <row r="1" spans="1:1" ht="24">
      <c r="A1" s="1943" t="s">
        <v>1605</v>
      </c>
    </row>
    <row r="2" spans="1:1">
      <c r="A2" s="1945"/>
    </row>
    <row r="3" spans="1:1" ht="18">
      <c r="A3" s="1946" t="str">
        <f>项目基本情况!B5&amp;"："</f>
        <v>北京博大新元房地产开发有限公司：</v>
      </c>
    </row>
    <row r="4" spans="1:1" ht="38">
      <c r="A4" s="1947" t="str">
        <f>"受贵公司委托，我公司对"&amp;项目基本情况!S1&amp;"进行了预评估。"</f>
        <v>受贵公司委托，我公司对北京市北京经济技术开发区河西区X90R1、X90S1地块出让国有建设用地使用权及在建建筑物房地产抵押价值进行了预评估。</v>
      </c>
    </row>
    <row r="5" spans="1:1" ht="18">
      <c r="A5" s="1948" t="s">
        <v>1606</v>
      </c>
    </row>
    <row r="6" spans="1:1" ht="18">
      <c r="A6" s="1949" t="s">
        <v>1607</v>
      </c>
    </row>
    <row r="7" spans="1:1" ht="7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河西区X90R1、X90S1地块出让国有建设用地使用权及在建建筑物房地产，为北京博大新元房地产开发有限公司所有。根据《国有土地使用证》[]，估价对象（分摊）出让国有建设用地使用权面积为43648.1平方米，建筑面积为86971.4平方米。</v>
      </c>
    </row>
    <row r="8" spans="1:1" ht="56">
      <c r="A8" s="1950" t="s">
        <v>1608</v>
      </c>
    </row>
    <row r="9" spans="1:1" ht="18">
      <c r="A9" s="1949" t="s">
        <v>1609</v>
      </c>
    </row>
    <row r="10" spans="1:1" ht="76">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河西区X90R1、X90S1地块出让国有建设用地使用权及在建建筑物房地产,属北京博大新元房地产开发有限公司开发建设的，该项目尚在开发建设中。根据《国有土地使用证》[]，估价对象（分摊）出让国有建设用地使用权面积为43648.1平方米，规划建筑面积为86971.4平方米。</v>
      </c>
    </row>
    <row r="11" spans="1:1" ht="74">
      <c r="A11" s="1950" t="s">
        <v>1610</v>
      </c>
    </row>
    <row r="12" spans="1:1" ht="18">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
      <c r="A14" s="1952" t="s">
        <v>1612</v>
      </c>
    </row>
    <row r="15" spans="1:1" ht="18">
      <c r="A15" s="1953" t="str">
        <f>TEXT(项目基本情况!D3,"yyyy年m月d日;;")&amp;IF(项目基本情况!D3=项目基本情况!B3,"（评估专业人员实地查勘之日）","")</f>
        <v>2020年1月17日（评估专业人员实地查勘之日）</v>
      </c>
    </row>
    <row r="16" spans="1:1" ht="18">
      <c r="A16" s="1952" t="s">
        <v>1613</v>
      </c>
    </row>
    <row r="17" spans="1:1" ht="72">
      <c r="A17" s="1947" t="s">
        <v>1614</v>
      </c>
    </row>
    <row r="18" spans="1:1" ht="57">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9">
      <c r="A20" s="1947" t="str">
        <f>IF(项目基本情况!B9="房地产市场价值","——",IF(项目基本情况!E8="房地产抵押价值",定义!C54,IF(项目基本情况!E8="已注销",定义!C55,定义!C56)))</f>
        <v>——</v>
      </c>
    </row>
    <row r="21" spans="1:1" ht="19">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9">
      <c r="A22" s="1947" t="str">
        <f>IF(项目基本情况!B9="房地产市场价值","——",IF(项目基本情况!E9="——","",定义!C57))</f>
        <v>——</v>
      </c>
    </row>
    <row r="23" spans="1:1" ht="18">
      <c r="A23" s="1952" t="s">
        <v>1603</v>
      </c>
    </row>
    <row r="24" spans="1:1" ht="18">
      <c r="A24" s="1954" t="str">
        <f>"本次评估采用的主估价方法为"&amp;结果表!K4&amp;"和"&amp;结果表!L4&amp;"。"</f>
        <v>本次评估采用的主估价方法为比较法和比较法。</v>
      </c>
    </row>
    <row r="25" spans="1:1" ht="18">
      <c r="A25" s="1954"/>
    </row>
    <row r="26" spans="1:1" ht="18">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zoomScale="90" zoomScaleNormal="90" workbookViewId="0">
      <selection activeCell="F3" sqref="F3"/>
    </sheetView>
  </sheetViews>
  <sheetFormatPr baseColWidth="10" defaultColWidth="9" defaultRowHeight="14"/>
  <cols>
    <col min="1" max="1" width="10.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9" customFormat="1" ht="28.5" customHeight="1" thickBot="1">
      <c r="A1" s="1618" t="s">
        <v>2527</v>
      </c>
      <c r="B1" s="2667" t="s">
        <v>2700</v>
      </c>
      <c r="C1" s="1620" t="s">
        <v>2529</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4"/>
      <c r="D2" s="1124"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2642</v>
      </c>
      <c r="D3" s="399">
        <f>IF(D1="",'数据-汇总表'!E3,SUMIF('数据-汇总表'!$C19:$C33,D1,'数据-汇总表'!$E19:$E33))</f>
        <v>86971.4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32" t="s">
        <v>2644</v>
      </c>
      <c r="D4" s="3233"/>
      <c r="E4" s="3234" t="s">
        <v>2645</v>
      </c>
      <c r="F4" s="3235"/>
      <c r="G4" s="3232" t="s">
        <v>2646</v>
      </c>
      <c r="H4" s="3233"/>
      <c r="I4" s="3232" t="s">
        <v>2647</v>
      </c>
      <c r="J4" s="3233"/>
      <c r="K4" s="610" t="s">
        <v>2648</v>
      </c>
      <c r="L4" s="1130"/>
      <c r="M4" s="1131"/>
      <c r="N4" s="1131"/>
      <c r="O4" s="1131"/>
      <c r="P4" s="3236" t="s">
        <v>2649</v>
      </c>
      <c r="Q4" s="3237"/>
      <c r="R4" s="3242" t="s">
        <v>2645</v>
      </c>
      <c r="S4" s="3243"/>
      <c r="T4" s="3242" t="s">
        <v>2646</v>
      </c>
      <c r="U4" s="3243"/>
      <c r="V4" s="3248" t="s">
        <v>2647</v>
      </c>
      <c r="W4" s="3248"/>
      <c r="X4" s="1813"/>
      <c r="Y4" s="3242" t="s">
        <v>2649</v>
      </c>
      <c r="Z4" s="3243"/>
      <c r="AA4" s="3229" t="s">
        <v>2645</v>
      </c>
      <c r="AB4" s="3230" t="s">
        <v>2646</v>
      </c>
      <c r="AC4" s="3229" t="s">
        <v>2647</v>
      </c>
    </row>
    <row r="5" spans="1:29">
      <c r="A5" s="404"/>
      <c r="B5" s="405"/>
      <c r="C5" s="3263" t="s">
        <v>2541</v>
      </c>
      <c r="D5" s="3257"/>
      <c r="E5" s="3264" t="s">
        <v>2542</v>
      </c>
      <c r="F5" s="3262"/>
      <c r="G5" s="3263" t="s">
        <v>2543</v>
      </c>
      <c r="H5" s="3257"/>
      <c r="I5" s="3263" t="s">
        <v>2544</v>
      </c>
      <c r="J5" s="3257"/>
      <c r="K5" s="610"/>
      <c r="L5" s="1130"/>
      <c r="M5" s="1131"/>
      <c r="N5" s="1131"/>
      <c r="O5" s="1131"/>
      <c r="P5" s="3238"/>
      <c r="Q5" s="3239"/>
      <c r="R5" s="3244"/>
      <c r="S5" s="3245"/>
      <c r="T5" s="3244"/>
      <c r="U5" s="3245"/>
      <c r="V5" s="3248"/>
      <c r="W5" s="3248"/>
      <c r="X5" s="1813"/>
      <c r="Y5" s="3244"/>
      <c r="Z5" s="3245"/>
      <c r="AA5" s="3230"/>
      <c r="AB5" s="3230"/>
      <c r="AC5" s="3230"/>
    </row>
    <row r="6" spans="1:29" ht="16" thickBot="1">
      <c r="A6" s="406"/>
      <c r="B6" s="407"/>
      <c r="C6" s="3249" t="s">
        <v>2545</v>
      </c>
      <c r="D6" s="3250"/>
      <c r="E6" s="3259" t="s">
        <v>2545</v>
      </c>
      <c r="F6" s="3260"/>
      <c r="G6" s="3249" t="s">
        <v>2545</v>
      </c>
      <c r="H6" s="3250"/>
      <c r="I6" s="3249" t="s">
        <v>2545</v>
      </c>
      <c r="J6" s="3250"/>
      <c r="K6" s="610" t="s">
        <v>2546</v>
      </c>
      <c r="L6" s="1130"/>
      <c r="M6" s="1131"/>
      <c r="N6" s="1131"/>
      <c r="O6" s="1131"/>
      <c r="P6" s="3240"/>
      <c r="Q6" s="3241"/>
      <c r="R6" s="3244"/>
      <c r="S6" s="3245"/>
      <c r="T6" s="3246"/>
      <c r="U6" s="3247"/>
      <c r="V6" s="3248"/>
      <c r="W6" s="3248"/>
      <c r="X6" s="1813"/>
      <c r="Y6" s="3246"/>
      <c r="Z6" s="3247"/>
      <c r="AA6" s="3231"/>
      <c r="AB6" s="3231"/>
      <c r="AC6" s="3231"/>
    </row>
    <row r="7" spans="1:29" s="117" customFormat="1" ht="16" thickBot="1">
      <c r="A7" s="408" t="s">
        <v>2547</v>
      </c>
      <c r="B7" s="409"/>
      <c r="C7" s="410">
        <f>'数据-取费表'!B2</f>
        <v>43847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53" t="s">
        <v>2548</v>
      </c>
      <c r="Q7" s="3255"/>
      <c r="R7" s="770" t="s">
        <v>17</v>
      </c>
      <c r="S7" s="771">
        <f t="shared" ref="S7:S15" si="0">F7</f>
        <v>0</v>
      </c>
      <c r="T7" s="770" t="s">
        <v>17</v>
      </c>
      <c r="U7" s="771">
        <f t="shared" ref="U7:U15" si="1">H7</f>
        <v>0</v>
      </c>
      <c r="V7" s="770" t="s">
        <v>17</v>
      </c>
      <c r="W7" s="771">
        <f t="shared" ref="W7:W15" si="2">J7</f>
        <v>0</v>
      </c>
      <c r="X7" s="772"/>
      <c r="Y7" s="3253" t="s">
        <v>2548</v>
      </c>
      <c r="Z7" s="3254"/>
      <c r="AA7" s="773" t="e">
        <f>D7/F7</f>
        <v>#DIV/0!</v>
      </c>
      <c r="AB7" s="773" t="e">
        <f>D7/H7</f>
        <v>#DIV/0!</v>
      </c>
      <c r="AC7" s="773" t="e">
        <f>D7/J7</f>
        <v>#DIV/0!</v>
      </c>
    </row>
    <row r="8" spans="1:29" s="117" customFormat="1" ht="16"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53" t="s">
        <v>2551</v>
      </c>
      <c r="Q8" s="3254"/>
      <c r="R8" s="770" t="s">
        <v>17</v>
      </c>
      <c r="S8" s="771">
        <f t="shared" si="0"/>
        <v>0</v>
      </c>
      <c r="T8" s="770" t="s">
        <v>17</v>
      </c>
      <c r="U8" s="771">
        <f t="shared" si="1"/>
        <v>0</v>
      </c>
      <c r="V8" s="770" t="s">
        <v>17</v>
      </c>
      <c r="W8" s="771">
        <f t="shared" si="2"/>
        <v>0</v>
      </c>
      <c r="X8" s="772"/>
      <c r="Y8" s="3253" t="s">
        <v>2551</v>
      </c>
      <c r="Z8" s="3254"/>
      <c r="AA8" s="773" t="e">
        <f t="shared" ref="AA8:AA40" si="3">D8/F8</f>
        <v>#DIV/0!</v>
      </c>
      <c r="AB8" s="773" t="e">
        <f t="shared" ref="AB8:AB40" si="4">D8/H8</f>
        <v>#DIV/0!</v>
      </c>
      <c r="AC8" s="773" t="e">
        <f t="shared" ref="AC8:AC40" si="5">D8/J8</f>
        <v>#DIV/0!</v>
      </c>
    </row>
    <row r="9" spans="1:29" s="117" customFormat="1" ht="15">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7" t="s">
        <v>2554</v>
      </c>
      <c r="Q9" s="1795" t="str">
        <f t="shared" ref="Q9:Q15" si="6">B9</f>
        <v>用途</v>
      </c>
      <c r="R9" s="770" t="s">
        <v>17</v>
      </c>
      <c r="S9" s="771">
        <f t="shared" si="0"/>
        <v>100</v>
      </c>
      <c r="T9" s="770" t="s">
        <v>17</v>
      </c>
      <c r="U9" s="771">
        <f t="shared" si="1"/>
        <v>100</v>
      </c>
      <c r="V9" s="770" t="s">
        <v>17</v>
      </c>
      <c r="W9" s="771">
        <f t="shared" si="2"/>
        <v>100</v>
      </c>
      <c r="X9" s="772"/>
      <c r="Y9" s="3037" t="s">
        <v>2555</v>
      </c>
      <c r="Z9" s="55" t="str">
        <f t="shared" ref="Z9:Z15" si="7">Q9</f>
        <v>用途</v>
      </c>
      <c r="AA9" s="773">
        <f t="shared" si="3"/>
        <v>1</v>
      </c>
      <c r="AB9" s="773">
        <f t="shared" si="4"/>
        <v>1</v>
      </c>
      <c r="AC9" s="773">
        <f t="shared" si="5"/>
        <v>1</v>
      </c>
    </row>
    <row r="10" spans="1:29" s="427" customFormat="1" ht="30">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7"/>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6">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7"/>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6">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17"/>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6">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17"/>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7"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17"/>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60">
      <c r="A15" s="440" t="s">
        <v>2558</v>
      </c>
      <c r="B15" s="69" t="s">
        <v>2701</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9" t="s">
        <v>2559</v>
      </c>
      <c r="Q15" s="1810" t="str">
        <f t="shared" si="6"/>
        <v>产业集聚程度</v>
      </c>
      <c r="R15" s="774" t="s">
        <v>17</v>
      </c>
      <c r="S15" s="775">
        <f t="shared" si="0"/>
        <v>100</v>
      </c>
      <c r="T15" s="774" t="s">
        <v>17</v>
      </c>
      <c r="U15" s="775">
        <f t="shared" si="1"/>
        <v>100</v>
      </c>
      <c r="V15" s="774" t="s">
        <v>17</v>
      </c>
      <c r="W15" s="775">
        <f t="shared" si="2"/>
        <v>100</v>
      </c>
      <c r="X15" s="1813"/>
      <c r="Y15" s="3219" t="s">
        <v>2559</v>
      </c>
      <c r="Z15" s="1814" t="str">
        <f t="shared" si="7"/>
        <v>产业集聚程度</v>
      </c>
      <c r="AA15" s="1811">
        <f t="shared" si="3"/>
        <v>1</v>
      </c>
      <c r="AB15" s="1811">
        <f t="shared" si="4"/>
        <v>1</v>
      </c>
      <c r="AC15" s="1811">
        <f t="shared" si="5"/>
        <v>1</v>
      </c>
    </row>
    <row r="16" spans="1:29" ht="16">
      <c r="A16" s="428"/>
      <c r="B16" s="446"/>
      <c r="C16" s="447"/>
      <c r="D16" s="448"/>
      <c r="E16" s="447"/>
      <c r="F16" s="449"/>
      <c r="G16" s="447"/>
      <c r="H16" s="450"/>
      <c r="I16" s="447"/>
      <c r="J16" s="448"/>
      <c r="K16" s="615"/>
      <c r="L16" s="1140"/>
      <c r="M16" s="1131"/>
      <c r="N16" s="1131"/>
      <c r="O16" s="1139"/>
      <c r="P16" s="3220"/>
      <c r="Q16" s="1810"/>
      <c r="R16" s="774"/>
      <c r="S16" s="775"/>
      <c r="T16" s="774"/>
      <c r="U16" s="775"/>
      <c r="V16" s="774"/>
      <c r="W16" s="775"/>
      <c r="X16" s="1813"/>
      <c r="Y16" s="3220"/>
      <c r="Z16" s="1814"/>
      <c r="AA16" s="1811">
        <v>1</v>
      </c>
      <c r="AB16" s="1811">
        <v>1</v>
      </c>
      <c r="AC16" s="1811">
        <v>1</v>
      </c>
    </row>
    <row r="17" spans="1:29" ht="90">
      <c r="A17" s="428"/>
      <c r="B17" s="451" t="s">
        <v>2095</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0"/>
      <c r="Q17" s="1810" t="str">
        <f>B17</f>
        <v>交通便捷度</v>
      </c>
      <c r="R17" s="774" t="s">
        <v>17</v>
      </c>
      <c r="S17" s="775">
        <f>F17</f>
        <v>100</v>
      </c>
      <c r="T17" s="774" t="s">
        <v>17</v>
      </c>
      <c r="U17" s="775">
        <f>H17</f>
        <v>100</v>
      </c>
      <c r="V17" s="774" t="s">
        <v>17</v>
      </c>
      <c r="W17" s="775">
        <f>J17</f>
        <v>100</v>
      </c>
      <c r="X17" s="1813"/>
      <c r="Y17" s="3220"/>
      <c r="Z17" s="1814" t="str">
        <f>Q17</f>
        <v>交通便捷度</v>
      </c>
      <c r="AA17" s="1811">
        <f t="shared" si="3"/>
        <v>1</v>
      </c>
      <c r="AB17" s="1811">
        <f t="shared" si="4"/>
        <v>1</v>
      </c>
      <c r="AC17" s="1811">
        <f t="shared" si="5"/>
        <v>1</v>
      </c>
    </row>
    <row r="18" spans="1:29" ht="16">
      <c r="A18" s="428"/>
      <c r="B18" s="456"/>
      <c r="C18" s="2606"/>
      <c r="D18" s="450"/>
      <c r="E18" s="2608"/>
      <c r="F18" s="453"/>
      <c r="G18" s="2607"/>
      <c r="H18" s="448"/>
      <c r="I18" s="2608"/>
      <c r="J18" s="448"/>
      <c r="K18" s="615"/>
      <c r="L18" s="1140"/>
      <c r="M18" s="1131"/>
      <c r="N18" s="1131"/>
      <c r="O18" s="1139"/>
      <c r="P18" s="3220"/>
      <c r="Q18" s="1810"/>
      <c r="R18" s="774"/>
      <c r="S18" s="775"/>
      <c r="T18" s="774"/>
      <c r="U18" s="775"/>
      <c r="V18" s="774"/>
      <c r="W18" s="775"/>
      <c r="X18" s="1813"/>
      <c r="Y18" s="3220"/>
      <c r="Z18" s="1814"/>
      <c r="AA18" s="1811">
        <v>1</v>
      </c>
      <c r="AB18" s="1811">
        <v>1</v>
      </c>
      <c r="AC18" s="1811">
        <v>1</v>
      </c>
    </row>
    <row r="19" spans="1:29" ht="45">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0"/>
      <c r="Q19" s="1810" t="str">
        <f>B19</f>
        <v>公共配套设施</v>
      </c>
      <c r="R19" s="774" t="s">
        <v>17</v>
      </c>
      <c r="S19" s="775">
        <f>F19</f>
        <v>100</v>
      </c>
      <c r="T19" s="774" t="s">
        <v>17</v>
      </c>
      <c r="U19" s="775">
        <f>H19</f>
        <v>100</v>
      </c>
      <c r="V19" s="774" t="s">
        <v>17</v>
      </c>
      <c r="W19" s="775">
        <f>J19</f>
        <v>100</v>
      </c>
      <c r="X19" s="1813"/>
      <c r="Y19" s="3220"/>
      <c r="Z19" s="1814" t="str">
        <f>Q19</f>
        <v>公共配套设施</v>
      </c>
      <c r="AA19" s="1811">
        <f t="shared" si="3"/>
        <v>1</v>
      </c>
      <c r="AB19" s="1811">
        <f t="shared" si="4"/>
        <v>1</v>
      </c>
      <c r="AC19" s="1811">
        <f t="shared" si="5"/>
        <v>1</v>
      </c>
    </row>
    <row r="20" spans="1:29" ht="16">
      <c r="A20" s="428"/>
      <c r="B20" s="456"/>
      <c r="C20" s="447"/>
      <c r="D20" s="448"/>
      <c r="E20" s="2603"/>
      <c r="F20" s="449"/>
      <c r="G20" s="2602"/>
      <c r="H20" s="448"/>
      <c r="I20" s="2603"/>
      <c r="J20" s="448"/>
      <c r="K20" s="615"/>
      <c r="L20" s="1140"/>
      <c r="M20" s="1131"/>
      <c r="N20" s="1131"/>
      <c r="O20" s="1139"/>
      <c r="P20" s="3220"/>
      <c r="Q20" s="1810"/>
      <c r="R20" s="774"/>
      <c r="S20" s="775"/>
      <c r="T20" s="774"/>
      <c r="U20" s="775"/>
      <c r="V20" s="774"/>
      <c r="W20" s="775"/>
      <c r="X20" s="1813"/>
      <c r="Y20" s="3220"/>
      <c r="Z20" s="1814"/>
      <c r="AA20" s="1811">
        <v>1</v>
      </c>
      <c r="AB20" s="1811">
        <v>1</v>
      </c>
      <c r="AC20" s="1811">
        <v>1</v>
      </c>
    </row>
    <row r="21" spans="1:29" ht="30">
      <c r="A21" s="428"/>
      <c r="B21" s="1384"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0"/>
      <c r="Q21" s="1810" t="str">
        <f>B21</f>
        <v>基础设施水平</v>
      </c>
      <c r="R21" s="774" t="s">
        <v>17</v>
      </c>
      <c r="S21" s="775">
        <f>F21</f>
        <v>100</v>
      </c>
      <c r="T21" s="774" t="s">
        <v>17</v>
      </c>
      <c r="U21" s="775">
        <f>H21</f>
        <v>100</v>
      </c>
      <c r="V21" s="774" t="s">
        <v>17</v>
      </c>
      <c r="W21" s="775">
        <f>J21</f>
        <v>100</v>
      </c>
      <c r="X21" s="1813"/>
      <c r="Y21" s="3220"/>
      <c r="Z21" s="1814" t="str">
        <f>Q21</f>
        <v>基础设施水平</v>
      </c>
      <c r="AA21" s="1811">
        <f>D21/F21</f>
        <v>1</v>
      </c>
      <c r="AB21" s="1811">
        <f>D21/H21</f>
        <v>1</v>
      </c>
      <c r="AC21" s="1811">
        <f>D21/J21</f>
        <v>1</v>
      </c>
    </row>
    <row r="22" spans="1:29" ht="16">
      <c r="A22" s="428"/>
      <c r="B22" s="1384"/>
      <c r="C22" s="2606"/>
      <c r="D22" s="448"/>
      <c r="E22" s="447"/>
      <c r="F22" s="449"/>
      <c r="G22" s="447"/>
      <c r="H22" s="448"/>
      <c r="I22" s="447"/>
      <c r="J22" s="448"/>
      <c r="K22" s="1383"/>
      <c r="L22" s="1140"/>
      <c r="M22" s="1131"/>
      <c r="N22" s="1131"/>
      <c r="O22" s="1139"/>
      <c r="P22" s="3220"/>
      <c r="Q22" s="1810"/>
      <c r="R22" s="774"/>
      <c r="S22" s="775"/>
      <c r="T22" s="774"/>
      <c r="U22" s="775"/>
      <c r="V22" s="774"/>
      <c r="W22" s="775"/>
      <c r="X22" s="1813"/>
      <c r="Y22" s="3220"/>
      <c r="Z22" s="1814"/>
      <c r="AA22" s="1811">
        <v>1</v>
      </c>
      <c r="AB22" s="1811">
        <v>1</v>
      </c>
      <c r="AC22" s="1811">
        <v>1</v>
      </c>
    </row>
    <row r="23" spans="1:29" ht="75">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0"/>
      <c r="Q23" s="1810" t="str">
        <f>B23</f>
        <v>环境质量</v>
      </c>
      <c r="R23" s="774" t="s">
        <v>17</v>
      </c>
      <c r="S23" s="775">
        <f>F23</f>
        <v>100</v>
      </c>
      <c r="T23" s="774" t="s">
        <v>17</v>
      </c>
      <c r="U23" s="775">
        <f>H23</f>
        <v>100</v>
      </c>
      <c r="V23" s="774" t="s">
        <v>17</v>
      </c>
      <c r="W23" s="775">
        <f>J23</f>
        <v>100</v>
      </c>
      <c r="X23" s="1813"/>
      <c r="Y23" s="3220"/>
      <c r="Z23" s="1814" t="str">
        <f>Q23</f>
        <v>环境质量</v>
      </c>
      <c r="AA23" s="1811">
        <f t="shared" si="3"/>
        <v>1</v>
      </c>
      <c r="AB23" s="1811">
        <f t="shared" si="4"/>
        <v>1</v>
      </c>
      <c r="AC23" s="1811">
        <f t="shared" si="5"/>
        <v>1</v>
      </c>
    </row>
    <row r="24" spans="1:29" ht="16">
      <c r="A24" s="428"/>
      <c r="B24" s="1384"/>
      <c r="C24" s="447"/>
      <c r="D24" s="448"/>
      <c r="E24" s="2603"/>
      <c r="F24" s="449"/>
      <c r="G24" s="2602"/>
      <c r="H24" s="448"/>
      <c r="I24" s="2603"/>
      <c r="J24" s="448"/>
      <c r="K24" s="615"/>
      <c r="L24" s="1140"/>
      <c r="M24" s="1131"/>
      <c r="N24" s="1131"/>
      <c r="O24" s="1139"/>
      <c r="P24" s="3220"/>
      <c r="Q24" s="1810"/>
      <c r="R24" s="774"/>
      <c r="S24" s="775"/>
      <c r="T24" s="774"/>
      <c r="U24" s="775"/>
      <c r="V24" s="774"/>
      <c r="W24" s="775"/>
      <c r="X24" s="1813"/>
      <c r="Y24" s="3220"/>
      <c r="Z24" s="1814"/>
      <c r="AA24" s="1811">
        <v>1</v>
      </c>
      <c r="AB24" s="1811">
        <v>1</v>
      </c>
      <c r="AC24" s="1811">
        <v>1</v>
      </c>
    </row>
    <row r="25" spans="1:29" ht="16">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0"/>
      <c r="Q25" s="1810">
        <f>B25</f>
        <v>111</v>
      </c>
      <c r="R25" s="774" t="s">
        <v>17</v>
      </c>
      <c r="S25" s="775">
        <f>F25</f>
        <v>100</v>
      </c>
      <c r="T25" s="774" t="s">
        <v>17</v>
      </c>
      <c r="U25" s="775">
        <f>H25</f>
        <v>100</v>
      </c>
      <c r="V25" s="774" t="s">
        <v>17</v>
      </c>
      <c r="W25" s="775">
        <f>J25</f>
        <v>100</v>
      </c>
      <c r="X25" s="1813"/>
      <c r="Y25" s="3220"/>
      <c r="Z25" s="1814">
        <f>Q25</f>
        <v>111</v>
      </c>
      <c r="AA25" s="1811">
        <f t="shared" si="3"/>
        <v>1</v>
      </c>
      <c r="AB25" s="1811">
        <f t="shared" si="4"/>
        <v>1</v>
      </c>
      <c r="AC25" s="1811">
        <f t="shared" si="5"/>
        <v>1</v>
      </c>
    </row>
    <row r="26" spans="1:29" ht="16">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0"/>
      <c r="Q26" s="1810">
        <f t="shared" ref="Q26:Q40" si="8">B26</f>
        <v>111</v>
      </c>
      <c r="R26" s="774" t="s">
        <v>17</v>
      </c>
      <c r="S26" s="775">
        <f>F26</f>
        <v>100</v>
      </c>
      <c r="T26" s="774" t="s">
        <v>17</v>
      </c>
      <c r="U26" s="775">
        <f>H26</f>
        <v>100</v>
      </c>
      <c r="V26" s="774" t="s">
        <v>17</v>
      </c>
      <c r="W26" s="775">
        <f>J26</f>
        <v>100</v>
      </c>
      <c r="X26" s="1813"/>
      <c r="Y26" s="3220"/>
      <c r="Z26" s="1814">
        <f>Q26</f>
        <v>111</v>
      </c>
      <c r="AA26" s="1811">
        <f t="shared" si="3"/>
        <v>1</v>
      </c>
      <c r="AB26" s="1811">
        <f t="shared" si="4"/>
        <v>1</v>
      </c>
      <c r="AC26" s="1811">
        <f t="shared" si="5"/>
        <v>1</v>
      </c>
    </row>
    <row r="27" spans="1:29" s="117" customFormat="1" ht="16">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0"/>
      <c r="Q27" s="1795">
        <f t="shared" si="8"/>
        <v>111</v>
      </c>
      <c r="R27" s="770" t="s">
        <v>17</v>
      </c>
      <c r="S27" s="771">
        <f>F27</f>
        <v>100</v>
      </c>
      <c r="T27" s="770" t="s">
        <v>17</v>
      </c>
      <c r="U27" s="771">
        <f>H27</f>
        <v>100</v>
      </c>
      <c r="V27" s="770" t="s">
        <v>17</v>
      </c>
      <c r="W27" s="771">
        <f>J27</f>
        <v>100</v>
      </c>
      <c r="X27" s="772"/>
      <c r="Y27" s="3220"/>
      <c r="Z27" s="55">
        <f>Q27</f>
        <v>111</v>
      </c>
      <c r="AA27" s="1811">
        <f>D27/F27</f>
        <v>1</v>
      </c>
      <c r="AB27" s="1811">
        <f>D27/H27</f>
        <v>1</v>
      </c>
      <c r="AC27" s="1811">
        <f>D27/J27</f>
        <v>1</v>
      </c>
    </row>
    <row r="28" spans="1:29" ht="17"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0"/>
      <c r="Q28" s="1810">
        <f t="shared" si="8"/>
        <v>111</v>
      </c>
      <c r="R28" s="774" t="s">
        <v>17</v>
      </c>
      <c r="S28" s="775">
        <f t="shared" ref="S28:S40" si="9">F28</f>
        <v>100</v>
      </c>
      <c r="T28" s="774" t="s">
        <v>17</v>
      </c>
      <c r="U28" s="775">
        <f t="shared" ref="U28:U40" si="10">H28</f>
        <v>100</v>
      </c>
      <c r="V28" s="774" t="s">
        <v>17</v>
      </c>
      <c r="W28" s="775">
        <f t="shared" ref="W28:W40" si="11">J28</f>
        <v>100</v>
      </c>
      <c r="X28" s="1813"/>
      <c r="Y28" s="3220"/>
      <c r="Z28" s="1814">
        <f t="shared" ref="Z28:Z40" si="12">Q28</f>
        <v>111</v>
      </c>
      <c r="AA28" s="1811">
        <f t="shared" si="3"/>
        <v>1</v>
      </c>
      <c r="AB28" s="1811">
        <f t="shared" si="4"/>
        <v>1</v>
      </c>
      <c r="AC28" s="1811">
        <f t="shared" si="5"/>
        <v>1</v>
      </c>
    </row>
    <row r="29" spans="1:29" ht="20">
      <c r="A29" s="466" t="s">
        <v>2562</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80" t="s">
        <v>2564</v>
      </c>
      <c r="Q29" s="1810" t="str">
        <f t="shared" si="8"/>
        <v>建筑类型</v>
      </c>
      <c r="R29" s="774" t="s">
        <v>17</v>
      </c>
      <c r="S29" s="775">
        <f t="shared" si="9"/>
        <v>100</v>
      </c>
      <c r="T29" s="774" t="s">
        <v>17</v>
      </c>
      <c r="U29" s="775">
        <f t="shared" si="10"/>
        <v>100</v>
      </c>
      <c r="V29" s="774" t="s">
        <v>17</v>
      </c>
      <c r="W29" s="775">
        <f t="shared" si="11"/>
        <v>100</v>
      </c>
      <c r="X29" s="1813"/>
      <c r="Y29" s="3224" t="s">
        <v>2564</v>
      </c>
      <c r="Z29" s="1814" t="str">
        <f t="shared" si="12"/>
        <v>建筑类型</v>
      </c>
      <c r="AA29" s="1811">
        <f t="shared" si="3"/>
        <v>1</v>
      </c>
      <c r="AB29" s="1811">
        <f t="shared" si="4"/>
        <v>1</v>
      </c>
      <c r="AC29" s="1811">
        <f t="shared" si="5"/>
        <v>1</v>
      </c>
    </row>
    <row r="30" spans="1:29" s="471" customFormat="1" ht="16">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4"/>
      <c r="Q30" s="776" t="str">
        <f t="shared" si="8"/>
        <v>项目建筑规模</v>
      </c>
      <c r="R30" s="777" t="s">
        <v>17</v>
      </c>
      <c r="S30" s="778" t="e">
        <f t="shared" si="9"/>
        <v>#N/A</v>
      </c>
      <c r="T30" s="777" t="s">
        <v>17</v>
      </c>
      <c r="U30" s="778" t="e">
        <f t="shared" si="10"/>
        <v>#N/A</v>
      </c>
      <c r="V30" s="777" t="s">
        <v>17</v>
      </c>
      <c r="W30" s="778" t="e">
        <f t="shared" si="11"/>
        <v>#N/A</v>
      </c>
      <c r="X30" s="779"/>
      <c r="Y30" s="3224"/>
      <c r="Z30" s="780" t="str">
        <f t="shared" si="12"/>
        <v>项目建筑规模</v>
      </c>
      <c r="AA30" s="1811" t="e">
        <f t="shared" si="3"/>
        <v>#N/A</v>
      </c>
      <c r="AB30" s="1811" t="e">
        <f t="shared" si="4"/>
        <v>#N/A</v>
      </c>
      <c r="AC30" s="1811" t="e">
        <f t="shared" si="5"/>
        <v>#N/A</v>
      </c>
    </row>
    <row r="31" spans="1:29" ht="16">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4"/>
      <c r="Q31" s="1810" t="str">
        <f t="shared" si="8"/>
        <v>建筑结构</v>
      </c>
      <c r="R31" s="774" t="s">
        <v>17</v>
      </c>
      <c r="S31" s="775">
        <f t="shared" si="9"/>
        <v>100</v>
      </c>
      <c r="T31" s="774" t="s">
        <v>17</v>
      </c>
      <c r="U31" s="775">
        <f t="shared" si="10"/>
        <v>100</v>
      </c>
      <c r="V31" s="774" t="s">
        <v>17</v>
      </c>
      <c r="W31" s="775">
        <f t="shared" si="11"/>
        <v>100</v>
      </c>
      <c r="X31" s="1813"/>
      <c r="Y31" s="3224"/>
      <c r="Z31" s="1814" t="str">
        <f t="shared" si="12"/>
        <v>建筑结构</v>
      </c>
      <c r="AA31" s="1811">
        <f t="shared" si="3"/>
        <v>1</v>
      </c>
      <c r="AB31" s="1811">
        <f t="shared" si="4"/>
        <v>1</v>
      </c>
      <c r="AC31" s="1811">
        <f t="shared" si="5"/>
        <v>1</v>
      </c>
    </row>
    <row r="32" spans="1:29" ht="16">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4"/>
      <c r="Q32" s="1810" t="str">
        <f t="shared" si="8"/>
        <v>公共部分装修</v>
      </c>
      <c r="R32" s="774" t="s">
        <v>17</v>
      </c>
      <c r="S32" s="775">
        <f t="shared" si="9"/>
        <v>100</v>
      </c>
      <c r="T32" s="774" t="s">
        <v>17</v>
      </c>
      <c r="U32" s="775">
        <f t="shared" si="10"/>
        <v>100</v>
      </c>
      <c r="V32" s="774" t="s">
        <v>17</v>
      </c>
      <c r="W32" s="775">
        <f t="shared" si="11"/>
        <v>100</v>
      </c>
      <c r="X32" s="1813"/>
      <c r="Y32" s="3224"/>
      <c r="Z32" s="1814" t="str">
        <f t="shared" si="12"/>
        <v>公共部分装修</v>
      </c>
      <c r="AA32" s="1811">
        <f t="shared" si="3"/>
        <v>1</v>
      </c>
      <c r="AB32" s="1811">
        <f t="shared" si="4"/>
        <v>1</v>
      </c>
      <c r="AC32" s="1811">
        <f t="shared" si="5"/>
        <v>1</v>
      </c>
    </row>
    <row r="33" spans="1:29" ht="16">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4"/>
      <c r="Q33" s="1810" t="str">
        <f t="shared" si="8"/>
        <v>成新度</v>
      </c>
      <c r="R33" s="774" t="s">
        <v>17</v>
      </c>
      <c r="S33" s="775" t="e">
        <f t="shared" si="9"/>
        <v>#N/A</v>
      </c>
      <c r="T33" s="774" t="s">
        <v>17</v>
      </c>
      <c r="U33" s="775" t="e">
        <f t="shared" si="10"/>
        <v>#N/A</v>
      </c>
      <c r="V33" s="774" t="s">
        <v>17</v>
      </c>
      <c r="W33" s="775" t="e">
        <f t="shared" si="11"/>
        <v>#N/A</v>
      </c>
      <c r="X33" s="1813"/>
      <c r="Y33" s="3224"/>
      <c r="Z33" s="1814" t="str">
        <f t="shared" si="12"/>
        <v>成新度</v>
      </c>
      <c r="AA33" s="1811" t="e">
        <f t="shared" si="3"/>
        <v>#N/A</v>
      </c>
      <c r="AB33" s="1811" t="e">
        <f t="shared" si="4"/>
        <v>#N/A</v>
      </c>
      <c r="AC33" s="1811" t="e">
        <f t="shared" si="5"/>
        <v>#N/A</v>
      </c>
    </row>
    <row r="34" spans="1:29" s="117" customFormat="1" ht="16">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4"/>
      <c r="Q34" s="1795" t="str">
        <f t="shared" si="8"/>
        <v>物业管理</v>
      </c>
      <c r="R34" s="770" t="s">
        <v>17</v>
      </c>
      <c r="S34" s="771">
        <f t="shared" si="9"/>
        <v>100</v>
      </c>
      <c r="T34" s="770" t="s">
        <v>17</v>
      </c>
      <c r="U34" s="771">
        <f t="shared" si="10"/>
        <v>100</v>
      </c>
      <c r="V34" s="770" t="s">
        <v>17</v>
      </c>
      <c r="W34" s="771">
        <f t="shared" si="11"/>
        <v>100</v>
      </c>
      <c r="X34" s="772"/>
      <c r="Y34" s="3224"/>
      <c r="Z34" s="55" t="str">
        <f t="shared" si="12"/>
        <v>物业管理</v>
      </c>
      <c r="AA34" s="773">
        <f t="shared" si="3"/>
        <v>1</v>
      </c>
      <c r="AB34" s="773">
        <f t="shared" si="4"/>
        <v>1</v>
      </c>
      <c r="AC34" s="773">
        <f t="shared" si="5"/>
        <v>1</v>
      </c>
    </row>
    <row r="35" spans="1:29" ht="16">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4" t="s">
        <v>2564</v>
      </c>
      <c r="Q35" s="1810" t="str">
        <f t="shared" si="8"/>
        <v>市政基础设施</v>
      </c>
      <c r="R35" s="774" t="s">
        <v>17</v>
      </c>
      <c r="S35" s="775">
        <f t="shared" si="9"/>
        <v>100</v>
      </c>
      <c r="T35" s="774" t="s">
        <v>17</v>
      </c>
      <c r="U35" s="775">
        <f t="shared" si="10"/>
        <v>100</v>
      </c>
      <c r="V35" s="774" t="s">
        <v>17</v>
      </c>
      <c r="W35" s="775">
        <f t="shared" si="11"/>
        <v>100</v>
      </c>
      <c r="X35" s="1813"/>
      <c r="Y35" s="3224" t="s">
        <v>2564</v>
      </c>
      <c r="Z35" s="1814" t="str">
        <f t="shared" si="12"/>
        <v>市政基础设施</v>
      </c>
      <c r="AA35" s="1811">
        <f t="shared" si="3"/>
        <v>1</v>
      </c>
      <c r="AB35" s="1811">
        <f t="shared" si="4"/>
        <v>1</v>
      </c>
      <c r="AC35" s="1811">
        <f t="shared" si="5"/>
        <v>1</v>
      </c>
    </row>
    <row r="36" spans="1:29" ht="16">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4"/>
      <c r="Q36" s="1810" t="str">
        <f t="shared" si="8"/>
        <v>内部装修</v>
      </c>
      <c r="R36" s="774" t="s">
        <v>17</v>
      </c>
      <c r="S36" s="775">
        <f t="shared" si="9"/>
        <v>100</v>
      </c>
      <c r="T36" s="774" t="s">
        <v>17</v>
      </c>
      <c r="U36" s="775">
        <f t="shared" si="10"/>
        <v>100</v>
      </c>
      <c r="V36" s="774" t="s">
        <v>17</v>
      </c>
      <c r="W36" s="775">
        <f t="shared" si="11"/>
        <v>100</v>
      </c>
      <c r="X36" s="1813"/>
      <c r="Y36" s="3224"/>
      <c r="Z36" s="1814" t="str">
        <f t="shared" si="12"/>
        <v>内部装修</v>
      </c>
      <c r="AA36" s="1811">
        <f t="shared" si="3"/>
        <v>1</v>
      </c>
      <c r="AB36" s="1811">
        <f t="shared" si="4"/>
        <v>1</v>
      </c>
      <c r="AC36" s="1811">
        <f t="shared" si="5"/>
        <v>1</v>
      </c>
    </row>
    <row r="37" spans="1:29" ht="16">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4"/>
      <c r="Q37" s="1810" t="str">
        <f t="shared" si="8"/>
        <v>内部装修状况</v>
      </c>
      <c r="R37" s="774" t="s">
        <v>17</v>
      </c>
      <c r="S37" s="775">
        <f t="shared" si="9"/>
        <v>100</v>
      </c>
      <c r="T37" s="774" t="s">
        <v>17</v>
      </c>
      <c r="U37" s="775">
        <f t="shared" si="10"/>
        <v>100</v>
      </c>
      <c r="V37" s="774" t="s">
        <v>17</v>
      </c>
      <c r="W37" s="775">
        <f t="shared" si="11"/>
        <v>100</v>
      </c>
      <c r="X37" s="1813"/>
      <c r="Y37" s="3224"/>
      <c r="Z37" s="1814" t="str">
        <f t="shared" si="12"/>
        <v>内部装修状况</v>
      </c>
      <c r="AA37" s="1811">
        <f t="shared" si="3"/>
        <v>1</v>
      </c>
      <c r="AB37" s="1811">
        <f t="shared" si="4"/>
        <v>1</v>
      </c>
      <c r="AC37" s="1811">
        <f t="shared" si="5"/>
        <v>1</v>
      </c>
    </row>
    <row r="38" spans="1:29" s="471" customFormat="1" ht="16">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4"/>
      <c r="Q38" s="776">
        <f t="shared" si="8"/>
        <v>111</v>
      </c>
      <c r="R38" s="777" t="s">
        <v>17</v>
      </c>
      <c r="S38" s="778">
        <f t="shared" si="9"/>
        <v>100</v>
      </c>
      <c r="T38" s="777" t="s">
        <v>17</v>
      </c>
      <c r="U38" s="778">
        <f t="shared" si="10"/>
        <v>100</v>
      </c>
      <c r="V38" s="777" t="s">
        <v>17</v>
      </c>
      <c r="W38" s="778">
        <f t="shared" si="11"/>
        <v>100</v>
      </c>
      <c r="X38" s="779"/>
      <c r="Y38" s="3224"/>
      <c r="Z38" s="780">
        <f t="shared" si="12"/>
        <v>111</v>
      </c>
      <c r="AA38" s="1811">
        <f t="shared" si="3"/>
        <v>1</v>
      </c>
      <c r="AB38" s="1811">
        <f t="shared" si="4"/>
        <v>1</v>
      </c>
      <c r="AC38" s="1811">
        <f t="shared" si="5"/>
        <v>1</v>
      </c>
    </row>
    <row r="39" spans="1:29" ht="16">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4"/>
      <c r="Q39" s="1810">
        <f t="shared" si="8"/>
        <v>111</v>
      </c>
      <c r="R39" s="774" t="s">
        <v>17</v>
      </c>
      <c r="S39" s="775">
        <f t="shared" si="9"/>
        <v>100</v>
      </c>
      <c r="T39" s="774" t="s">
        <v>17</v>
      </c>
      <c r="U39" s="775">
        <f t="shared" si="10"/>
        <v>100</v>
      </c>
      <c r="V39" s="774" t="s">
        <v>17</v>
      </c>
      <c r="W39" s="775">
        <f t="shared" si="11"/>
        <v>100</v>
      </c>
      <c r="X39" s="1813"/>
      <c r="Y39" s="3224"/>
      <c r="Z39" s="1814">
        <f t="shared" si="12"/>
        <v>111</v>
      </c>
      <c r="AA39" s="1811">
        <f t="shared" si="3"/>
        <v>1</v>
      </c>
      <c r="AB39" s="1811">
        <f t="shared" si="4"/>
        <v>1</v>
      </c>
      <c r="AC39" s="1811">
        <f t="shared" si="5"/>
        <v>1</v>
      </c>
    </row>
    <row r="40" spans="1:29" ht="17"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5"/>
      <c r="Q40" s="1810">
        <f t="shared" si="8"/>
        <v>111</v>
      </c>
      <c r="R40" s="774" t="s">
        <v>17</v>
      </c>
      <c r="S40" s="775">
        <f t="shared" si="9"/>
        <v>100</v>
      </c>
      <c r="T40" s="774" t="s">
        <v>17</v>
      </c>
      <c r="U40" s="775">
        <f t="shared" si="10"/>
        <v>100</v>
      </c>
      <c r="V40" s="774" t="s">
        <v>17</v>
      </c>
      <c r="W40" s="775">
        <f t="shared" si="11"/>
        <v>100</v>
      </c>
      <c r="X40" s="1813"/>
      <c r="Y40" s="3225"/>
      <c r="Z40" s="1814">
        <f t="shared" si="12"/>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17" t="str">
        <f>A41</f>
        <v>成交单价（元/平方米）</v>
      </c>
      <c r="Q41" s="3217"/>
      <c r="R41" s="3218">
        <f>E41</f>
        <v>0</v>
      </c>
      <c r="S41" s="3218"/>
      <c r="T41" s="3218">
        <f>G41</f>
        <v>0</v>
      </c>
      <c r="U41" s="3218"/>
      <c r="V41" s="3218">
        <f>I41</f>
        <v>0</v>
      </c>
      <c r="W41" s="3218"/>
      <c r="X41" s="759"/>
      <c r="Y41" s="781"/>
      <c r="Z41" s="759"/>
      <c r="AA41" s="759"/>
      <c r="AB41" s="759"/>
      <c r="AC41" s="759"/>
    </row>
    <row r="42" spans="1:29" ht="1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9"/>
      <c r="Y42" s="759"/>
      <c r="Z42" s="759"/>
      <c r="AA42" s="759"/>
      <c r="AB42" s="759"/>
      <c r="AC42" s="759"/>
    </row>
    <row r="43" spans="1:29" ht="15" thickBot="1">
      <c r="A43" s="492" t="s">
        <v>2668</v>
      </c>
      <c r="B43" s="493"/>
      <c r="C43" s="1417" t="e">
        <f>R43</f>
        <v>#DIV/0!</v>
      </c>
      <c r="D43" s="1417"/>
      <c r="E43" s="1417"/>
      <c r="F43" s="1417"/>
      <c r="G43" s="1417"/>
      <c r="H43" s="1417"/>
      <c r="I43" s="1417"/>
      <c r="J43" s="1417"/>
      <c r="K43" s="785"/>
      <c r="L43" s="1143"/>
      <c r="M43" s="1144"/>
      <c r="N43" s="1144"/>
      <c r="O43" s="1144"/>
      <c r="P43" s="3214" t="str">
        <f>A43</f>
        <v>估价对象XX用房的比较价值（楼面单价，元/平方米）</v>
      </c>
      <c r="Q43" s="3215"/>
      <c r="R43" s="3216" t="e">
        <f>IF(F1="售价",ROUND(AVERAGE(R42:V42),0),ROUND(AVERAGE(R42:V42),1))</f>
        <v>#DIV/0!</v>
      </c>
      <c r="S43" s="3216"/>
      <c r="T43" s="3216"/>
      <c r="U43" s="3216"/>
      <c r="V43" s="3216"/>
      <c r="W43" s="321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2020-1</v>
      </c>
      <c r="D52" s="1575">
        <f>EDATE(C52,-1)</f>
        <v>43800</v>
      </c>
      <c r="E52" s="1575">
        <f t="shared" ref="E52:O52" si="13">EDATE(D52,-1)</f>
        <v>43770</v>
      </c>
      <c r="F52" s="1575">
        <f t="shared" si="13"/>
        <v>43739</v>
      </c>
      <c r="G52" s="1575">
        <f t="shared" si="13"/>
        <v>43709</v>
      </c>
      <c r="H52" s="1575">
        <f t="shared" si="13"/>
        <v>43678</v>
      </c>
      <c r="I52" s="1575">
        <f t="shared" si="13"/>
        <v>43647</v>
      </c>
      <c r="J52" s="1575">
        <f t="shared" si="13"/>
        <v>43617</v>
      </c>
      <c r="K52" s="1575">
        <f t="shared" si="13"/>
        <v>43586</v>
      </c>
      <c r="L52" s="1575">
        <f t="shared" si="13"/>
        <v>43556</v>
      </c>
      <c r="M52" s="1575">
        <f t="shared" si="13"/>
        <v>43525</v>
      </c>
      <c r="N52" s="1575">
        <f t="shared" si="13"/>
        <v>43497</v>
      </c>
      <c r="O52" s="1575">
        <f t="shared" si="13"/>
        <v>43466</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2650</v>
      </c>
      <c r="D55" s="523"/>
      <c r="E55" s="523"/>
      <c r="F55" s="523"/>
      <c r="G55" s="523"/>
      <c r="H55" s="523"/>
      <c r="I55" s="523"/>
      <c r="J55" s="523"/>
      <c r="K55" s="523"/>
      <c r="L55" s="524"/>
      <c r="M55" s="525"/>
      <c r="N55" s="1151"/>
      <c r="O55" s="1151"/>
      <c r="P55" s="526"/>
      <c r="Q55" s="504"/>
    </row>
    <row r="56" spans="1:17" s="117" customFormat="1" ht="15" thickBot="1">
      <c r="A56" s="521"/>
      <c r="B56" s="510"/>
      <c r="C56" s="639">
        <v>100</v>
      </c>
      <c r="D56" s="512"/>
      <c r="E56" s="512"/>
      <c r="F56" s="512"/>
      <c r="G56" s="512"/>
      <c r="H56" s="512"/>
      <c r="I56" s="512"/>
      <c r="J56" s="512"/>
      <c r="K56" s="512"/>
      <c r="L56" s="512"/>
      <c r="M56" s="514"/>
      <c r="N56" s="1151"/>
      <c r="O56" s="1151"/>
      <c r="P56" s="504"/>
      <c r="Q56" s="504"/>
    </row>
    <row r="57" spans="1:17" ht="15">
      <c r="A57" s="527" t="s">
        <v>2586</v>
      </c>
      <c r="B57" s="528" t="s">
        <v>2553</v>
      </c>
      <c r="C57" s="529">
        <f>C9</f>
        <v>0</v>
      </c>
      <c r="D57" s="530"/>
      <c r="E57" s="530"/>
      <c r="F57" s="530"/>
      <c r="G57" s="530"/>
      <c r="H57" s="530"/>
      <c r="I57" s="530"/>
      <c r="J57" s="530"/>
      <c r="K57" s="531"/>
      <c r="L57" s="532"/>
      <c r="M57" s="533"/>
      <c r="N57" s="1152"/>
      <c r="O57" s="1152"/>
      <c r="P57" s="45"/>
      <c r="Q57" s="504"/>
    </row>
    <row r="58" spans="1:17" ht="15" thickBot="1">
      <c r="A58" s="534"/>
      <c r="B58" s="535"/>
      <c r="C58" s="536">
        <v>100</v>
      </c>
      <c r="D58" s="536"/>
      <c r="E58" s="536"/>
      <c r="F58" s="536"/>
      <c r="G58" s="536"/>
      <c r="H58" s="536"/>
      <c r="I58" s="536"/>
      <c r="J58" s="536"/>
      <c r="K58" s="536"/>
      <c r="L58" s="536"/>
      <c r="M58" s="537"/>
      <c r="N58" s="1153"/>
      <c r="O58" s="1153"/>
      <c r="P58" s="45"/>
      <c r="Q58" s="504"/>
    </row>
    <row r="59" spans="1:17" ht="31" thickTop="1">
      <c r="A59" s="534"/>
      <c r="B59" s="538" t="s">
        <v>2556</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6"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6" thickTop="1">
      <c r="A61" s="534"/>
      <c r="B61" s="546" t="s">
        <v>2557</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3"/>
      <c r="O63" s="1153"/>
      <c r="P63" s="45"/>
      <c r="Q63" s="504"/>
    </row>
    <row r="64" spans="1:17" s="471" customFormat="1" ht="15" thickTop="1">
      <c r="A64" s="553"/>
      <c r="B64" s="538">
        <f>B12</f>
        <v>111</v>
      </c>
      <c r="C64" s="554"/>
      <c r="D64" s="554"/>
      <c r="E64" s="554"/>
      <c r="F64" s="554"/>
      <c r="G64" s="554"/>
      <c r="H64" s="555"/>
      <c r="I64" s="555"/>
      <c r="J64" s="555"/>
      <c r="K64" s="555"/>
      <c r="L64" s="556"/>
      <c r="M64" s="557"/>
      <c r="N64" s="1154"/>
      <c r="O64" s="1154"/>
      <c r="P64" s="558"/>
      <c r="Q64" s="559"/>
    </row>
    <row r="65" spans="1:17" s="471" customFormat="1" ht="15" thickBot="1">
      <c r="A65" s="553"/>
      <c r="B65" s="543"/>
      <c r="C65" s="560"/>
      <c r="D65" s="536"/>
      <c r="E65" s="536"/>
      <c r="F65" s="536"/>
      <c r="G65" s="536"/>
      <c r="H65" s="536"/>
      <c r="I65" s="536"/>
      <c r="J65" s="536"/>
      <c r="K65" s="536"/>
      <c r="L65" s="536"/>
      <c r="M65" s="537"/>
      <c r="N65" s="1153"/>
      <c r="O65" s="1153"/>
      <c r="P65" s="558"/>
      <c r="Q65" s="559"/>
    </row>
    <row r="66" spans="1:17" s="471" customFormat="1" ht="15" thickTop="1">
      <c r="A66" s="553"/>
      <c r="B66" s="538">
        <f>B13</f>
        <v>111</v>
      </c>
      <c r="C66" s="554"/>
      <c r="D66" s="554"/>
      <c r="E66" s="554"/>
      <c r="F66" s="554"/>
      <c r="G66" s="554"/>
      <c r="H66" s="555"/>
      <c r="I66" s="555"/>
      <c r="J66" s="555"/>
      <c r="K66" s="555"/>
      <c r="L66" s="556"/>
      <c r="M66" s="557"/>
      <c r="N66" s="1154"/>
      <c r="O66" s="1154"/>
      <c r="P66" s="470"/>
      <c r="Q66" s="561"/>
    </row>
    <row r="67" spans="1:17" s="471" customFormat="1" ht="15" thickBot="1">
      <c r="A67" s="553"/>
      <c r="B67" s="543"/>
      <c r="C67" s="560"/>
      <c r="D67" s="536"/>
      <c r="E67" s="536"/>
      <c r="F67" s="536"/>
      <c r="G67" s="560"/>
      <c r="H67" s="562"/>
      <c r="I67" s="562"/>
      <c r="J67" s="562"/>
      <c r="K67" s="562"/>
      <c r="L67" s="562"/>
      <c r="M67" s="563"/>
      <c r="N67" s="1154"/>
      <c r="O67" s="1154"/>
      <c r="P67" s="558"/>
      <c r="Q67" s="559"/>
    </row>
    <row r="68" spans="1:17" s="471" customFormat="1" ht="15" thickTop="1">
      <c r="A68" s="553"/>
      <c r="B68" s="546">
        <f>B14</f>
        <v>111</v>
      </c>
      <c r="C68" s="523"/>
      <c r="D68" s="523"/>
      <c r="E68" s="523"/>
      <c r="F68" s="523"/>
      <c r="G68" s="523"/>
      <c r="H68" s="564"/>
      <c r="I68" s="564"/>
      <c r="J68" s="564"/>
      <c r="K68" s="564"/>
      <c r="L68" s="565"/>
      <c r="M68" s="566"/>
      <c r="N68" s="1154"/>
      <c r="O68" s="1154"/>
      <c r="P68" s="567"/>
      <c r="Q68" s="559"/>
    </row>
    <row r="69" spans="1:17" s="471" customFormat="1" ht="15" thickBot="1">
      <c r="A69" s="568"/>
      <c r="B69" s="569"/>
      <c r="C69" s="570"/>
      <c r="D69" s="570"/>
      <c r="E69" s="570"/>
      <c r="F69" s="570"/>
      <c r="G69" s="570"/>
      <c r="H69" s="571"/>
      <c r="I69" s="571"/>
      <c r="J69" s="571"/>
      <c r="K69" s="571"/>
      <c r="L69" s="571"/>
      <c r="M69" s="572"/>
      <c r="N69" s="1154"/>
      <c r="O69" s="1154"/>
      <c r="P69" s="558"/>
      <c r="Q69" s="559"/>
    </row>
    <row r="70" spans="1:17" ht="15">
      <c r="A70" s="527" t="s">
        <v>2558</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6"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6"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6"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6"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 thickTop="1">
      <c r="A80" s="579"/>
      <c r="B80" s="538">
        <f>B25</f>
        <v>111</v>
      </c>
      <c r="C80" s="554"/>
      <c r="D80" s="554"/>
      <c r="E80" s="554"/>
      <c r="F80" s="554"/>
      <c r="G80" s="554"/>
      <c r="H80" s="554"/>
      <c r="I80" s="554"/>
      <c r="J80" s="554"/>
      <c r="K80" s="554"/>
      <c r="L80" s="580"/>
      <c r="M80" s="581"/>
      <c r="N80" s="1151"/>
      <c r="O80" s="1151"/>
      <c r="P80" s="45"/>
      <c r="Q80" s="504"/>
    </row>
    <row r="81" spans="1:17" s="117" customFormat="1" ht="15" thickBot="1">
      <c r="A81" s="579"/>
      <c r="B81" s="543"/>
      <c r="C81" s="560"/>
      <c r="D81" s="536"/>
      <c r="E81" s="536"/>
      <c r="F81" s="536"/>
      <c r="G81" s="536"/>
      <c r="H81" s="536"/>
      <c r="I81" s="536"/>
      <c r="J81" s="536"/>
      <c r="K81" s="536"/>
      <c r="L81" s="536"/>
      <c r="M81" s="537"/>
      <c r="N81" s="1153"/>
      <c r="O81" s="1153"/>
      <c r="P81" s="45"/>
      <c r="Q81" s="504"/>
    </row>
    <row r="82" spans="1:17" s="117" customFormat="1" ht="15" thickTop="1">
      <c r="A82" s="579"/>
      <c r="B82" s="538">
        <f>B26</f>
        <v>111</v>
      </c>
      <c r="C82" s="554"/>
      <c r="D82" s="554"/>
      <c r="E82" s="554"/>
      <c r="F82" s="554"/>
      <c r="G82" s="554"/>
      <c r="H82" s="554"/>
      <c r="I82" s="554"/>
      <c r="J82" s="554"/>
      <c r="K82" s="554"/>
      <c r="L82" s="580"/>
      <c r="M82" s="581"/>
      <c r="N82" s="1151"/>
      <c r="O82" s="1151"/>
      <c r="P82" s="45"/>
      <c r="Q82" s="504"/>
    </row>
    <row r="83" spans="1:17" s="117" customFormat="1" ht="15" thickBot="1">
      <c r="A83" s="579"/>
      <c r="B83" s="543"/>
      <c r="C83" s="560"/>
      <c r="D83" s="536"/>
      <c r="E83" s="536"/>
      <c r="F83" s="536"/>
      <c r="G83" s="536"/>
      <c r="H83" s="536"/>
      <c r="I83" s="536"/>
      <c r="J83" s="536"/>
      <c r="K83" s="536"/>
      <c r="L83" s="536"/>
      <c r="M83" s="537"/>
      <c r="N83" s="1153"/>
      <c r="O83" s="1153"/>
      <c r="P83" s="45"/>
      <c r="Q83" s="504"/>
    </row>
    <row r="84" spans="1:17" s="471" customFormat="1" ht="15" thickTop="1">
      <c r="A84" s="553"/>
      <c r="B84" s="538">
        <f>B27</f>
        <v>111</v>
      </c>
      <c r="C84" s="554"/>
      <c r="D84" s="554"/>
      <c r="E84" s="554"/>
      <c r="F84" s="554"/>
      <c r="G84" s="554"/>
      <c r="H84" s="554"/>
      <c r="I84" s="554"/>
      <c r="J84" s="554"/>
      <c r="K84" s="554"/>
      <c r="L84" s="580"/>
      <c r="M84" s="581"/>
      <c r="N84" s="1154"/>
      <c r="O84" s="1154"/>
      <c r="P84" s="558"/>
      <c r="Q84" s="559"/>
    </row>
    <row r="85" spans="1:17" s="471" customFormat="1" ht="15" thickBot="1">
      <c r="A85" s="553"/>
      <c r="B85" s="543"/>
      <c r="C85" s="560"/>
      <c r="D85" s="536"/>
      <c r="E85" s="536"/>
      <c r="F85" s="536"/>
      <c r="G85" s="536"/>
      <c r="H85" s="536"/>
      <c r="I85" s="536"/>
      <c r="J85" s="536"/>
      <c r="K85" s="536"/>
      <c r="L85" s="536"/>
      <c r="M85" s="537"/>
      <c r="N85" s="1154"/>
      <c r="O85" s="1154"/>
      <c r="P85" s="558"/>
      <c r="Q85" s="559"/>
    </row>
    <row r="86" spans="1:17" ht="15" thickTop="1">
      <c r="A86" s="534"/>
      <c r="B86" s="546">
        <f>B28</f>
        <v>111</v>
      </c>
      <c r="C86" s="523"/>
      <c r="D86" s="523"/>
      <c r="E86" s="523"/>
      <c r="F86" s="523"/>
      <c r="G86" s="587"/>
      <c r="H86" s="587"/>
      <c r="I86" s="587"/>
      <c r="J86" s="587"/>
      <c r="K86" s="588"/>
      <c r="L86" s="589"/>
      <c r="M86" s="590"/>
      <c r="N86" s="1152"/>
      <c r="O86" s="1152"/>
      <c r="P86" s="45"/>
      <c r="Q86" s="504"/>
    </row>
    <row r="87" spans="1:17" ht="15" thickBot="1">
      <c r="A87" s="2634"/>
      <c r="B87" s="569"/>
      <c r="C87" s="570"/>
      <c r="D87" s="570"/>
      <c r="E87" s="570"/>
      <c r="F87" s="570"/>
      <c r="G87" s="591"/>
      <c r="H87" s="591"/>
      <c r="I87" s="591"/>
      <c r="J87" s="591"/>
      <c r="K87" s="591"/>
      <c r="L87" s="591"/>
      <c r="M87" s="592"/>
      <c r="N87" s="1153"/>
      <c r="O87" s="1153"/>
      <c r="P87" s="45"/>
      <c r="Q87" s="504"/>
    </row>
    <row r="88" spans="1:17" ht="15">
      <c r="A88" s="527" t="s">
        <v>2562</v>
      </c>
      <c r="B88" s="528" t="s">
        <v>2610</v>
      </c>
      <c r="C88" s="530"/>
      <c r="D88" s="530"/>
      <c r="E88" s="530"/>
      <c r="F88" s="530"/>
      <c r="G88" s="530"/>
      <c r="H88" s="530"/>
      <c r="I88" s="530"/>
      <c r="J88" s="530"/>
      <c r="K88" s="531"/>
      <c r="L88" s="532"/>
      <c r="M88" s="533"/>
      <c r="N88" s="1152"/>
      <c r="O88" s="1152"/>
      <c r="P88" s="45"/>
      <c r="Q88" s="504"/>
    </row>
    <row r="89" spans="1:17" ht="1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3"/>
      <c r="O89" s="1153"/>
      <c r="P89" s="45"/>
      <c r="Q89" s="504"/>
    </row>
    <row r="90" spans="1:17" ht="16" thickTop="1">
      <c r="A90" s="534"/>
      <c r="B90" s="538" t="s">
        <v>2611</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 thickBot="1">
      <c r="A92" s="553"/>
      <c r="B92" s="543"/>
      <c r="C92" s="560"/>
      <c r="D92" s="536"/>
      <c r="E92" s="536"/>
      <c r="F92" s="536"/>
      <c r="G92" s="536"/>
      <c r="H92" s="536"/>
      <c r="I92" s="536"/>
      <c r="J92" s="536"/>
      <c r="K92" s="536"/>
      <c r="L92" s="536"/>
      <c r="M92" s="537"/>
      <c r="N92" s="1153"/>
      <c r="O92" s="1153"/>
      <c r="P92" s="558"/>
      <c r="Q92" s="559"/>
    </row>
    <row r="93" spans="1:17" ht="16" thickTop="1">
      <c r="A93" s="599"/>
      <c r="B93" s="538" t="s">
        <v>2612</v>
      </c>
      <c r="C93" s="554"/>
      <c r="D93" s="554"/>
      <c r="E93" s="583"/>
      <c r="F93" s="583"/>
      <c r="G93" s="583"/>
      <c r="H93" s="583"/>
      <c r="I93" s="583"/>
      <c r="J93" s="583"/>
      <c r="K93" s="584"/>
      <c r="L93" s="585"/>
      <c r="M93" s="586"/>
      <c r="N93" s="1152"/>
      <c r="O93" s="1152"/>
      <c r="P93" s="45"/>
      <c r="Q93" s="504"/>
    </row>
    <row r="94" spans="1:17" ht="1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3"/>
      <c r="O94" s="1153"/>
      <c r="P94" s="45"/>
      <c r="Q94" s="504"/>
    </row>
    <row r="95" spans="1:17" ht="16" thickTop="1">
      <c r="A95" s="599"/>
      <c r="B95" s="538" t="s">
        <v>2614</v>
      </c>
      <c r="C95" s="554"/>
      <c r="D95" s="554"/>
      <c r="E95" s="554"/>
      <c r="F95" s="583"/>
      <c r="G95" s="583"/>
      <c r="H95" s="583"/>
      <c r="I95" s="583"/>
      <c r="J95" s="583"/>
      <c r="K95" s="584"/>
      <c r="L95" s="585"/>
      <c r="M95" s="586"/>
      <c r="N95" s="1152"/>
      <c r="O95" s="1152"/>
      <c r="P95" s="45"/>
      <c r="Q95" s="504"/>
    </row>
    <row r="96" spans="1:17" ht="1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3"/>
      <c r="O96" s="1153"/>
      <c r="P96" s="45"/>
      <c r="Q96" s="504"/>
    </row>
    <row r="97" spans="1:17" ht="16"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3"/>
      <c r="O99" s="1153"/>
      <c r="P99" s="45"/>
      <c r="Q99" s="504"/>
    </row>
    <row r="100" spans="1:17" s="471" customFormat="1" ht="16"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4"/>
      <c r="O101" s="1154"/>
      <c r="P101" s="558"/>
      <c r="Q101" s="559"/>
    </row>
    <row r="102" spans="1:17" ht="16" thickTop="1">
      <c r="A102" s="599"/>
      <c r="B102" s="538" t="s">
        <v>2616</v>
      </c>
      <c r="C102" s="554"/>
      <c r="D102" s="554"/>
      <c r="E102" s="554"/>
      <c r="F102" s="554"/>
      <c r="G102" s="554"/>
      <c r="H102" s="583"/>
      <c r="I102" s="583"/>
      <c r="J102" s="583"/>
      <c r="K102" s="584"/>
      <c r="L102" s="585"/>
      <c r="M102" s="586"/>
      <c r="N102" s="1152"/>
      <c r="O102" s="1152"/>
      <c r="P102" s="45"/>
      <c r="Q102" s="504"/>
    </row>
    <row r="103" spans="1:17" ht="1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3"/>
      <c r="O103" s="1153"/>
      <c r="P103" s="45"/>
      <c r="Q103" s="504"/>
    </row>
    <row r="104" spans="1:17" ht="16" thickTop="1">
      <c r="A104" s="599"/>
      <c r="B104" s="538" t="s">
        <v>2618</v>
      </c>
      <c r="C104" s="554"/>
      <c r="D104" s="554"/>
      <c r="E104" s="554"/>
      <c r="F104" s="554"/>
      <c r="G104" s="554"/>
      <c r="H104" s="583"/>
      <c r="I104" s="583"/>
      <c r="J104" s="583"/>
      <c r="K104" s="584"/>
      <c r="L104" s="585"/>
      <c r="M104" s="586"/>
      <c r="N104" s="1152"/>
      <c r="O104" s="1152"/>
      <c r="P104" s="45"/>
      <c r="Q104" s="504"/>
    </row>
    <row r="105" spans="1:17" ht="1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6"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zoomScale="93" zoomScaleNormal="93" workbookViewId="0">
      <selection activeCell="F3" sqref="F3"/>
    </sheetView>
  </sheetViews>
  <sheetFormatPr baseColWidth="10" defaultColWidth="9" defaultRowHeight="14"/>
  <cols>
    <col min="1" max="1" width="10.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5.5" style="403" customWidth="1"/>
    <col min="10" max="10" width="12.1640625" style="403" customWidth="1"/>
    <col min="11" max="11" width="12.1640625" style="495" customWidth="1"/>
    <col min="12" max="12" width="12.1640625" style="496" customWidth="1"/>
    <col min="13" max="15" width="12.1640625" style="403" customWidth="1"/>
    <col min="16" max="16" width="4.6640625" style="112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9" customFormat="1" ht="28.5" customHeight="1" thickBot="1">
      <c r="A1" s="1618" t="s">
        <v>2705</v>
      </c>
      <c r="B1" s="1619"/>
      <c r="C1" s="1620" t="s">
        <v>2529</v>
      </c>
      <c r="D1" s="1621"/>
      <c r="E1" s="1622"/>
      <c r="F1" s="2582"/>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32" t="s">
        <v>2644</v>
      </c>
      <c r="D4" s="3233"/>
      <c r="E4" s="3234" t="s">
        <v>2645</v>
      </c>
      <c r="F4" s="3235"/>
      <c r="G4" s="3232" t="s">
        <v>2646</v>
      </c>
      <c r="H4" s="3233"/>
      <c r="I4" s="3232" t="s">
        <v>2647</v>
      </c>
      <c r="J4" s="3233"/>
      <c r="K4" s="610" t="s">
        <v>2648</v>
      </c>
      <c r="L4" s="1130"/>
      <c r="M4" s="1131"/>
      <c r="N4" s="1131"/>
      <c r="O4" s="1131"/>
      <c r="P4" s="3236" t="s">
        <v>2649</v>
      </c>
      <c r="Q4" s="3237"/>
      <c r="R4" s="3242" t="s">
        <v>2645</v>
      </c>
      <c r="S4" s="3243"/>
      <c r="T4" s="3242" t="s">
        <v>2646</v>
      </c>
      <c r="U4" s="3243"/>
      <c r="V4" s="3248" t="s">
        <v>2647</v>
      </c>
      <c r="W4" s="3248"/>
      <c r="X4" s="1813"/>
      <c r="Y4" s="3242" t="s">
        <v>2649</v>
      </c>
      <c r="Z4" s="3243"/>
      <c r="AA4" s="3229" t="s">
        <v>2645</v>
      </c>
      <c r="AB4" s="3230" t="s">
        <v>2646</v>
      </c>
      <c r="AC4" s="3229" t="s">
        <v>2647</v>
      </c>
    </row>
    <row r="5" spans="1:29">
      <c r="A5" s="404"/>
      <c r="B5" s="405"/>
      <c r="C5" s="3263" t="s">
        <v>2541</v>
      </c>
      <c r="D5" s="3257"/>
      <c r="E5" s="3264" t="s">
        <v>2542</v>
      </c>
      <c r="F5" s="3262"/>
      <c r="G5" s="3263" t="s">
        <v>2543</v>
      </c>
      <c r="H5" s="3257"/>
      <c r="I5" s="3263" t="s">
        <v>2544</v>
      </c>
      <c r="J5" s="3257"/>
      <c r="K5" s="610"/>
      <c r="L5" s="1130"/>
      <c r="M5" s="1131"/>
      <c r="N5" s="1131"/>
      <c r="O5" s="1131"/>
      <c r="P5" s="3238"/>
      <c r="Q5" s="3239"/>
      <c r="R5" s="3244"/>
      <c r="S5" s="3245"/>
      <c r="T5" s="3244"/>
      <c r="U5" s="3245"/>
      <c r="V5" s="3248"/>
      <c r="W5" s="3248"/>
      <c r="X5" s="1813"/>
      <c r="Y5" s="3244"/>
      <c r="Z5" s="3245"/>
      <c r="AA5" s="3230"/>
      <c r="AB5" s="3230"/>
      <c r="AC5" s="3230"/>
    </row>
    <row r="6" spans="1:29" ht="16" thickBot="1">
      <c r="A6" s="406"/>
      <c r="B6" s="407"/>
      <c r="C6" s="3249" t="s">
        <v>2545</v>
      </c>
      <c r="D6" s="3250"/>
      <c r="E6" s="3259" t="s">
        <v>2545</v>
      </c>
      <c r="F6" s="3260"/>
      <c r="G6" s="3249" t="s">
        <v>2545</v>
      </c>
      <c r="H6" s="3250"/>
      <c r="I6" s="3249" t="s">
        <v>2545</v>
      </c>
      <c r="J6" s="3250"/>
      <c r="K6" s="610" t="s">
        <v>2546</v>
      </c>
      <c r="L6" s="1130"/>
      <c r="M6" s="1131"/>
      <c r="N6" s="1131"/>
      <c r="O6" s="1131"/>
      <c r="P6" s="3240"/>
      <c r="Q6" s="3241"/>
      <c r="R6" s="3244"/>
      <c r="S6" s="3245"/>
      <c r="T6" s="3246"/>
      <c r="U6" s="3247"/>
      <c r="V6" s="3248"/>
      <c r="W6" s="3248"/>
      <c r="X6" s="1813"/>
      <c r="Y6" s="3246"/>
      <c r="Z6" s="3247"/>
      <c r="AA6" s="3231"/>
      <c r="AB6" s="3231"/>
      <c r="AC6" s="3231"/>
    </row>
    <row r="7" spans="1:29" s="117" customFormat="1" ht="16" thickBot="1">
      <c r="A7" s="408" t="s">
        <v>2547</v>
      </c>
      <c r="B7" s="409"/>
      <c r="C7" s="410">
        <f>'数据-取费表'!B2</f>
        <v>43847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53" t="s">
        <v>2548</v>
      </c>
      <c r="Q7" s="3255"/>
      <c r="R7" s="770" t="s">
        <v>17</v>
      </c>
      <c r="S7" s="771">
        <f t="shared" ref="S7:S14" si="0">F7</f>
        <v>0</v>
      </c>
      <c r="T7" s="770" t="s">
        <v>17</v>
      </c>
      <c r="U7" s="771">
        <f t="shared" ref="U7:U14" si="1">H7</f>
        <v>0</v>
      </c>
      <c r="V7" s="770" t="s">
        <v>17</v>
      </c>
      <c r="W7" s="771">
        <f t="shared" ref="W7:W14" si="2">J7</f>
        <v>0</v>
      </c>
      <c r="X7" s="772"/>
      <c r="Y7" s="3253" t="s">
        <v>2548</v>
      </c>
      <c r="Z7" s="3254"/>
      <c r="AA7" s="773" t="e">
        <f>D7/F7</f>
        <v>#DIV/0!</v>
      </c>
      <c r="AB7" s="773" t="e">
        <f>D7/H7</f>
        <v>#DIV/0!</v>
      </c>
      <c r="AC7" s="773" t="e">
        <f>D7/J7</f>
        <v>#DIV/0!</v>
      </c>
    </row>
    <row r="8" spans="1:29" s="117" customFormat="1" ht="16" thickBot="1">
      <c r="A8" s="408" t="s">
        <v>2549</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53" t="s">
        <v>2551</v>
      </c>
      <c r="Q8" s="3254"/>
      <c r="R8" s="770" t="s">
        <v>17</v>
      </c>
      <c r="S8" s="771">
        <f t="shared" si="0"/>
        <v>0</v>
      </c>
      <c r="T8" s="770" t="s">
        <v>17</v>
      </c>
      <c r="U8" s="771">
        <f t="shared" si="1"/>
        <v>0</v>
      </c>
      <c r="V8" s="770" t="s">
        <v>17</v>
      </c>
      <c r="W8" s="771">
        <f t="shared" si="2"/>
        <v>0</v>
      </c>
      <c r="X8" s="772"/>
      <c r="Y8" s="3253" t="s">
        <v>2551</v>
      </c>
      <c r="Z8" s="3254"/>
      <c r="AA8" s="773" t="e">
        <f t="shared" ref="AA8:AA36" si="3">D8/F8</f>
        <v>#DIV/0!</v>
      </c>
      <c r="AB8" s="773" t="e">
        <f t="shared" ref="AB8:AB36" si="4">D8/H8</f>
        <v>#DIV/0!</v>
      </c>
      <c r="AC8" s="773" t="e">
        <f t="shared" ref="AC8:AC36" si="5">D8/J8</f>
        <v>#DIV/0!</v>
      </c>
    </row>
    <row r="9" spans="1:29" s="117" customFormat="1" ht="15">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7" t="s">
        <v>2554</v>
      </c>
      <c r="Q9" s="1795" t="str">
        <f t="shared" ref="Q9:Q14" si="6">B9</f>
        <v>用途</v>
      </c>
      <c r="R9" s="770" t="s">
        <v>17</v>
      </c>
      <c r="S9" s="771">
        <f t="shared" si="0"/>
        <v>100</v>
      </c>
      <c r="T9" s="770" t="s">
        <v>17</v>
      </c>
      <c r="U9" s="771">
        <f t="shared" si="1"/>
        <v>100</v>
      </c>
      <c r="V9" s="770" t="s">
        <v>17</v>
      </c>
      <c r="W9" s="771">
        <f t="shared" si="2"/>
        <v>100</v>
      </c>
      <c r="X9" s="772"/>
      <c r="Y9" s="3037" t="s">
        <v>2555</v>
      </c>
      <c r="Z9" s="55" t="str">
        <f t="shared" ref="Z9:Z14" si="7">Q9</f>
        <v>用途</v>
      </c>
      <c r="AA9" s="773">
        <f t="shared" si="3"/>
        <v>1</v>
      </c>
      <c r="AB9" s="773">
        <f t="shared" si="4"/>
        <v>1</v>
      </c>
      <c r="AC9" s="773">
        <f t="shared" si="5"/>
        <v>1</v>
      </c>
    </row>
    <row r="10" spans="1:29" s="427" customFormat="1" ht="30">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7"/>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6">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7"/>
      <c r="Q11" s="1795">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6">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7"/>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7"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7"/>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35">
      <c r="A14" s="401" t="s">
        <v>2558</v>
      </c>
      <c r="B14" s="629" t="s">
        <v>2707</v>
      </c>
      <c r="C14" s="2691" t="str">
        <f>IF(B1="工业",估价对象房地状况!G4,估价对象房地状况!C6)</f>
        <v>估价对象周边有开发区3路、快速直达专线181路、578路多条公交线路，距地铁8号线（瀛海站）约4公里，综合评价交通便捷度一般。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9" t="s">
        <v>2559</v>
      </c>
      <c r="Q14" s="1810" t="str">
        <f t="shared" si="6"/>
        <v>交通便捷度</v>
      </c>
      <c r="R14" s="774" t="s">
        <v>17</v>
      </c>
      <c r="S14" s="775">
        <f t="shared" si="0"/>
        <v>100</v>
      </c>
      <c r="T14" s="774" t="s">
        <v>17</v>
      </c>
      <c r="U14" s="775">
        <f t="shared" si="1"/>
        <v>100</v>
      </c>
      <c r="V14" s="774" t="s">
        <v>17</v>
      </c>
      <c r="W14" s="775">
        <f t="shared" si="2"/>
        <v>100</v>
      </c>
      <c r="X14" s="1813"/>
      <c r="Y14" s="3219" t="s">
        <v>2559</v>
      </c>
      <c r="Z14" s="1814" t="str">
        <f t="shared" si="7"/>
        <v>交通便捷度</v>
      </c>
      <c r="AA14" s="1811">
        <f t="shared" si="3"/>
        <v>1</v>
      </c>
      <c r="AB14" s="1811">
        <f t="shared" si="4"/>
        <v>1</v>
      </c>
      <c r="AC14" s="1811">
        <f t="shared" si="5"/>
        <v>1</v>
      </c>
    </row>
    <row r="15" spans="1:29" ht="16">
      <c r="A15" s="404"/>
      <c r="B15" s="647"/>
      <c r="C15" s="447"/>
      <c r="D15" s="448"/>
      <c r="E15" s="447"/>
      <c r="F15" s="449"/>
      <c r="G15" s="447"/>
      <c r="H15" s="450"/>
      <c r="I15" s="447"/>
      <c r="J15" s="448"/>
      <c r="K15" s="615"/>
      <c r="L15" s="1140"/>
      <c r="M15" s="1131"/>
      <c r="N15" s="1131"/>
      <c r="O15" s="1131"/>
      <c r="P15" s="3220"/>
      <c r="Q15" s="1810"/>
      <c r="R15" s="774"/>
      <c r="S15" s="775"/>
      <c r="T15" s="774"/>
      <c r="U15" s="775"/>
      <c r="V15" s="774"/>
      <c r="W15" s="775"/>
      <c r="X15" s="1813"/>
      <c r="Y15" s="3220"/>
      <c r="Z15" s="1814"/>
      <c r="AA15" s="1811">
        <v>1</v>
      </c>
      <c r="AB15" s="1811">
        <v>1</v>
      </c>
      <c r="AC15" s="1811">
        <v>1</v>
      </c>
    </row>
    <row r="16" spans="1:29" ht="45">
      <c r="A16" s="404"/>
      <c r="B16" s="631" t="s">
        <v>2686</v>
      </c>
      <c r="C16" s="2605"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0"/>
      <c r="Q16" s="1810" t="str">
        <f>B16</f>
        <v>公共配套设施</v>
      </c>
      <c r="R16" s="774" t="s">
        <v>17</v>
      </c>
      <c r="S16" s="775">
        <f>F16</f>
        <v>100</v>
      </c>
      <c r="T16" s="774" t="s">
        <v>17</v>
      </c>
      <c r="U16" s="775">
        <f>H16</f>
        <v>100</v>
      </c>
      <c r="V16" s="774" t="s">
        <v>17</v>
      </c>
      <c r="W16" s="775">
        <f>J16</f>
        <v>100</v>
      </c>
      <c r="X16" s="1813"/>
      <c r="Y16" s="3220"/>
      <c r="Z16" s="1814" t="str">
        <f>Q16</f>
        <v>公共配套设施</v>
      </c>
      <c r="AA16" s="1811">
        <f t="shared" si="3"/>
        <v>1</v>
      </c>
      <c r="AB16" s="1811">
        <f t="shared" si="4"/>
        <v>1</v>
      </c>
      <c r="AC16" s="1811">
        <f t="shared" si="5"/>
        <v>1</v>
      </c>
    </row>
    <row r="17" spans="1:29" ht="16">
      <c r="A17" s="404"/>
      <c r="B17" s="632"/>
      <c r="C17" s="2606"/>
      <c r="D17" s="448"/>
      <c r="E17" s="447"/>
      <c r="F17" s="449"/>
      <c r="G17" s="447"/>
      <c r="H17" s="448"/>
      <c r="I17" s="447"/>
      <c r="J17" s="448"/>
      <c r="K17" s="615"/>
      <c r="L17" s="1140"/>
      <c r="M17" s="1131"/>
      <c r="N17" s="1131"/>
      <c r="O17" s="1131"/>
      <c r="P17" s="3220"/>
      <c r="Q17" s="1810"/>
      <c r="R17" s="774"/>
      <c r="S17" s="775"/>
      <c r="T17" s="774"/>
      <c r="U17" s="775"/>
      <c r="V17" s="774"/>
      <c r="W17" s="775"/>
      <c r="X17" s="1813"/>
      <c r="Y17" s="3220"/>
      <c r="Z17" s="1814"/>
      <c r="AA17" s="1811">
        <v>1</v>
      </c>
      <c r="AB17" s="1811">
        <v>1</v>
      </c>
      <c r="AC17" s="1811">
        <v>1</v>
      </c>
    </row>
    <row r="18" spans="1:29" ht="16">
      <c r="A18" s="404"/>
      <c r="B18" s="633" t="s">
        <v>2687</v>
      </c>
      <c r="C18" s="2605"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0"/>
      <c r="Q18" s="1810" t="str">
        <f>B18</f>
        <v>基础设施水平</v>
      </c>
      <c r="R18" s="774" t="s">
        <v>17</v>
      </c>
      <c r="S18" s="775">
        <f>F18</f>
        <v>100</v>
      </c>
      <c r="T18" s="774" t="s">
        <v>17</v>
      </c>
      <c r="U18" s="775">
        <f>H18</f>
        <v>100</v>
      </c>
      <c r="V18" s="774" t="s">
        <v>17</v>
      </c>
      <c r="W18" s="775">
        <f>J18</f>
        <v>100</v>
      </c>
      <c r="X18" s="1813"/>
      <c r="Y18" s="3220"/>
      <c r="Z18" s="1814" t="str">
        <f>Q18</f>
        <v>基础设施水平</v>
      </c>
      <c r="AA18" s="1811">
        <f>D18/F18</f>
        <v>1</v>
      </c>
      <c r="AB18" s="1811">
        <f>D18/H18</f>
        <v>1</v>
      </c>
      <c r="AC18" s="1811">
        <f>D18/J18</f>
        <v>1</v>
      </c>
    </row>
    <row r="19" spans="1:29" ht="16">
      <c r="A19" s="404"/>
      <c r="B19" s="633"/>
      <c r="C19" s="2606"/>
      <c r="D19" s="450"/>
      <c r="E19" s="2606"/>
      <c r="F19" s="453"/>
      <c r="G19" s="2606"/>
      <c r="H19" s="448"/>
      <c r="I19" s="447"/>
      <c r="J19" s="448"/>
      <c r="K19" s="1383"/>
      <c r="L19" s="1140"/>
      <c r="M19" s="1131"/>
      <c r="N19" s="1131"/>
      <c r="O19" s="1131"/>
      <c r="P19" s="3220"/>
      <c r="Q19" s="1810"/>
      <c r="R19" s="774"/>
      <c r="S19" s="775"/>
      <c r="T19" s="774"/>
      <c r="U19" s="775"/>
      <c r="V19" s="774"/>
      <c r="W19" s="775"/>
      <c r="X19" s="1813"/>
      <c r="Y19" s="3220"/>
      <c r="Z19" s="1814"/>
      <c r="AA19" s="1811">
        <v>1</v>
      </c>
      <c r="AB19" s="1811">
        <v>1</v>
      </c>
      <c r="AC19" s="1811">
        <v>1</v>
      </c>
    </row>
    <row r="20" spans="1:29" ht="120">
      <c r="A20" s="404"/>
      <c r="B20" s="631" t="s">
        <v>2708</v>
      </c>
      <c r="C20" s="2605" t="str">
        <f>IF(B1="工业",估价对象房地状况!G7,估价对象房地状况!C9)</f>
        <v>区域自然环境：体育公园、南海子公园、凉水河；人文环境：北京电子科技职业学院(亦庄校区)；综合评价环境状况一般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0"/>
      <c r="Q20" s="1810" t="str">
        <f>B20</f>
        <v>自然及人文环境</v>
      </c>
      <c r="R20" s="774" t="s">
        <v>17</v>
      </c>
      <c r="S20" s="775">
        <f>F20</f>
        <v>100</v>
      </c>
      <c r="T20" s="774" t="s">
        <v>17</v>
      </c>
      <c r="U20" s="775">
        <f>H20</f>
        <v>100</v>
      </c>
      <c r="V20" s="774" t="s">
        <v>17</v>
      </c>
      <c r="W20" s="775">
        <f>J20</f>
        <v>100</v>
      </c>
      <c r="X20" s="1813"/>
      <c r="Y20" s="3220"/>
      <c r="Z20" s="1814" t="str">
        <f>Q20</f>
        <v>自然及人文环境</v>
      </c>
      <c r="AA20" s="1811">
        <f t="shared" si="3"/>
        <v>1</v>
      </c>
      <c r="AB20" s="1811">
        <f t="shared" si="4"/>
        <v>1</v>
      </c>
      <c r="AC20" s="1811">
        <f t="shared" si="5"/>
        <v>1</v>
      </c>
    </row>
    <row r="21" spans="1:29" ht="16">
      <c r="A21" s="404"/>
      <c r="B21" s="632"/>
      <c r="C21" s="447"/>
      <c r="D21" s="448"/>
      <c r="E21" s="447"/>
      <c r="F21" s="449"/>
      <c r="G21" s="447"/>
      <c r="H21" s="448"/>
      <c r="I21" s="447"/>
      <c r="J21" s="448"/>
      <c r="K21" s="615"/>
      <c r="L21" s="1140"/>
      <c r="M21" s="1131"/>
      <c r="N21" s="1131"/>
      <c r="O21" s="1131"/>
      <c r="P21" s="3220"/>
      <c r="Q21" s="1810"/>
      <c r="R21" s="774"/>
      <c r="S21" s="775"/>
      <c r="T21" s="774"/>
      <c r="U21" s="775"/>
      <c r="V21" s="774"/>
      <c r="W21" s="775"/>
      <c r="X21" s="1813"/>
      <c r="Y21" s="3220"/>
      <c r="Z21" s="1814"/>
      <c r="AA21" s="1811">
        <v>1</v>
      </c>
      <c r="AB21" s="1811">
        <v>1</v>
      </c>
      <c r="AC21" s="1811">
        <v>1</v>
      </c>
    </row>
    <row r="22" spans="1:29" ht="16">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0"/>
      <c r="Q22" s="1810" t="str">
        <f>B22</f>
        <v>楼层</v>
      </c>
      <c r="R22" s="774" t="s">
        <v>17</v>
      </c>
      <c r="S22" s="775">
        <f>F22</f>
        <v>100</v>
      </c>
      <c r="T22" s="774" t="s">
        <v>17</v>
      </c>
      <c r="U22" s="775">
        <f>H22</f>
        <v>100</v>
      </c>
      <c r="V22" s="774" t="s">
        <v>17</v>
      </c>
      <c r="W22" s="775">
        <f>J22</f>
        <v>100</v>
      </c>
      <c r="X22" s="1813"/>
      <c r="Y22" s="3220"/>
      <c r="Z22" s="1814" t="str">
        <f>Q22</f>
        <v>楼层</v>
      </c>
      <c r="AA22" s="1811">
        <f t="shared" si="3"/>
        <v>1</v>
      </c>
      <c r="AB22" s="1811">
        <f t="shared" si="4"/>
        <v>1</v>
      </c>
      <c r="AC22" s="1811">
        <f t="shared" si="5"/>
        <v>1</v>
      </c>
    </row>
    <row r="23" spans="1:29" ht="16">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0"/>
      <c r="Q23" s="1810">
        <f>B23</f>
        <v>111</v>
      </c>
      <c r="R23" s="774" t="s">
        <v>17</v>
      </c>
      <c r="S23" s="775">
        <f>F23</f>
        <v>100</v>
      </c>
      <c r="T23" s="774" t="s">
        <v>17</v>
      </c>
      <c r="U23" s="775">
        <f>H23</f>
        <v>100</v>
      </c>
      <c r="V23" s="774" t="s">
        <v>17</v>
      </c>
      <c r="W23" s="775">
        <f>J23</f>
        <v>100</v>
      </c>
      <c r="X23" s="1813"/>
      <c r="Y23" s="3220"/>
      <c r="Z23" s="1814">
        <f>Q23</f>
        <v>111</v>
      </c>
      <c r="AA23" s="1811">
        <f t="shared" si="3"/>
        <v>1</v>
      </c>
      <c r="AB23" s="1811">
        <f t="shared" si="4"/>
        <v>1</v>
      </c>
      <c r="AC23" s="1811">
        <f t="shared" si="5"/>
        <v>1</v>
      </c>
    </row>
    <row r="24" spans="1:29" ht="16">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0"/>
      <c r="Q24" s="1810">
        <f t="shared" ref="Q24:Q36" si="8">B24</f>
        <v>111</v>
      </c>
      <c r="R24" s="774" t="s">
        <v>17</v>
      </c>
      <c r="S24" s="775">
        <f>F24</f>
        <v>100</v>
      </c>
      <c r="T24" s="774" t="s">
        <v>17</v>
      </c>
      <c r="U24" s="775">
        <f>H24</f>
        <v>100</v>
      </c>
      <c r="V24" s="774" t="s">
        <v>17</v>
      </c>
      <c r="W24" s="775">
        <f>J24</f>
        <v>100</v>
      </c>
      <c r="X24" s="1813"/>
      <c r="Y24" s="3220"/>
      <c r="Z24" s="1814">
        <f>Q24</f>
        <v>111</v>
      </c>
      <c r="AA24" s="1811">
        <f t="shared" si="3"/>
        <v>1</v>
      </c>
      <c r="AB24" s="1811">
        <f t="shared" si="4"/>
        <v>1</v>
      </c>
      <c r="AC24" s="1811">
        <f t="shared" si="5"/>
        <v>1</v>
      </c>
    </row>
    <row r="25" spans="1:29" s="117" customFormat="1" ht="17"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0"/>
      <c r="Q25" s="1795">
        <f t="shared" si="8"/>
        <v>111</v>
      </c>
      <c r="R25" s="770" t="s">
        <v>17</v>
      </c>
      <c r="S25" s="771">
        <f>F25</f>
        <v>100</v>
      </c>
      <c r="T25" s="770" t="s">
        <v>17</v>
      </c>
      <c r="U25" s="771">
        <f>H25</f>
        <v>100</v>
      </c>
      <c r="V25" s="770" t="s">
        <v>17</v>
      </c>
      <c r="W25" s="771">
        <f>J25</f>
        <v>100</v>
      </c>
      <c r="X25" s="772"/>
      <c r="Y25" s="3220"/>
      <c r="Z25" s="55">
        <f>Q25</f>
        <v>111</v>
      </c>
      <c r="AA25" s="1811">
        <f>D25/F25</f>
        <v>1</v>
      </c>
      <c r="AB25" s="1811">
        <f>D25/H25</f>
        <v>1</v>
      </c>
      <c r="AC25" s="1811">
        <f>D25/J25</f>
        <v>1</v>
      </c>
    </row>
    <row r="26" spans="1:29" ht="20">
      <c r="A26" s="652" t="s">
        <v>2562</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0" t="s">
        <v>2564</v>
      </c>
      <c r="Q26" s="1810" t="str">
        <f t="shared" si="8"/>
        <v>配套类型</v>
      </c>
      <c r="R26" s="774" t="s">
        <v>17</v>
      </c>
      <c r="S26" s="775">
        <f t="shared" ref="S26:S36" si="9">F26</f>
        <v>100</v>
      </c>
      <c r="T26" s="774" t="s">
        <v>17</v>
      </c>
      <c r="U26" s="775">
        <f t="shared" ref="U26:U36" si="10">H26</f>
        <v>100</v>
      </c>
      <c r="V26" s="774" t="s">
        <v>17</v>
      </c>
      <c r="W26" s="775">
        <f t="shared" ref="W26:W36" si="11">J26</f>
        <v>100</v>
      </c>
      <c r="X26" s="1813"/>
      <c r="Y26" s="3224" t="s">
        <v>2564</v>
      </c>
      <c r="Z26" s="1814" t="str">
        <f t="shared" ref="Z26:Z36" si="12">Q26</f>
        <v>配套类型</v>
      </c>
      <c r="AA26" s="1811">
        <f t="shared" si="3"/>
        <v>1</v>
      </c>
      <c r="AB26" s="1811">
        <f t="shared" si="4"/>
        <v>1</v>
      </c>
      <c r="AC26" s="1811">
        <f t="shared" si="5"/>
        <v>1</v>
      </c>
    </row>
    <row r="27" spans="1:29" s="471" customFormat="1" ht="16">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4"/>
      <c r="Q27" s="776" t="str">
        <f t="shared" si="8"/>
        <v>项目停车位配比</v>
      </c>
      <c r="R27" s="777" t="s">
        <v>17</v>
      </c>
      <c r="S27" s="778">
        <f t="shared" si="9"/>
        <v>100</v>
      </c>
      <c r="T27" s="777" t="s">
        <v>17</v>
      </c>
      <c r="U27" s="778">
        <f t="shared" si="10"/>
        <v>100</v>
      </c>
      <c r="V27" s="777" t="s">
        <v>17</v>
      </c>
      <c r="W27" s="778">
        <f t="shared" si="11"/>
        <v>100</v>
      </c>
      <c r="X27" s="779"/>
      <c r="Y27" s="3224"/>
      <c r="Z27" s="780" t="str">
        <f t="shared" si="12"/>
        <v>项目停车位配比</v>
      </c>
      <c r="AA27" s="1811">
        <f t="shared" si="3"/>
        <v>1</v>
      </c>
      <c r="AB27" s="1811">
        <f t="shared" si="4"/>
        <v>1</v>
      </c>
      <c r="AC27" s="1811">
        <f t="shared" si="5"/>
        <v>1</v>
      </c>
    </row>
    <row r="28" spans="1:29" ht="16">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4"/>
      <c r="Q28" s="1810" t="str">
        <f t="shared" si="8"/>
        <v>公共部分装修</v>
      </c>
      <c r="R28" s="774" t="s">
        <v>17</v>
      </c>
      <c r="S28" s="775">
        <f t="shared" si="9"/>
        <v>100</v>
      </c>
      <c r="T28" s="774" t="s">
        <v>17</v>
      </c>
      <c r="U28" s="775">
        <f t="shared" si="10"/>
        <v>100</v>
      </c>
      <c r="V28" s="774" t="s">
        <v>17</v>
      </c>
      <c r="W28" s="775">
        <f t="shared" si="11"/>
        <v>100</v>
      </c>
      <c r="X28" s="1813"/>
      <c r="Y28" s="3224"/>
      <c r="Z28" s="1814" t="str">
        <f t="shared" si="12"/>
        <v>公共部分装修</v>
      </c>
      <c r="AA28" s="1811">
        <f t="shared" si="3"/>
        <v>1</v>
      </c>
      <c r="AB28" s="1811">
        <f t="shared" si="4"/>
        <v>1</v>
      </c>
      <c r="AC28" s="1811">
        <f t="shared" si="5"/>
        <v>1</v>
      </c>
    </row>
    <row r="29" spans="1:29" ht="16">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4"/>
      <c r="Q29" s="1810" t="str">
        <f t="shared" si="8"/>
        <v>成新率</v>
      </c>
      <c r="R29" s="774" t="s">
        <v>17</v>
      </c>
      <c r="S29" s="775" t="e">
        <f t="shared" si="9"/>
        <v>#N/A</v>
      </c>
      <c r="T29" s="774" t="s">
        <v>17</v>
      </c>
      <c r="U29" s="775" t="e">
        <f t="shared" si="10"/>
        <v>#N/A</v>
      </c>
      <c r="V29" s="774" t="s">
        <v>17</v>
      </c>
      <c r="W29" s="775" t="e">
        <f t="shared" si="11"/>
        <v>#N/A</v>
      </c>
      <c r="X29" s="1813"/>
      <c r="Y29" s="3224"/>
      <c r="Z29" s="1814" t="str">
        <f t="shared" si="12"/>
        <v>成新率</v>
      </c>
      <c r="AA29" s="1811" t="e">
        <f t="shared" si="3"/>
        <v>#N/A</v>
      </c>
      <c r="AB29" s="1811" t="e">
        <f t="shared" si="4"/>
        <v>#N/A</v>
      </c>
      <c r="AC29" s="1811" t="e">
        <f t="shared" si="5"/>
        <v>#N/A</v>
      </c>
    </row>
    <row r="30" spans="1:29" ht="16">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4"/>
      <c r="Q30" s="1810" t="str">
        <f t="shared" si="8"/>
        <v>物业等级</v>
      </c>
      <c r="R30" s="774" t="s">
        <v>17</v>
      </c>
      <c r="S30" s="775">
        <f t="shared" si="9"/>
        <v>100</v>
      </c>
      <c r="T30" s="774" t="s">
        <v>17</v>
      </c>
      <c r="U30" s="775">
        <f t="shared" si="10"/>
        <v>100</v>
      </c>
      <c r="V30" s="774" t="s">
        <v>17</v>
      </c>
      <c r="W30" s="775">
        <f t="shared" si="11"/>
        <v>100</v>
      </c>
      <c r="X30" s="1813"/>
      <c r="Y30" s="3224"/>
      <c r="Z30" s="1814" t="str">
        <f t="shared" si="12"/>
        <v>物业等级</v>
      </c>
      <c r="AA30" s="1811">
        <f t="shared" si="3"/>
        <v>1</v>
      </c>
      <c r="AB30" s="1811">
        <f t="shared" si="4"/>
        <v>1</v>
      </c>
      <c r="AC30" s="1811">
        <f t="shared" si="5"/>
        <v>1</v>
      </c>
    </row>
    <row r="31" spans="1:29" s="117" customFormat="1" ht="16">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4"/>
      <c r="Q31" s="1795" t="str">
        <f t="shared" si="8"/>
        <v>停车位面积</v>
      </c>
      <c r="R31" s="770" t="s">
        <v>17</v>
      </c>
      <c r="S31" s="771" t="e">
        <f t="shared" si="9"/>
        <v>#N/A</v>
      </c>
      <c r="T31" s="770" t="s">
        <v>17</v>
      </c>
      <c r="U31" s="771" t="e">
        <f t="shared" si="10"/>
        <v>#N/A</v>
      </c>
      <c r="V31" s="770" t="s">
        <v>17</v>
      </c>
      <c r="W31" s="771" t="e">
        <f t="shared" si="11"/>
        <v>#N/A</v>
      </c>
      <c r="X31" s="772"/>
      <c r="Y31" s="3224"/>
      <c r="Z31" s="55" t="str">
        <f t="shared" si="12"/>
        <v>停车位面积</v>
      </c>
      <c r="AA31" s="773" t="e">
        <f t="shared" si="3"/>
        <v>#N/A</v>
      </c>
      <c r="AB31" s="773" t="e">
        <f t="shared" si="4"/>
        <v>#N/A</v>
      </c>
      <c r="AC31" s="773" t="e">
        <f t="shared" si="5"/>
        <v>#N/A</v>
      </c>
    </row>
    <row r="32" spans="1:29" ht="16">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4" t="s">
        <v>2564</v>
      </c>
      <c r="Q32" s="1810" t="str">
        <f t="shared" si="8"/>
        <v>车位类型</v>
      </c>
      <c r="R32" s="774" t="s">
        <v>17</v>
      </c>
      <c r="S32" s="775">
        <f t="shared" si="9"/>
        <v>100</v>
      </c>
      <c r="T32" s="774" t="s">
        <v>17</v>
      </c>
      <c r="U32" s="775">
        <f t="shared" si="10"/>
        <v>100</v>
      </c>
      <c r="V32" s="774" t="s">
        <v>17</v>
      </c>
      <c r="W32" s="775">
        <f t="shared" si="11"/>
        <v>100</v>
      </c>
      <c r="X32" s="1813"/>
      <c r="Y32" s="3224" t="s">
        <v>2564</v>
      </c>
      <c r="Z32" s="1814" t="str">
        <f t="shared" si="12"/>
        <v>车位类型</v>
      </c>
      <c r="AA32" s="1811">
        <f t="shared" si="3"/>
        <v>1</v>
      </c>
      <c r="AB32" s="1811">
        <f t="shared" si="4"/>
        <v>1</v>
      </c>
      <c r="AC32" s="1811">
        <f t="shared" si="5"/>
        <v>1</v>
      </c>
    </row>
    <row r="33" spans="1:29" ht="16">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4"/>
      <c r="Q33" s="1810" t="str">
        <f t="shared" si="8"/>
        <v>是否直接入户</v>
      </c>
      <c r="R33" s="774" t="s">
        <v>17</v>
      </c>
      <c r="S33" s="775">
        <f t="shared" si="9"/>
        <v>100</v>
      </c>
      <c r="T33" s="774" t="s">
        <v>17</v>
      </c>
      <c r="U33" s="775">
        <f t="shared" si="10"/>
        <v>100</v>
      </c>
      <c r="V33" s="774" t="s">
        <v>17</v>
      </c>
      <c r="W33" s="775">
        <f t="shared" si="11"/>
        <v>100</v>
      </c>
      <c r="X33" s="1813"/>
      <c r="Y33" s="3224"/>
      <c r="Z33" s="1814" t="str">
        <f t="shared" si="12"/>
        <v>是否直接入户</v>
      </c>
      <c r="AA33" s="1811">
        <f t="shared" si="3"/>
        <v>1</v>
      </c>
      <c r="AB33" s="1811">
        <f t="shared" si="4"/>
        <v>1</v>
      </c>
      <c r="AC33" s="1811">
        <f t="shared" si="5"/>
        <v>1</v>
      </c>
    </row>
    <row r="34" spans="1:29" ht="16">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4"/>
      <c r="Q34" s="1810">
        <f t="shared" si="8"/>
        <v>111</v>
      </c>
      <c r="R34" s="774" t="s">
        <v>17</v>
      </c>
      <c r="S34" s="775">
        <f t="shared" si="9"/>
        <v>100</v>
      </c>
      <c r="T34" s="774" t="s">
        <v>17</v>
      </c>
      <c r="U34" s="775">
        <f t="shared" si="10"/>
        <v>100</v>
      </c>
      <c r="V34" s="774" t="s">
        <v>17</v>
      </c>
      <c r="W34" s="775">
        <f t="shared" si="11"/>
        <v>100</v>
      </c>
      <c r="X34" s="1813"/>
      <c r="Y34" s="3224"/>
      <c r="Z34" s="1814">
        <f t="shared" si="12"/>
        <v>111</v>
      </c>
      <c r="AA34" s="1811">
        <f t="shared" si="3"/>
        <v>1</v>
      </c>
      <c r="AB34" s="1811">
        <f t="shared" si="4"/>
        <v>1</v>
      </c>
      <c r="AC34" s="1811">
        <f t="shared" si="5"/>
        <v>1</v>
      </c>
    </row>
    <row r="35" spans="1:29" s="471" customFormat="1" ht="16">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4"/>
      <c r="Q35" s="776">
        <f t="shared" si="8"/>
        <v>111</v>
      </c>
      <c r="R35" s="777" t="s">
        <v>17</v>
      </c>
      <c r="S35" s="778">
        <f t="shared" si="9"/>
        <v>100</v>
      </c>
      <c r="T35" s="777" t="s">
        <v>17</v>
      </c>
      <c r="U35" s="778">
        <f t="shared" si="10"/>
        <v>100</v>
      </c>
      <c r="V35" s="777" t="s">
        <v>17</v>
      </c>
      <c r="W35" s="778">
        <f t="shared" si="11"/>
        <v>100</v>
      </c>
      <c r="X35" s="779"/>
      <c r="Y35" s="3224"/>
      <c r="Z35" s="780">
        <f t="shared" si="12"/>
        <v>111</v>
      </c>
      <c r="AA35" s="1811">
        <f t="shared" si="3"/>
        <v>1</v>
      </c>
      <c r="AB35" s="1811">
        <f t="shared" si="4"/>
        <v>1</v>
      </c>
      <c r="AC35" s="1811">
        <f t="shared" si="5"/>
        <v>1</v>
      </c>
    </row>
    <row r="36" spans="1:29" ht="17"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4"/>
      <c r="Q36" s="1810">
        <f t="shared" si="8"/>
        <v>111</v>
      </c>
      <c r="R36" s="774" t="s">
        <v>17</v>
      </c>
      <c r="S36" s="775">
        <f t="shared" si="9"/>
        <v>100</v>
      </c>
      <c r="T36" s="774" t="s">
        <v>17</v>
      </c>
      <c r="U36" s="775">
        <f t="shared" si="10"/>
        <v>100</v>
      </c>
      <c r="V36" s="774" t="s">
        <v>17</v>
      </c>
      <c r="W36" s="775">
        <f t="shared" si="11"/>
        <v>100</v>
      </c>
      <c r="X36" s="1813"/>
      <c r="Y36" s="3224"/>
      <c r="Z36" s="1814">
        <f t="shared" si="12"/>
        <v>111</v>
      </c>
      <c r="AA36" s="1811">
        <f t="shared" si="3"/>
        <v>1</v>
      </c>
      <c r="AB36" s="1811">
        <f t="shared" si="4"/>
        <v>1</v>
      </c>
      <c r="AC36" s="1811">
        <f t="shared" si="5"/>
        <v>1</v>
      </c>
    </row>
    <row r="37" spans="1:29" ht="15">
      <c r="A37" s="479" t="s">
        <v>2718</v>
      </c>
      <c r="B37" s="2693" t="s">
        <v>2719</v>
      </c>
      <c r="C37" s="1407" t="s">
        <v>1</v>
      </c>
      <c r="D37" s="1408"/>
      <c r="E37" s="1409"/>
      <c r="F37" s="1410"/>
      <c r="G37" s="1411"/>
      <c r="H37" s="1412"/>
      <c r="I37" s="1409"/>
      <c r="J37" s="1412"/>
      <c r="K37" s="619"/>
      <c r="L37" s="1143"/>
      <c r="M37" s="1144"/>
      <c r="N37" s="1131"/>
      <c r="O37" s="1144"/>
      <c r="P37" s="3217" t="str">
        <f>A37</f>
        <v>成交单价</v>
      </c>
      <c r="Q37" s="3217"/>
      <c r="R37" s="3218">
        <f>E37</f>
        <v>0</v>
      </c>
      <c r="S37" s="3218"/>
      <c r="T37" s="3218">
        <f>G37</f>
        <v>0</v>
      </c>
      <c r="U37" s="3218"/>
      <c r="V37" s="3218">
        <f>I37</f>
        <v>0</v>
      </c>
      <c r="W37" s="3218"/>
      <c r="X37" s="759"/>
      <c r="Y37" s="781"/>
      <c r="Z37" s="759"/>
      <c r="AA37" s="759"/>
      <c r="AB37" s="759"/>
      <c r="AC37" s="759"/>
    </row>
    <row r="38" spans="1:29" ht="1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9"/>
      <c r="Y38" s="759"/>
      <c r="Z38" s="759"/>
      <c r="AA38" s="759"/>
      <c r="AB38" s="759"/>
      <c r="AC38" s="759"/>
    </row>
    <row r="39" spans="1:29" ht="15" thickBot="1">
      <c r="A39" s="492" t="s">
        <v>2721</v>
      </c>
      <c r="B39" s="493"/>
      <c r="C39" s="1417" t="e">
        <f>R39</f>
        <v>#DIV/0!</v>
      </c>
      <c r="D39" s="1417"/>
      <c r="E39" s="1417"/>
      <c r="F39" s="1417"/>
      <c r="G39" s="1417"/>
      <c r="H39" s="1417"/>
      <c r="I39" s="1417"/>
      <c r="J39" s="1417"/>
      <c r="K39" s="621"/>
      <c r="L39" s="1143"/>
      <c r="M39" s="1144"/>
      <c r="N39" s="1144"/>
      <c r="O39" s="1144"/>
      <c r="P39" s="3214" t="str">
        <f>A39</f>
        <v>估价对象XX用房的比较价值（楼面单价，元/平方米）</v>
      </c>
      <c r="Q39" s="3215"/>
      <c r="R39" s="3216" t="e">
        <f>IF(F1="售价",ROUND(AVERAGE(R38:V38),0),ROUND(AVERAGE(R38:V38),1))</f>
        <v>#DIV/0!</v>
      </c>
      <c r="S39" s="3216"/>
      <c r="T39" s="3216"/>
      <c r="U39" s="3216"/>
      <c r="V39" s="3216"/>
      <c r="W39" s="321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2020-1</v>
      </c>
      <c r="D48" s="1575">
        <f>EDATE(C48,-1)</f>
        <v>43800</v>
      </c>
      <c r="E48" s="1575">
        <f t="shared" ref="E48:O48" si="13">EDATE(D48,-1)</f>
        <v>43770</v>
      </c>
      <c r="F48" s="1575">
        <f t="shared" si="13"/>
        <v>43739</v>
      </c>
      <c r="G48" s="1575">
        <f t="shared" si="13"/>
        <v>43709</v>
      </c>
      <c r="H48" s="1575">
        <f t="shared" si="13"/>
        <v>43678</v>
      </c>
      <c r="I48" s="1575">
        <f t="shared" si="13"/>
        <v>43647</v>
      </c>
      <c r="J48" s="1575">
        <f t="shared" si="13"/>
        <v>43617</v>
      </c>
      <c r="K48" s="1575">
        <f t="shared" si="13"/>
        <v>43586</v>
      </c>
      <c r="L48" s="1575">
        <f t="shared" si="13"/>
        <v>43556</v>
      </c>
      <c r="M48" s="1575">
        <f t="shared" si="13"/>
        <v>43525</v>
      </c>
      <c r="N48" s="1575">
        <f t="shared" si="13"/>
        <v>43497</v>
      </c>
      <c r="O48" s="1575">
        <f t="shared" si="13"/>
        <v>43466</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5">
      <c r="A53" s="527" t="s">
        <v>2586</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31" thickTop="1">
      <c r="A55" s="534"/>
      <c r="B55" s="538" t="s">
        <v>2556</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6"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6" thickTop="1">
      <c r="A63" s="527" t="s">
        <v>2558</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6"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6"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6"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6"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31" thickTop="1">
      <c r="A79" s="527" t="s">
        <v>2562</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3"/>
      <c r="O80" s="1153"/>
      <c r="P80" s="1429"/>
      <c r="Q80" s="1423"/>
      <c r="R80" s="1144"/>
      <c r="S80" s="1144"/>
      <c r="T80" s="1144"/>
      <c r="U80" s="1144"/>
      <c r="V80" s="1144"/>
      <c r="W80" s="1144"/>
      <c r="X80" s="1144"/>
      <c r="Y80" s="1144"/>
      <c r="Z80" s="1144"/>
      <c r="AA80" s="1144"/>
      <c r="AB80" s="1144"/>
      <c r="AC80" s="1144"/>
    </row>
    <row r="81" spans="1:29" ht="16"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6"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3"/>
      <c r="O84" s="1153"/>
      <c r="P84" s="1429"/>
      <c r="Q84" s="1423"/>
      <c r="R84" s="1144"/>
      <c r="S84" s="1144"/>
      <c r="T84" s="1144"/>
      <c r="U84" s="1144"/>
      <c r="V84" s="1144"/>
      <c r="W84" s="1144"/>
      <c r="X84" s="1144"/>
      <c r="Y84" s="1144"/>
      <c r="Z84" s="1144"/>
      <c r="AA84" s="1144"/>
      <c r="AB84" s="1144"/>
      <c r="AC84" s="1144"/>
    </row>
    <row r="85" spans="1:29" ht="16"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1429"/>
      <c r="Q87" s="1423"/>
      <c r="R87" s="1144"/>
      <c r="S87" s="1144"/>
      <c r="T87" s="1144"/>
      <c r="U87" s="1144"/>
      <c r="V87" s="1144"/>
      <c r="W87" s="1144"/>
      <c r="X87" s="1144"/>
      <c r="Y87" s="1144"/>
      <c r="Z87" s="1144"/>
      <c r="AA87" s="1144"/>
      <c r="AB87" s="1144"/>
      <c r="AC87" s="1144"/>
    </row>
    <row r="88" spans="1:29" ht="16"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3"/>
      <c r="O89" s="1153"/>
      <c r="P89" s="1429"/>
      <c r="Q89" s="1423"/>
      <c r="R89" s="1144"/>
      <c r="S89" s="1144"/>
      <c r="T89" s="1144"/>
      <c r="U89" s="1144"/>
      <c r="V89" s="1144"/>
      <c r="W89" s="1144"/>
      <c r="X89" s="1144"/>
      <c r="Y89" s="1144"/>
      <c r="Z89" s="1144"/>
      <c r="AA89" s="1144"/>
      <c r="AB89" s="1144"/>
      <c r="AC89" s="1144"/>
    </row>
    <row r="90" spans="1:29" s="471" customFormat="1" ht="16" thickTop="1">
      <c r="A90" s="593"/>
      <c r="B90" s="538" t="s">
        <v>2732</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6"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3"/>
      <c r="O94" s="1153"/>
      <c r="P94" s="1429"/>
      <c r="Q94" s="1423"/>
      <c r="R94" s="1144"/>
      <c r="S94" s="1144"/>
      <c r="T94" s="1144"/>
      <c r="U94" s="1144"/>
      <c r="V94" s="1144"/>
      <c r="W94" s="1144"/>
      <c r="X94" s="1144"/>
      <c r="Y94" s="1144"/>
      <c r="Z94" s="1144"/>
      <c r="AA94" s="1144"/>
      <c r="AB94" s="1144"/>
      <c r="AC94" s="1144"/>
    </row>
    <row r="95" spans="1:29" ht="16"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C241"/>
  <sheetViews>
    <sheetView zoomScale="89" zoomScaleNormal="89" workbookViewId="0">
      <selection sqref="A1:XFD1048576"/>
    </sheetView>
  </sheetViews>
  <sheetFormatPr baseColWidth="10" defaultColWidth="9" defaultRowHeight="14"/>
  <cols>
    <col min="1" max="1" width="10.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9" customFormat="1" ht="28.5" customHeight="1" thickBot="1">
      <c r="A1" s="1618" t="s">
        <v>2705</v>
      </c>
      <c r="B1" s="1619"/>
      <c r="C1" s="1620" t="s">
        <v>2529</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32" t="s">
        <v>2644</v>
      </c>
      <c r="D4" s="3233"/>
      <c r="E4" s="3234" t="s">
        <v>2645</v>
      </c>
      <c r="F4" s="3235"/>
      <c r="G4" s="3232" t="s">
        <v>2646</v>
      </c>
      <c r="H4" s="3233"/>
      <c r="I4" s="3232" t="s">
        <v>2647</v>
      </c>
      <c r="J4" s="3233"/>
      <c r="K4" s="610" t="s">
        <v>2648</v>
      </c>
      <c r="L4" s="1130"/>
      <c r="M4" s="1131"/>
      <c r="N4" s="1131"/>
      <c r="O4" s="1131"/>
      <c r="P4" s="3236" t="s">
        <v>2649</v>
      </c>
      <c r="Q4" s="3237"/>
      <c r="R4" s="3242" t="s">
        <v>2645</v>
      </c>
      <c r="S4" s="3243"/>
      <c r="T4" s="3242" t="s">
        <v>2646</v>
      </c>
      <c r="U4" s="3243"/>
      <c r="V4" s="3248" t="s">
        <v>2647</v>
      </c>
      <c r="W4" s="3248"/>
      <c r="X4" s="1813"/>
      <c r="Y4" s="3242" t="s">
        <v>2649</v>
      </c>
      <c r="Z4" s="3243"/>
      <c r="AA4" s="3229" t="s">
        <v>2645</v>
      </c>
      <c r="AB4" s="3230" t="s">
        <v>2646</v>
      </c>
      <c r="AC4" s="3229" t="s">
        <v>2647</v>
      </c>
    </row>
    <row r="5" spans="1:29">
      <c r="A5" s="404"/>
      <c r="B5" s="405"/>
      <c r="C5" s="3263" t="s">
        <v>2541</v>
      </c>
      <c r="D5" s="3257"/>
      <c r="E5" s="3264" t="s">
        <v>2542</v>
      </c>
      <c r="F5" s="3262"/>
      <c r="G5" s="3263" t="s">
        <v>2543</v>
      </c>
      <c r="H5" s="3257"/>
      <c r="I5" s="3263" t="s">
        <v>2544</v>
      </c>
      <c r="J5" s="3257"/>
      <c r="K5" s="610"/>
      <c r="L5" s="1130"/>
      <c r="M5" s="1131"/>
      <c r="N5" s="1131"/>
      <c r="O5" s="1131"/>
      <c r="P5" s="3238"/>
      <c r="Q5" s="3239"/>
      <c r="R5" s="3244"/>
      <c r="S5" s="3245"/>
      <c r="T5" s="3244"/>
      <c r="U5" s="3245"/>
      <c r="V5" s="3248"/>
      <c r="W5" s="3248"/>
      <c r="X5" s="1813"/>
      <c r="Y5" s="3244"/>
      <c r="Z5" s="3245"/>
      <c r="AA5" s="3230"/>
      <c r="AB5" s="3230"/>
      <c r="AC5" s="3230"/>
    </row>
    <row r="6" spans="1:29" ht="16" thickBot="1">
      <c r="A6" s="406"/>
      <c r="B6" s="407"/>
      <c r="C6" s="3249" t="s">
        <v>2545</v>
      </c>
      <c r="D6" s="3250"/>
      <c r="E6" s="3259" t="s">
        <v>2545</v>
      </c>
      <c r="F6" s="3260"/>
      <c r="G6" s="3249" t="s">
        <v>2545</v>
      </c>
      <c r="H6" s="3250"/>
      <c r="I6" s="3249" t="s">
        <v>2545</v>
      </c>
      <c r="J6" s="3250"/>
      <c r="K6" s="610" t="s">
        <v>2546</v>
      </c>
      <c r="L6" s="1130"/>
      <c r="M6" s="1131"/>
      <c r="N6" s="1131"/>
      <c r="O6" s="1131"/>
      <c r="P6" s="3240"/>
      <c r="Q6" s="3241"/>
      <c r="R6" s="3244"/>
      <c r="S6" s="3245"/>
      <c r="T6" s="3246"/>
      <c r="U6" s="3247"/>
      <c r="V6" s="3248"/>
      <c r="W6" s="3248"/>
      <c r="X6" s="1813"/>
      <c r="Y6" s="3246"/>
      <c r="Z6" s="3247"/>
      <c r="AA6" s="3231"/>
      <c r="AB6" s="3231"/>
      <c r="AC6" s="3231"/>
    </row>
    <row r="7" spans="1:29" s="117" customFormat="1" ht="16" thickBot="1">
      <c r="A7" s="408" t="s">
        <v>2547</v>
      </c>
      <c r="B7" s="409"/>
      <c r="C7" s="410">
        <f>'数据-取费表'!B2</f>
        <v>43847</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53" t="s">
        <v>2548</v>
      </c>
      <c r="Q7" s="3255"/>
      <c r="R7" s="770" t="s">
        <v>17</v>
      </c>
      <c r="S7" s="771">
        <f t="shared" ref="S7:S14" si="0">F7</f>
        <v>0</v>
      </c>
      <c r="T7" s="770" t="s">
        <v>17</v>
      </c>
      <c r="U7" s="771">
        <f t="shared" ref="U7:U14" si="1">H7</f>
        <v>0</v>
      </c>
      <c r="V7" s="770" t="s">
        <v>17</v>
      </c>
      <c r="W7" s="771">
        <f t="shared" ref="W7:W14" si="2">J7</f>
        <v>0</v>
      </c>
      <c r="X7" s="772"/>
      <c r="Y7" s="3253" t="s">
        <v>2548</v>
      </c>
      <c r="Z7" s="3254"/>
      <c r="AA7" s="773" t="e">
        <f>D7/F7</f>
        <v>#DIV/0!</v>
      </c>
      <c r="AB7" s="773" t="e">
        <f>D7/H7</f>
        <v>#DIV/0!</v>
      </c>
      <c r="AC7" s="773" t="e">
        <f>D7/J7</f>
        <v>#DIV/0!</v>
      </c>
    </row>
    <row r="8" spans="1:29" s="117" customFormat="1" ht="16" thickBot="1">
      <c r="A8" s="408" t="s">
        <v>2549</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53" t="s">
        <v>2551</v>
      </c>
      <c r="Q8" s="3254"/>
      <c r="R8" s="770" t="s">
        <v>17</v>
      </c>
      <c r="S8" s="771">
        <f t="shared" si="0"/>
        <v>0</v>
      </c>
      <c r="T8" s="770" t="s">
        <v>17</v>
      </c>
      <c r="U8" s="771">
        <f t="shared" si="1"/>
        <v>0</v>
      </c>
      <c r="V8" s="770" t="s">
        <v>17</v>
      </c>
      <c r="W8" s="771">
        <f t="shared" si="2"/>
        <v>0</v>
      </c>
      <c r="X8" s="772"/>
      <c r="Y8" s="3253" t="s">
        <v>2551</v>
      </c>
      <c r="Z8" s="3254"/>
      <c r="AA8" s="773" t="e">
        <f t="shared" ref="AA8:AA34" si="3">D8/F8</f>
        <v>#DIV/0!</v>
      </c>
      <c r="AB8" s="773" t="e">
        <f t="shared" ref="AB8:AB34" si="4">D8/H8</f>
        <v>#DIV/0!</v>
      </c>
      <c r="AC8" s="773" t="e">
        <f t="shared" ref="AC8:AC34" si="5">D8/J8</f>
        <v>#DIV/0!</v>
      </c>
    </row>
    <row r="9" spans="1:29" s="117" customFormat="1" ht="15">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7" t="s">
        <v>2554</v>
      </c>
      <c r="Q9" s="1795" t="str">
        <f t="shared" ref="Q9:Q14" si="6">B9</f>
        <v>用途</v>
      </c>
      <c r="R9" s="770" t="s">
        <v>17</v>
      </c>
      <c r="S9" s="771">
        <f t="shared" si="0"/>
        <v>100</v>
      </c>
      <c r="T9" s="770" t="s">
        <v>17</v>
      </c>
      <c r="U9" s="771">
        <f t="shared" si="1"/>
        <v>100</v>
      </c>
      <c r="V9" s="770" t="s">
        <v>17</v>
      </c>
      <c r="W9" s="771">
        <f t="shared" si="2"/>
        <v>100</v>
      </c>
      <c r="X9" s="772"/>
      <c r="Y9" s="3037" t="s">
        <v>2555</v>
      </c>
      <c r="Z9" s="55" t="str">
        <f t="shared" ref="Z9:Z14" si="7">Q9</f>
        <v>用途</v>
      </c>
      <c r="AA9" s="773">
        <f t="shared" si="3"/>
        <v>1</v>
      </c>
      <c r="AB9" s="773">
        <f t="shared" si="4"/>
        <v>1</v>
      </c>
      <c r="AC9" s="773">
        <f t="shared" si="5"/>
        <v>1</v>
      </c>
    </row>
    <row r="10" spans="1:29" s="427" customFormat="1" ht="30">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7"/>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6">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7"/>
      <c r="Q11" s="1795">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6">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7"/>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7"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17"/>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35">
      <c r="A14" s="440" t="s">
        <v>2558</v>
      </c>
      <c r="B14" s="69" t="s">
        <v>2707</v>
      </c>
      <c r="C14" s="2691" t="str">
        <f>IF(B1="工业",估价对象房地状况!G4,估价对象房地状况!C6)</f>
        <v>估价对象周边有开发区3路、快速直达专线181路、578路多条公交线路，距地铁8号线（瀛海站）约4公里，综合评价交通便捷度一般。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9" t="s">
        <v>2559</v>
      </c>
      <c r="Q14" s="1810" t="str">
        <f t="shared" si="6"/>
        <v>交通便捷度</v>
      </c>
      <c r="R14" s="774" t="s">
        <v>17</v>
      </c>
      <c r="S14" s="775">
        <f t="shared" si="0"/>
        <v>100</v>
      </c>
      <c r="T14" s="774" t="s">
        <v>17</v>
      </c>
      <c r="U14" s="775">
        <f t="shared" si="1"/>
        <v>100</v>
      </c>
      <c r="V14" s="774" t="s">
        <v>17</v>
      </c>
      <c r="W14" s="775">
        <f t="shared" si="2"/>
        <v>100</v>
      </c>
      <c r="X14" s="1813"/>
      <c r="Y14" s="3219" t="s">
        <v>2559</v>
      </c>
      <c r="Z14" s="1814" t="str">
        <f t="shared" si="7"/>
        <v>交通便捷度</v>
      </c>
      <c r="AA14" s="1811">
        <f t="shared" si="3"/>
        <v>1</v>
      </c>
      <c r="AB14" s="1811">
        <f t="shared" si="4"/>
        <v>1</v>
      </c>
      <c r="AC14" s="1811">
        <f t="shared" si="5"/>
        <v>1</v>
      </c>
    </row>
    <row r="15" spans="1:29" ht="16">
      <c r="A15" s="428"/>
      <c r="B15" s="446"/>
      <c r="C15" s="447"/>
      <c r="D15" s="448"/>
      <c r="E15" s="447"/>
      <c r="F15" s="449"/>
      <c r="G15" s="447"/>
      <c r="H15" s="450"/>
      <c r="I15" s="447"/>
      <c r="J15" s="448"/>
      <c r="K15" s="615"/>
      <c r="L15" s="1140"/>
      <c r="M15" s="1131"/>
      <c r="N15" s="1131"/>
      <c r="O15" s="1139"/>
      <c r="P15" s="3220"/>
      <c r="Q15" s="1810"/>
      <c r="R15" s="774"/>
      <c r="S15" s="775"/>
      <c r="T15" s="774"/>
      <c r="U15" s="775"/>
      <c r="V15" s="774"/>
      <c r="W15" s="775"/>
      <c r="X15" s="1813"/>
      <c r="Y15" s="3220"/>
      <c r="Z15" s="1814"/>
      <c r="AA15" s="1811">
        <v>1</v>
      </c>
      <c r="AB15" s="1811">
        <v>1</v>
      </c>
      <c r="AC15" s="1811">
        <v>1</v>
      </c>
    </row>
    <row r="16" spans="1:29" ht="45">
      <c r="A16" s="428"/>
      <c r="B16" s="451" t="s">
        <v>2686</v>
      </c>
      <c r="C16" s="2605"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0"/>
      <c r="Q16" s="1810" t="str">
        <f>B16</f>
        <v>公共配套设施</v>
      </c>
      <c r="R16" s="774" t="s">
        <v>17</v>
      </c>
      <c r="S16" s="775">
        <f>F16</f>
        <v>100</v>
      </c>
      <c r="T16" s="774" t="s">
        <v>17</v>
      </c>
      <c r="U16" s="775">
        <f>H16</f>
        <v>100</v>
      </c>
      <c r="V16" s="774" t="s">
        <v>17</v>
      </c>
      <c r="W16" s="775">
        <f>J16</f>
        <v>100</v>
      </c>
      <c r="X16" s="1813"/>
      <c r="Y16" s="3220"/>
      <c r="Z16" s="1814" t="str">
        <f>Q16</f>
        <v>公共配套设施</v>
      </c>
      <c r="AA16" s="1811">
        <f t="shared" si="3"/>
        <v>1</v>
      </c>
      <c r="AB16" s="1811">
        <f t="shared" si="4"/>
        <v>1</v>
      </c>
      <c r="AC16" s="1811">
        <f t="shared" si="5"/>
        <v>1</v>
      </c>
    </row>
    <row r="17" spans="1:29" ht="16">
      <c r="A17" s="428"/>
      <c r="B17" s="456"/>
      <c r="C17" s="2606"/>
      <c r="D17" s="448"/>
      <c r="E17" s="447"/>
      <c r="F17" s="449"/>
      <c r="G17" s="447"/>
      <c r="H17" s="448"/>
      <c r="I17" s="447"/>
      <c r="J17" s="448"/>
      <c r="K17" s="615"/>
      <c r="L17" s="1140"/>
      <c r="M17" s="1131"/>
      <c r="N17" s="1131"/>
      <c r="O17" s="1139"/>
      <c r="P17" s="3220"/>
      <c r="Q17" s="1810"/>
      <c r="R17" s="774"/>
      <c r="S17" s="775"/>
      <c r="T17" s="774"/>
      <c r="U17" s="775"/>
      <c r="V17" s="774"/>
      <c r="W17" s="775"/>
      <c r="X17" s="1813"/>
      <c r="Y17" s="3220"/>
      <c r="Z17" s="1814"/>
      <c r="AA17" s="1811">
        <v>1</v>
      </c>
      <c r="AB17" s="1811">
        <v>1</v>
      </c>
      <c r="AC17" s="1811">
        <v>1</v>
      </c>
    </row>
    <row r="18" spans="1:29" ht="16">
      <c r="A18" s="428"/>
      <c r="B18" s="1384" t="s">
        <v>2687</v>
      </c>
      <c r="C18" s="2605"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0"/>
      <c r="Q18" s="1810" t="str">
        <f>B18</f>
        <v>基础设施水平</v>
      </c>
      <c r="R18" s="774" t="s">
        <v>17</v>
      </c>
      <c r="S18" s="775">
        <f>F18</f>
        <v>100</v>
      </c>
      <c r="T18" s="774" t="s">
        <v>17</v>
      </c>
      <c r="U18" s="775">
        <f>H18</f>
        <v>100</v>
      </c>
      <c r="V18" s="774" t="s">
        <v>17</v>
      </c>
      <c r="W18" s="775">
        <f>J18</f>
        <v>100</v>
      </c>
      <c r="X18" s="1813"/>
      <c r="Y18" s="3220"/>
      <c r="Z18" s="1814" t="str">
        <f>Q18</f>
        <v>基础设施水平</v>
      </c>
      <c r="AA18" s="1811">
        <f>D18/F18</f>
        <v>1</v>
      </c>
      <c r="AB18" s="1811">
        <f>D18/H18</f>
        <v>1</v>
      </c>
      <c r="AC18" s="1811">
        <f>D18/J18</f>
        <v>1</v>
      </c>
    </row>
    <row r="19" spans="1:29" ht="16">
      <c r="A19" s="428"/>
      <c r="B19" s="1384"/>
      <c r="C19" s="2606"/>
      <c r="D19" s="450"/>
      <c r="E19" s="2606"/>
      <c r="F19" s="453"/>
      <c r="G19" s="2606"/>
      <c r="H19" s="448"/>
      <c r="I19" s="447"/>
      <c r="J19" s="448"/>
      <c r="K19" s="1383"/>
      <c r="L19" s="1140"/>
      <c r="M19" s="1131"/>
      <c r="N19" s="1131"/>
      <c r="O19" s="1139"/>
      <c r="P19" s="3220"/>
      <c r="Q19" s="1810"/>
      <c r="R19" s="774"/>
      <c r="S19" s="775"/>
      <c r="T19" s="774"/>
      <c r="U19" s="775"/>
      <c r="V19" s="774"/>
      <c r="W19" s="775"/>
      <c r="X19" s="1813"/>
      <c r="Y19" s="3220"/>
      <c r="Z19" s="1814"/>
      <c r="AA19" s="1811">
        <v>1</v>
      </c>
      <c r="AB19" s="1811">
        <v>1</v>
      </c>
      <c r="AC19" s="1811">
        <v>1</v>
      </c>
    </row>
    <row r="20" spans="1:29" ht="120">
      <c r="A20" s="428"/>
      <c r="B20" s="451" t="s">
        <v>2708</v>
      </c>
      <c r="C20" s="2605" t="str">
        <f>IF(B1="工业",估价对象房地状况!G7,估价对象房地状况!C9)</f>
        <v>区域自然环境：体育公园、南海子公园、凉水河；人文环境：北京电子科技职业学院(亦庄校区)；综合评价环境状况一般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0"/>
      <c r="Q20" s="1810" t="str">
        <f>B20</f>
        <v>自然及人文环境</v>
      </c>
      <c r="R20" s="774" t="s">
        <v>17</v>
      </c>
      <c r="S20" s="775">
        <f>F20</f>
        <v>100</v>
      </c>
      <c r="T20" s="774" t="s">
        <v>17</v>
      </c>
      <c r="U20" s="775">
        <f>H20</f>
        <v>100</v>
      </c>
      <c r="V20" s="774" t="s">
        <v>17</v>
      </c>
      <c r="W20" s="775">
        <f>J20</f>
        <v>100</v>
      </c>
      <c r="X20" s="1813"/>
      <c r="Y20" s="3220"/>
      <c r="Z20" s="1814" t="str">
        <f>Q20</f>
        <v>自然及人文环境</v>
      </c>
      <c r="AA20" s="1811">
        <f t="shared" si="3"/>
        <v>1</v>
      </c>
      <c r="AB20" s="1811">
        <f t="shared" si="4"/>
        <v>1</v>
      </c>
      <c r="AC20" s="1811">
        <f t="shared" si="5"/>
        <v>1</v>
      </c>
    </row>
    <row r="21" spans="1:29" ht="16">
      <c r="A21" s="428"/>
      <c r="B21" s="456"/>
      <c r="C21" s="447"/>
      <c r="D21" s="448"/>
      <c r="E21" s="447"/>
      <c r="F21" s="449"/>
      <c r="G21" s="447"/>
      <c r="H21" s="448"/>
      <c r="I21" s="447"/>
      <c r="J21" s="448"/>
      <c r="K21" s="615"/>
      <c r="L21" s="1140"/>
      <c r="M21" s="1131"/>
      <c r="N21" s="1131"/>
      <c r="O21" s="1139"/>
      <c r="P21" s="3220"/>
      <c r="Q21" s="1810"/>
      <c r="R21" s="774"/>
      <c r="S21" s="775"/>
      <c r="T21" s="774"/>
      <c r="U21" s="775"/>
      <c r="V21" s="774"/>
      <c r="W21" s="775"/>
      <c r="X21" s="1813"/>
      <c r="Y21" s="3220"/>
      <c r="Z21" s="1814"/>
      <c r="AA21" s="1811">
        <v>1</v>
      </c>
      <c r="AB21" s="1811">
        <v>1</v>
      </c>
      <c r="AC21" s="1811">
        <v>1</v>
      </c>
    </row>
    <row r="22" spans="1:29" ht="16">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0"/>
      <c r="Q22" s="1810" t="str">
        <f>B22</f>
        <v>楼层</v>
      </c>
      <c r="R22" s="774" t="s">
        <v>17</v>
      </c>
      <c r="S22" s="775">
        <f>F22</f>
        <v>100</v>
      </c>
      <c r="T22" s="774" t="s">
        <v>17</v>
      </c>
      <c r="U22" s="775">
        <f>H22</f>
        <v>100</v>
      </c>
      <c r="V22" s="774" t="s">
        <v>17</v>
      </c>
      <c r="W22" s="775">
        <f>J22</f>
        <v>100</v>
      </c>
      <c r="X22" s="1813"/>
      <c r="Y22" s="3220"/>
      <c r="Z22" s="1814" t="str">
        <f>Q22</f>
        <v>楼层</v>
      </c>
      <c r="AA22" s="1811">
        <f t="shared" si="3"/>
        <v>1</v>
      </c>
      <c r="AB22" s="1811">
        <f t="shared" si="4"/>
        <v>1</v>
      </c>
      <c r="AC22" s="1811">
        <f t="shared" si="5"/>
        <v>1</v>
      </c>
    </row>
    <row r="23" spans="1:29" ht="16">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0"/>
      <c r="Q23" s="1810">
        <f>B23</f>
        <v>111</v>
      </c>
      <c r="R23" s="774" t="s">
        <v>17</v>
      </c>
      <c r="S23" s="775">
        <f>F23</f>
        <v>100</v>
      </c>
      <c r="T23" s="774" t="s">
        <v>17</v>
      </c>
      <c r="U23" s="775">
        <f>H23</f>
        <v>100</v>
      </c>
      <c r="V23" s="774" t="s">
        <v>17</v>
      </c>
      <c r="W23" s="775">
        <f>J23</f>
        <v>100</v>
      </c>
      <c r="X23" s="1813"/>
      <c r="Y23" s="3220"/>
      <c r="Z23" s="1814">
        <f>Q23</f>
        <v>111</v>
      </c>
      <c r="AA23" s="1811">
        <f t="shared" si="3"/>
        <v>1</v>
      </c>
      <c r="AB23" s="1811">
        <f t="shared" si="4"/>
        <v>1</v>
      </c>
      <c r="AC23" s="1811">
        <f t="shared" si="5"/>
        <v>1</v>
      </c>
    </row>
    <row r="24" spans="1:29" ht="16">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0"/>
      <c r="Q24" s="1810">
        <f t="shared" ref="Q24:Q34" si="8">B24</f>
        <v>111</v>
      </c>
      <c r="R24" s="774" t="s">
        <v>17</v>
      </c>
      <c r="S24" s="775">
        <f>F24</f>
        <v>100</v>
      </c>
      <c r="T24" s="774" t="s">
        <v>17</v>
      </c>
      <c r="U24" s="775">
        <f>H24</f>
        <v>100</v>
      </c>
      <c r="V24" s="774" t="s">
        <v>17</v>
      </c>
      <c r="W24" s="775">
        <f>J24</f>
        <v>100</v>
      </c>
      <c r="X24" s="1813"/>
      <c r="Y24" s="3220"/>
      <c r="Z24" s="1814">
        <f>Q24</f>
        <v>111</v>
      </c>
      <c r="AA24" s="1811">
        <f t="shared" si="3"/>
        <v>1</v>
      </c>
      <c r="AB24" s="1811">
        <f t="shared" si="4"/>
        <v>1</v>
      </c>
      <c r="AC24" s="1811">
        <f t="shared" si="5"/>
        <v>1</v>
      </c>
    </row>
    <row r="25" spans="1:29" s="117" customFormat="1" ht="17"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20"/>
      <c r="Q25" s="1795">
        <f t="shared" si="8"/>
        <v>111</v>
      </c>
      <c r="R25" s="770" t="s">
        <v>17</v>
      </c>
      <c r="S25" s="771">
        <f>F25</f>
        <v>100</v>
      </c>
      <c r="T25" s="770" t="s">
        <v>17</v>
      </c>
      <c r="U25" s="771">
        <f>H25</f>
        <v>100</v>
      </c>
      <c r="V25" s="770" t="s">
        <v>17</v>
      </c>
      <c r="W25" s="771">
        <f>J25</f>
        <v>100</v>
      </c>
      <c r="X25" s="772"/>
      <c r="Y25" s="3220"/>
      <c r="Z25" s="55">
        <f>Q25</f>
        <v>111</v>
      </c>
      <c r="AA25" s="1811">
        <f>D25/F25</f>
        <v>1</v>
      </c>
      <c r="AB25" s="1811">
        <f>D25/H25</f>
        <v>1</v>
      </c>
      <c r="AC25" s="1811">
        <f>D25/J25</f>
        <v>1</v>
      </c>
    </row>
    <row r="26" spans="1:29" ht="20">
      <c r="A26" s="466" t="s">
        <v>2562</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80" t="s">
        <v>2564</v>
      </c>
      <c r="Q26" s="1810" t="str">
        <f t="shared" si="8"/>
        <v>公共部分装修</v>
      </c>
      <c r="R26" s="774" t="s">
        <v>17</v>
      </c>
      <c r="S26" s="775">
        <f t="shared" ref="S26:S34" si="9">F26</f>
        <v>100</v>
      </c>
      <c r="T26" s="774" t="s">
        <v>17</v>
      </c>
      <c r="U26" s="775">
        <f t="shared" ref="U26:U34" si="10">H26</f>
        <v>100</v>
      </c>
      <c r="V26" s="774" t="s">
        <v>17</v>
      </c>
      <c r="W26" s="775">
        <f t="shared" ref="W26:W34" si="11">J26</f>
        <v>100</v>
      </c>
      <c r="X26" s="1813"/>
      <c r="Y26" s="3224" t="s">
        <v>2564</v>
      </c>
      <c r="Z26" s="1814" t="str">
        <f t="shared" ref="Z26:Z34" si="12">Q26</f>
        <v>公共部分装修</v>
      </c>
      <c r="AA26" s="1811">
        <f t="shared" si="3"/>
        <v>1</v>
      </c>
      <c r="AB26" s="1811">
        <f t="shared" si="4"/>
        <v>1</v>
      </c>
      <c r="AC26" s="1811">
        <f t="shared" si="5"/>
        <v>1</v>
      </c>
    </row>
    <row r="27" spans="1:29" s="471" customFormat="1" ht="16">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4"/>
      <c r="Q27" s="776" t="str">
        <f t="shared" si="8"/>
        <v>成新率</v>
      </c>
      <c r="R27" s="777" t="s">
        <v>17</v>
      </c>
      <c r="S27" s="778" t="e">
        <f t="shared" si="9"/>
        <v>#N/A</v>
      </c>
      <c r="T27" s="777" t="s">
        <v>17</v>
      </c>
      <c r="U27" s="778" t="e">
        <f t="shared" si="10"/>
        <v>#N/A</v>
      </c>
      <c r="V27" s="777" t="s">
        <v>17</v>
      </c>
      <c r="W27" s="778" t="e">
        <f t="shared" si="11"/>
        <v>#N/A</v>
      </c>
      <c r="X27" s="779"/>
      <c r="Y27" s="3224"/>
      <c r="Z27" s="780" t="str">
        <f t="shared" si="12"/>
        <v>成新率</v>
      </c>
      <c r="AA27" s="1811" t="e">
        <f t="shared" si="3"/>
        <v>#N/A</v>
      </c>
      <c r="AB27" s="1811" t="e">
        <f t="shared" si="4"/>
        <v>#N/A</v>
      </c>
      <c r="AC27" s="1811" t="e">
        <f t="shared" si="5"/>
        <v>#N/A</v>
      </c>
    </row>
    <row r="28" spans="1:29" ht="16">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4"/>
      <c r="Q28" s="1810" t="str">
        <f t="shared" si="8"/>
        <v>物业等级</v>
      </c>
      <c r="R28" s="774" t="s">
        <v>17</v>
      </c>
      <c r="S28" s="775">
        <f t="shared" si="9"/>
        <v>100</v>
      </c>
      <c r="T28" s="774" t="s">
        <v>17</v>
      </c>
      <c r="U28" s="775">
        <f t="shared" si="10"/>
        <v>100</v>
      </c>
      <c r="V28" s="774" t="s">
        <v>17</v>
      </c>
      <c r="W28" s="775">
        <f t="shared" si="11"/>
        <v>100</v>
      </c>
      <c r="X28" s="1813"/>
      <c r="Y28" s="3224"/>
      <c r="Z28" s="1814" t="str">
        <f t="shared" si="12"/>
        <v>物业等级</v>
      </c>
      <c r="AA28" s="1811">
        <f t="shared" si="3"/>
        <v>1</v>
      </c>
      <c r="AB28" s="1811">
        <f t="shared" si="4"/>
        <v>1</v>
      </c>
      <c r="AC28" s="1811">
        <f t="shared" si="5"/>
        <v>1</v>
      </c>
    </row>
    <row r="29" spans="1:29" ht="16">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4"/>
      <c r="Q29" s="1810" t="str">
        <f t="shared" si="8"/>
        <v>有无电梯</v>
      </c>
      <c r="R29" s="774" t="s">
        <v>17</v>
      </c>
      <c r="S29" s="775">
        <f t="shared" si="9"/>
        <v>100</v>
      </c>
      <c r="T29" s="774" t="s">
        <v>17</v>
      </c>
      <c r="U29" s="775">
        <f t="shared" si="10"/>
        <v>100</v>
      </c>
      <c r="V29" s="774" t="s">
        <v>17</v>
      </c>
      <c r="W29" s="775">
        <f t="shared" si="11"/>
        <v>100</v>
      </c>
      <c r="X29" s="1813"/>
      <c r="Y29" s="3224"/>
      <c r="Z29" s="1814" t="str">
        <f t="shared" si="12"/>
        <v>有无电梯</v>
      </c>
      <c r="AA29" s="1811">
        <f t="shared" si="3"/>
        <v>1</v>
      </c>
      <c r="AB29" s="1811">
        <f t="shared" si="4"/>
        <v>1</v>
      </c>
      <c r="AC29" s="1811">
        <f t="shared" si="5"/>
        <v>1</v>
      </c>
    </row>
    <row r="30" spans="1:29" ht="16">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4"/>
      <c r="Q30" s="1810" t="str">
        <f t="shared" si="8"/>
        <v>建筑面积</v>
      </c>
      <c r="R30" s="774" t="s">
        <v>17</v>
      </c>
      <c r="S30" s="775" t="e">
        <f t="shared" si="9"/>
        <v>#N/A</v>
      </c>
      <c r="T30" s="774" t="s">
        <v>17</v>
      </c>
      <c r="U30" s="775" t="e">
        <f t="shared" si="10"/>
        <v>#N/A</v>
      </c>
      <c r="V30" s="774" t="s">
        <v>17</v>
      </c>
      <c r="W30" s="775" t="e">
        <f t="shared" si="11"/>
        <v>#N/A</v>
      </c>
      <c r="X30" s="1813"/>
      <c r="Y30" s="3224"/>
      <c r="Z30" s="1814" t="str">
        <f t="shared" si="12"/>
        <v>建筑面积</v>
      </c>
      <c r="AA30" s="1811" t="e">
        <f t="shared" si="3"/>
        <v>#N/A</v>
      </c>
      <c r="AB30" s="1811" t="e">
        <f t="shared" si="4"/>
        <v>#N/A</v>
      </c>
      <c r="AC30" s="1811" t="e">
        <f t="shared" si="5"/>
        <v>#N/A</v>
      </c>
    </row>
    <row r="31" spans="1:29" s="117" customFormat="1" ht="16">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4"/>
      <c r="Q31" s="1795" t="str">
        <f t="shared" si="8"/>
        <v>是否封闭</v>
      </c>
      <c r="R31" s="770" t="s">
        <v>17</v>
      </c>
      <c r="S31" s="771">
        <f t="shared" si="9"/>
        <v>100</v>
      </c>
      <c r="T31" s="770" t="s">
        <v>17</v>
      </c>
      <c r="U31" s="771">
        <f t="shared" si="10"/>
        <v>100</v>
      </c>
      <c r="V31" s="770" t="s">
        <v>17</v>
      </c>
      <c r="W31" s="771">
        <f t="shared" si="11"/>
        <v>100</v>
      </c>
      <c r="X31" s="772"/>
      <c r="Y31" s="3224"/>
      <c r="Z31" s="55" t="str">
        <f t="shared" si="12"/>
        <v>是否封闭</v>
      </c>
      <c r="AA31" s="773">
        <f t="shared" si="3"/>
        <v>1</v>
      </c>
      <c r="AB31" s="773">
        <f t="shared" si="4"/>
        <v>1</v>
      </c>
      <c r="AC31" s="773">
        <f t="shared" si="5"/>
        <v>1</v>
      </c>
    </row>
    <row r="32" spans="1:29" ht="16">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4" t="s">
        <v>2564</v>
      </c>
      <c r="Q32" s="1810">
        <f t="shared" si="8"/>
        <v>111</v>
      </c>
      <c r="R32" s="774" t="s">
        <v>17</v>
      </c>
      <c r="S32" s="775">
        <f t="shared" si="9"/>
        <v>100</v>
      </c>
      <c r="T32" s="774" t="s">
        <v>17</v>
      </c>
      <c r="U32" s="775">
        <f t="shared" si="10"/>
        <v>100</v>
      </c>
      <c r="V32" s="774" t="s">
        <v>17</v>
      </c>
      <c r="W32" s="775">
        <f t="shared" si="11"/>
        <v>100</v>
      </c>
      <c r="X32" s="1813"/>
      <c r="Y32" s="3224" t="s">
        <v>2564</v>
      </c>
      <c r="Z32" s="1814">
        <f t="shared" si="12"/>
        <v>111</v>
      </c>
      <c r="AA32" s="1811">
        <f t="shared" si="3"/>
        <v>1</v>
      </c>
      <c r="AB32" s="1811">
        <f t="shared" si="4"/>
        <v>1</v>
      </c>
      <c r="AC32" s="1811">
        <f t="shared" si="5"/>
        <v>1</v>
      </c>
    </row>
    <row r="33" spans="1:29" ht="16">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4"/>
      <c r="Q33" s="1810">
        <f t="shared" si="8"/>
        <v>111</v>
      </c>
      <c r="R33" s="774" t="s">
        <v>17</v>
      </c>
      <c r="S33" s="775">
        <f t="shared" si="9"/>
        <v>100</v>
      </c>
      <c r="T33" s="774" t="s">
        <v>17</v>
      </c>
      <c r="U33" s="775">
        <f t="shared" si="10"/>
        <v>100</v>
      </c>
      <c r="V33" s="774" t="s">
        <v>17</v>
      </c>
      <c r="W33" s="775">
        <f t="shared" si="11"/>
        <v>100</v>
      </c>
      <c r="X33" s="1813"/>
      <c r="Y33" s="3224"/>
      <c r="Z33" s="1814">
        <f t="shared" si="12"/>
        <v>111</v>
      </c>
      <c r="AA33" s="1811">
        <f t="shared" si="3"/>
        <v>1</v>
      </c>
      <c r="AB33" s="1811">
        <f t="shared" si="4"/>
        <v>1</v>
      </c>
      <c r="AC33" s="1811">
        <f t="shared" si="5"/>
        <v>1</v>
      </c>
    </row>
    <row r="34" spans="1:29" ht="17"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24"/>
      <c r="Q34" s="1810">
        <f t="shared" si="8"/>
        <v>111</v>
      </c>
      <c r="R34" s="774" t="s">
        <v>17</v>
      </c>
      <c r="S34" s="775">
        <f t="shared" si="9"/>
        <v>100</v>
      </c>
      <c r="T34" s="774" t="s">
        <v>17</v>
      </c>
      <c r="U34" s="775">
        <f t="shared" si="10"/>
        <v>100</v>
      </c>
      <c r="V34" s="774" t="s">
        <v>17</v>
      </c>
      <c r="W34" s="775">
        <f t="shared" si="11"/>
        <v>100</v>
      </c>
      <c r="X34" s="1813"/>
      <c r="Y34" s="3224"/>
      <c r="Z34" s="1814">
        <f t="shared" si="12"/>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17" t="str">
        <f>A35</f>
        <v>成交单价（元/平方米）</v>
      </c>
      <c r="Q35" s="3217"/>
      <c r="R35" s="3218">
        <f>E35</f>
        <v>0</v>
      </c>
      <c r="S35" s="3218"/>
      <c r="T35" s="3218">
        <f>G35</f>
        <v>0</v>
      </c>
      <c r="U35" s="3218"/>
      <c r="V35" s="3218">
        <f>I35</f>
        <v>0</v>
      </c>
      <c r="W35" s="3218"/>
      <c r="X35" s="759"/>
      <c r="Y35" s="781"/>
      <c r="Z35" s="759"/>
      <c r="AA35" s="759"/>
      <c r="AB35" s="759"/>
      <c r="AC35" s="759"/>
    </row>
    <row r="36" spans="1:29" ht="1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9"/>
      <c r="Y36" s="759"/>
      <c r="Z36" s="759"/>
      <c r="AA36" s="759"/>
      <c r="AB36" s="759"/>
      <c r="AC36" s="759"/>
    </row>
    <row r="37" spans="1:29" ht="15" thickBot="1">
      <c r="A37" s="492" t="s">
        <v>2668</v>
      </c>
      <c r="B37" s="493"/>
      <c r="C37" s="1417" t="e">
        <f>R37</f>
        <v>#DIV/0!</v>
      </c>
      <c r="D37" s="1417"/>
      <c r="E37" s="1417"/>
      <c r="F37" s="1417"/>
      <c r="G37" s="1417"/>
      <c r="H37" s="1417"/>
      <c r="I37" s="1417"/>
      <c r="J37" s="1417"/>
      <c r="K37" s="785"/>
      <c r="L37" s="1143"/>
      <c r="M37" s="1144"/>
      <c r="N37" s="1144"/>
      <c r="O37" s="1144"/>
      <c r="P37" s="3214" t="str">
        <f>A37</f>
        <v>估价对象XX用房的比较价值（楼面单价，元/平方米）</v>
      </c>
      <c r="Q37" s="3215"/>
      <c r="R37" s="3216" t="e">
        <f>IF(F1="售价",ROUND(AVERAGE(R36:V36),0),ROUND(AVERAGE(R36:V36),1))</f>
        <v>#DIV/0!</v>
      </c>
      <c r="S37" s="3216"/>
      <c r="T37" s="3216"/>
      <c r="U37" s="3216"/>
      <c r="V37" s="3216"/>
      <c r="W37" s="321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2020-1</v>
      </c>
      <c r="D46" s="1575">
        <f>EDATE(C46,-1)</f>
        <v>43800</v>
      </c>
      <c r="E46" s="1575">
        <f t="shared" ref="E46:O46" si="13">EDATE(D46,-1)</f>
        <v>43770</v>
      </c>
      <c r="F46" s="1575">
        <f t="shared" si="13"/>
        <v>43739</v>
      </c>
      <c r="G46" s="1575">
        <f t="shared" si="13"/>
        <v>43709</v>
      </c>
      <c r="H46" s="1575">
        <f t="shared" si="13"/>
        <v>43678</v>
      </c>
      <c r="I46" s="1575">
        <f t="shared" si="13"/>
        <v>43647</v>
      </c>
      <c r="J46" s="1575">
        <f t="shared" si="13"/>
        <v>43617</v>
      </c>
      <c r="K46" s="1575">
        <f t="shared" si="13"/>
        <v>43586</v>
      </c>
      <c r="L46" s="1575">
        <f t="shared" si="13"/>
        <v>43556</v>
      </c>
      <c r="M46" s="1575">
        <f t="shared" si="13"/>
        <v>43525</v>
      </c>
      <c r="N46" s="1575">
        <f t="shared" si="13"/>
        <v>43497</v>
      </c>
      <c r="O46" s="1575">
        <f t="shared" si="13"/>
        <v>43466</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2650</v>
      </c>
      <c r="D49" s="523"/>
      <c r="E49" s="523"/>
      <c r="F49" s="523"/>
      <c r="G49" s="523"/>
      <c r="H49" s="523"/>
      <c r="I49" s="523"/>
      <c r="J49" s="523"/>
      <c r="K49" s="523"/>
      <c r="L49" s="524"/>
      <c r="M49" s="525"/>
      <c r="N49" s="1151"/>
      <c r="O49" s="1151"/>
      <c r="P49" s="526"/>
      <c r="Q49" s="504"/>
    </row>
    <row r="50" spans="1:17" s="117" customFormat="1" ht="15" thickBot="1">
      <c r="A50" s="521"/>
      <c r="B50" s="510"/>
      <c r="C50" s="639">
        <v>100</v>
      </c>
      <c r="D50" s="512"/>
      <c r="E50" s="512"/>
      <c r="F50" s="512"/>
      <c r="G50" s="512"/>
      <c r="H50" s="512"/>
      <c r="I50" s="512"/>
      <c r="J50" s="512"/>
      <c r="K50" s="512"/>
      <c r="L50" s="512"/>
      <c r="M50" s="514"/>
      <c r="N50" s="1151"/>
      <c r="O50" s="1151"/>
      <c r="P50" s="504"/>
      <c r="Q50" s="504"/>
    </row>
    <row r="51" spans="1:17" ht="15">
      <c r="A51" s="527" t="s">
        <v>2586</v>
      </c>
      <c r="B51" s="528" t="s">
        <v>2553</v>
      </c>
      <c r="C51" s="529">
        <f>C9</f>
        <v>0</v>
      </c>
      <c r="D51" s="530"/>
      <c r="E51" s="530"/>
      <c r="F51" s="530"/>
      <c r="G51" s="530"/>
      <c r="H51" s="530"/>
      <c r="I51" s="530"/>
      <c r="J51" s="530"/>
      <c r="K51" s="531"/>
      <c r="L51" s="532"/>
      <c r="M51" s="533"/>
      <c r="N51" s="1152"/>
      <c r="O51" s="1152"/>
      <c r="P51" s="45"/>
      <c r="Q51" s="504"/>
    </row>
    <row r="52" spans="1:17" ht="15" thickBot="1">
      <c r="A52" s="534"/>
      <c r="B52" s="535"/>
      <c r="C52" s="536">
        <v>100</v>
      </c>
      <c r="D52" s="536"/>
      <c r="E52" s="536"/>
      <c r="F52" s="536"/>
      <c r="G52" s="536"/>
      <c r="H52" s="536"/>
      <c r="I52" s="536"/>
      <c r="J52" s="536"/>
      <c r="K52" s="536"/>
      <c r="L52" s="536"/>
      <c r="M52" s="537"/>
      <c r="N52" s="1153"/>
      <c r="O52" s="1153"/>
      <c r="P52" s="45"/>
      <c r="Q52" s="504"/>
    </row>
    <row r="53" spans="1:17" ht="31" thickTop="1">
      <c r="A53" s="534"/>
      <c r="B53" s="538" t="s">
        <v>2556</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6"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 thickTop="1">
      <c r="A55" s="534"/>
      <c r="B55" s="660">
        <f>B11</f>
        <v>111</v>
      </c>
      <c r="C55" s="549"/>
      <c r="D55" s="549"/>
      <c r="E55" s="549"/>
      <c r="F55" s="549"/>
      <c r="G55" s="549"/>
      <c r="H55" s="549"/>
      <c r="I55" s="549"/>
      <c r="J55" s="549"/>
      <c r="K55" s="550"/>
      <c r="L55" s="551"/>
      <c r="M55" s="552"/>
      <c r="N55" s="1152"/>
      <c r="O55" s="1152"/>
      <c r="P55" s="45"/>
      <c r="Q55" s="504"/>
    </row>
    <row r="56" spans="1:17" ht="15" thickBot="1">
      <c r="A56" s="534"/>
      <c r="B56" s="535"/>
      <c r="C56" s="560"/>
      <c r="D56" s="536"/>
      <c r="E56" s="536"/>
      <c r="F56" s="536"/>
      <c r="G56" s="536"/>
      <c r="H56" s="536"/>
      <c r="I56" s="536"/>
      <c r="J56" s="536"/>
      <c r="K56" s="536"/>
      <c r="L56" s="536"/>
      <c r="M56" s="537"/>
      <c r="N56" s="1153"/>
      <c r="O56" s="1153"/>
      <c r="P56" s="45"/>
      <c r="Q56" s="504"/>
    </row>
    <row r="57" spans="1:17" s="471" customFormat="1" ht="15" thickTop="1">
      <c r="A57" s="553"/>
      <c r="B57" s="538">
        <f>B12</f>
        <v>111</v>
      </c>
      <c r="C57" s="549"/>
      <c r="D57" s="549"/>
      <c r="E57" s="549"/>
      <c r="F57" s="549"/>
      <c r="G57" s="554"/>
      <c r="H57" s="555"/>
      <c r="I57" s="555"/>
      <c r="J57" s="555"/>
      <c r="K57" s="555"/>
      <c r="L57" s="556"/>
      <c r="M57" s="557"/>
      <c r="N57" s="1154"/>
      <c r="O57" s="1154"/>
      <c r="P57" s="558"/>
      <c r="Q57" s="559"/>
    </row>
    <row r="58" spans="1:17" s="471" customFormat="1" ht="15" thickBot="1">
      <c r="A58" s="553"/>
      <c r="B58" s="543"/>
      <c r="C58" s="560"/>
      <c r="D58" s="536"/>
      <c r="E58" s="536"/>
      <c r="F58" s="536"/>
      <c r="G58" s="536"/>
      <c r="H58" s="536"/>
      <c r="I58" s="536"/>
      <c r="J58" s="536"/>
      <c r="K58" s="536"/>
      <c r="L58" s="536"/>
      <c r="M58" s="537"/>
      <c r="N58" s="1153"/>
      <c r="O58" s="1153"/>
      <c r="P58" s="558"/>
      <c r="Q58" s="559"/>
    </row>
    <row r="59" spans="1:17" s="471" customFormat="1" ht="15" thickTop="1">
      <c r="A59" s="553"/>
      <c r="B59" s="538">
        <f>B13</f>
        <v>111</v>
      </c>
      <c r="C59" s="549"/>
      <c r="D59" s="549"/>
      <c r="E59" s="549"/>
      <c r="F59" s="549"/>
      <c r="G59" s="554"/>
      <c r="H59" s="555"/>
      <c r="I59" s="555"/>
      <c r="J59" s="555"/>
      <c r="K59" s="555"/>
      <c r="L59" s="556"/>
      <c r="M59" s="557"/>
      <c r="N59" s="1154"/>
      <c r="O59" s="1154"/>
      <c r="P59" s="470"/>
      <c r="Q59" s="561"/>
    </row>
    <row r="60" spans="1:17" s="471" customFormat="1" ht="15" thickBot="1">
      <c r="A60" s="553"/>
      <c r="B60" s="543"/>
      <c r="C60" s="560"/>
      <c r="D60" s="560"/>
      <c r="E60" s="560"/>
      <c r="F60" s="560"/>
      <c r="G60" s="560"/>
      <c r="H60" s="562"/>
      <c r="I60" s="562"/>
      <c r="J60" s="562"/>
      <c r="K60" s="562"/>
      <c r="L60" s="562"/>
      <c r="M60" s="563"/>
      <c r="N60" s="1154"/>
      <c r="O60" s="1154"/>
      <c r="P60" s="558"/>
      <c r="Q60" s="559"/>
    </row>
    <row r="61" spans="1:17" ht="16" thickTop="1">
      <c r="A61" s="527" t="s">
        <v>2558</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31"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6"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6"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6" thickTop="1">
      <c r="A69" s="534"/>
      <c r="B69" s="538" t="s">
        <v>2727</v>
      </c>
      <c r="C69" s="554"/>
      <c r="D69" s="554"/>
      <c r="E69" s="554"/>
      <c r="F69" s="554"/>
      <c r="G69" s="554"/>
      <c r="H69" s="583"/>
      <c r="I69" s="583"/>
      <c r="J69" s="583"/>
      <c r="K69" s="584"/>
      <c r="L69" s="585"/>
      <c r="M69" s="586"/>
      <c r="N69" s="1152"/>
      <c r="O69" s="1152"/>
      <c r="P69" s="45"/>
      <c r="Q69" s="504"/>
    </row>
    <row r="70" spans="1:17" ht="1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 thickTop="1">
      <c r="A71" s="579"/>
      <c r="B71" s="538">
        <f>B23</f>
        <v>111</v>
      </c>
      <c r="C71" s="549"/>
      <c r="D71" s="549"/>
      <c r="E71" s="549"/>
      <c r="F71" s="549"/>
      <c r="G71" s="554"/>
      <c r="H71" s="554"/>
      <c r="I71" s="554"/>
      <c r="J71" s="554"/>
      <c r="K71" s="554"/>
      <c r="L71" s="580"/>
      <c r="M71" s="581"/>
      <c r="N71" s="1151"/>
      <c r="O71" s="1151"/>
      <c r="P71" s="45"/>
      <c r="Q71" s="504"/>
    </row>
    <row r="72" spans="1:17" s="117" customFormat="1" ht="15" thickBot="1">
      <c r="A72" s="579"/>
      <c r="B72" s="543"/>
      <c r="C72" s="560"/>
      <c r="D72" s="536"/>
      <c r="E72" s="536"/>
      <c r="F72" s="536"/>
      <c r="G72" s="536"/>
      <c r="H72" s="536"/>
      <c r="I72" s="536"/>
      <c r="J72" s="536"/>
      <c r="K72" s="536"/>
      <c r="L72" s="536"/>
      <c r="M72" s="537"/>
      <c r="N72" s="1153"/>
      <c r="O72" s="1153"/>
      <c r="P72" s="45"/>
      <c r="Q72" s="504"/>
    </row>
    <row r="73" spans="1:17" s="117" customFormat="1" ht="15" thickTop="1">
      <c r="A73" s="579"/>
      <c r="B73" s="538">
        <f>B24</f>
        <v>111</v>
      </c>
      <c r="C73" s="549"/>
      <c r="D73" s="549"/>
      <c r="E73" s="549"/>
      <c r="F73" s="549"/>
      <c r="G73" s="554"/>
      <c r="H73" s="554"/>
      <c r="I73" s="554"/>
      <c r="J73" s="554"/>
      <c r="K73" s="554"/>
      <c r="L73" s="554"/>
      <c r="M73" s="581"/>
      <c r="N73" s="1151"/>
      <c r="O73" s="1151"/>
      <c r="P73" s="45"/>
      <c r="Q73" s="504"/>
    </row>
    <row r="74" spans="1:17" s="117" customFormat="1" ht="15" thickBot="1">
      <c r="A74" s="579"/>
      <c r="B74" s="543"/>
      <c r="C74" s="560"/>
      <c r="D74" s="536"/>
      <c r="E74" s="536"/>
      <c r="F74" s="536"/>
      <c r="G74" s="536"/>
      <c r="H74" s="536"/>
      <c r="I74" s="536"/>
      <c r="J74" s="536"/>
      <c r="K74" s="536"/>
      <c r="L74" s="536"/>
      <c r="M74" s="537"/>
      <c r="N74" s="1153"/>
      <c r="O74" s="1153"/>
      <c r="P74" s="45"/>
      <c r="Q74" s="504"/>
    </row>
    <row r="75" spans="1:17" s="471" customFormat="1" ht="15" thickTop="1">
      <c r="A75" s="553"/>
      <c r="B75" s="538">
        <f>B25</f>
        <v>111</v>
      </c>
      <c r="C75" s="549"/>
      <c r="D75" s="549"/>
      <c r="E75" s="549"/>
      <c r="F75" s="549"/>
      <c r="G75" s="554"/>
      <c r="H75" s="555"/>
      <c r="I75" s="555"/>
      <c r="J75" s="555"/>
      <c r="K75" s="555"/>
      <c r="L75" s="556"/>
      <c r="M75" s="557"/>
      <c r="N75" s="1154"/>
      <c r="O75" s="1154"/>
      <c r="P75" s="558"/>
      <c r="Q75" s="559"/>
    </row>
    <row r="76" spans="1:17" s="471" customFormat="1" ht="15" thickBot="1">
      <c r="A76" s="553"/>
      <c r="B76" s="543"/>
      <c r="C76" s="560"/>
      <c r="D76" s="560"/>
      <c r="E76" s="560"/>
      <c r="F76" s="560"/>
      <c r="G76" s="536"/>
      <c r="H76" s="536"/>
      <c r="I76" s="536"/>
      <c r="J76" s="536"/>
      <c r="K76" s="536"/>
      <c r="L76" s="536"/>
      <c r="M76" s="537"/>
      <c r="N76" s="1154"/>
      <c r="O76" s="1154"/>
      <c r="P76" s="558"/>
      <c r="Q76" s="559"/>
    </row>
    <row r="77" spans="1:17" ht="16" thickTop="1">
      <c r="A77" s="527" t="s">
        <v>2562</v>
      </c>
      <c r="B77" s="528" t="s">
        <v>2614</v>
      </c>
      <c r="C77" s="554"/>
      <c r="D77" s="554"/>
      <c r="E77" s="530"/>
      <c r="F77" s="530"/>
      <c r="G77" s="530"/>
      <c r="H77" s="530"/>
      <c r="I77" s="530"/>
      <c r="J77" s="530"/>
      <c r="K77" s="531"/>
      <c r="L77" s="532"/>
      <c r="M77" s="533"/>
      <c r="N77" s="1152"/>
      <c r="O77" s="1152"/>
      <c r="P77" s="45"/>
      <c r="Q77" s="504"/>
    </row>
    <row r="78" spans="1:17" ht="1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3"/>
      <c r="O78" s="1153"/>
      <c r="P78" s="45"/>
      <c r="Q78" s="504"/>
    </row>
    <row r="79" spans="1:17" ht="16"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3"/>
      <c r="O81" s="1153"/>
      <c r="P81" s="558"/>
      <c r="Q81" s="559"/>
    </row>
    <row r="82" spans="1:17" ht="16" thickTop="1">
      <c r="A82" s="599"/>
      <c r="B82" s="546" t="s">
        <v>2731</v>
      </c>
      <c r="C82" s="554"/>
      <c r="D82" s="554"/>
      <c r="E82" s="583"/>
      <c r="F82" s="583"/>
      <c r="G82" s="583"/>
      <c r="H82" s="583"/>
      <c r="I82" s="583"/>
      <c r="J82" s="583"/>
      <c r="K82" s="584"/>
      <c r="L82" s="585"/>
      <c r="M82" s="586"/>
      <c r="N82" s="1152"/>
      <c r="O82" s="1152"/>
      <c r="P82" s="45"/>
      <c r="Q82" s="504"/>
    </row>
    <row r="83" spans="1:17" ht="1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3"/>
      <c r="O83" s="1153"/>
      <c r="P83" s="45"/>
      <c r="Q83" s="504"/>
    </row>
    <row r="84" spans="1:17" ht="16" thickTop="1">
      <c r="A84" s="599"/>
      <c r="B84" s="538" t="s">
        <v>2739</v>
      </c>
      <c r="C84" s="554"/>
      <c r="D84" s="554"/>
      <c r="E84" s="554"/>
      <c r="F84" s="554"/>
      <c r="G84" s="554"/>
      <c r="H84" s="554"/>
      <c r="I84" s="583"/>
      <c r="J84" s="583"/>
      <c r="K84" s="584"/>
      <c r="L84" s="585"/>
      <c r="M84" s="586"/>
      <c r="N84" s="1152"/>
      <c r="O84" s="1152"/>
      <c r="P84" s="45"/>
      <c r="Q84" s="504"/>
    </row>
    <row r="85" spans="1:17" ht="1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3"/>
      <c r="O85" s="1153"/>
      <c r="P85" s="45"/>
      <c r="Q85" s="504"/>
    </row>
    <row r="86" spans="1:17" ht="16" thickTop="1">
      <c r="A86" s="599"/>
      <c r="B86" s="546" t="s">
        <v>2740</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 thickBot="1">
      <c r="A88" s="534"/>
      <c r="B88" s="543"/>
      <c r="C88" s="560"/>
      <c r="D88" s="536"/>
      <c r="E88" s="536"/>
      <c r="F88" s="536"/>
      <c r="G88" s="536"/>
      <c r="H88" s="536"/>
      <c r="I88" s="536"/>
      <c r="J88" s="536"/>
      <c r="K88" s="536"/>
      <c r="L88" s="536"/>
      <c r="M88" s="536"/>
      <c r="N88" s="1153"/>
      <c r="O88" s="1153"/>
      <c r="P88" s="45"/>
      <c r="Q88" s="504"/>
    </row>
    <row r="89" spans="1:17" s="471" customFormat="1" ht="16" thickTop="1">
      <c r="A89" s="593"/>
      <c r="B89" s="538" t="s">
        <v>2741</v>
      </c>
      <c r="C89" s="554"/>
      <c r="D89" s="554"/>
      <c r="E89" s="554"/>
      <c r="F89" s="554"/>
      <c r="G89" s="554"/>
      <c r="H89" s="554"/>
      <c r="I89" s="554"/>
      <c r="J89" s="554"/>
      <c r="K89" s="554"/>
      <c r="L89" s="554"/>
      <c r="M89" s="581"/>
      <c r="N89" s="1154"/>
      <c r="O89" s="1154"/>
      <c r="P89" s="558"/>
      <c r="Q89" s="559"/>
    </row>
    <row r="90" spans="1:17" s="471" customFormat="1" ht="1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zoomScale="80" zoomScaleNormal="80" workbookViewId="0">
      <selection sqref="A1:XFD1048576"/>
    </sheetView>
  </sheetViews>
  <sheetFormatPr baseColWidth="10" defaultColWidth="9" defaultRowHeight="14"/>
  <cols>
    <col min="1" max="1" width="14.33203125" style="403" customWidth="1"/>
    <col min="2" max="2" width="15.6640625" style="403" customWidth="1"/>
    <col min="3" max="3" width="14.33203125" style="403" customWidth="1"/>
    <col min="4" max="4" width="14.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32" t="s">
        <v>2644</v>
      </c>
      <c r="D4" s="3233"/>
      <c r="E4" s="3234" t="s">
        <v>2645</v>
      </c>
      <c r="F4" s="3235"/>
      <c r="G4" s="3232" t="s">
        <v>2646</v>
      </c>
      <c r="H4" s="3233"/>
      <c r="I4" s="3232" t="s">
        <v>2647</v>
      </c>
      <c r="J4" s="3233"/>
      <c r="K4" s="610" t="s">
        <v>2648</v>
      </c>
      <c r="L4" s="1130"/>
      <c r="M4" s="1131"/>
      <c r="N4" s="1131"/>
      <c r="O4" s="1131"/>
      <c r="P4" s="3236" t="s">
        <v>2649</v>
      </c>
      <c r="Q4" s="3237"/>
      <c r="R4" s="3242" t="s">
        <v>2645</v>
      </c>
      <c r="S4" s="3243"/>
      <c r="T4" s="3242" t="s">
        <v>2646</v>
      </c>
      <c r="U4" s="3243"/>
      <c r="V4" s="3248" t="s">
        <v>2647</v>
      </c>
      <c r="W4" s="3248"/>
      <c r="X4" s="1813"/>
      <c r="Y4" s="3242" t="s">
        <v>2649</v>
      </c>
      <c r="Z4" s="3243"/>
      <c r="AA4" s="3229" t="s">
        <v>2645</v>
      </c>
      <c r="AB4" s="3230" t="s">
        <v>2646</v>
      </c>
      <c r="AC4" s="3229" t="s">
        <v>2647</v>
      </c>
    </row>
    <row r="5" spans="1:30">
      <c r="A5" s="404"/>
      <c r="B5" s="405"/>
      <c r="C5" s="3263" t="s">
        <v>2541</v>
      </c>
      <c r="D5" s="3257"/>
      <c r="E5" s="3264" t="s">
        <v>2542</v>
      </c>
      <c r="F5" s="3262"/>
      <c r="G5" s="3263" t="s">
        <v>2543</v>
      </c>
      <c r="H5" s="3257"/>
      <c r="I5" s="3263" t="s">
        <v>2544</v>
      </c>
      <c r="J5" s="3257"/>
      <c r="K5" s="610"/>
      <c r="L5" s="1130"/>
      <c r="M5" s="1131"/>
      <c r="N5" s="1131"/>
      <c r="O5" s="1131"/>
      <c r="P5" s="3238"/>
      <c r="Q5" s="3239"/>
      <c r="R5" s="3244"/>
      <c r="S5" s="3245"/>
      <c r="T5" s="3244"/>
      <c r="U5" s="3245"/>
      <c r="V5" s="3248"/>
      <c r="W5" s="3248"/>
      <c r="X5" s="1813"/>
      <c r="Y5" s="3244"/>
      <c r="Z5" s="3245"/>
      <c r="AA5" s="3230"/>
      <c r="AB5" s="3230"/>
      <c r="AC5" s="3230"/>
    </row>
    <row r="6" spans="1:30" ht="16" thickBot="1">
      <c r="A6" s="406"/>
      <c r="B6" s="407"/>
      <c r="C6" s="3249" t="s">
        <v>2545</v>
      </c>
      <c r="D6" s="3250"/>
      <c r="E6" s="3259" t="s">
        <v>2545</v>
      </c>
      <c r="F6" s="3260"/>
      <c r="G6" s="3249" t="s">
        <v>2545</v>
      </c>
      <c r="H6" s="3250"/>
      <c r="I6" s="3249" t="s">
        <v>2545</v>
      </c>
      <c r="J6" s="3250"/>
      <c r="K6" s="610" t="s">
        <v>2546</v>
      </c>
      <c r="L6" s="1130"/>
      <c r="M6" s="1131"/>
      <c r="N6" s="1131"/>
      <c r="O6" s="1131"/>
      <c r="P6" s="3240"/>
      <c r="Q6" s="3241"/>
      <c r="R6" s="3244"/>
      <c r="S6" s="3245"/>
      <c r="T6" s="3246"/>
      <c r="U6" s="3247"/>
      <c r="V6" s="3248"/>
      <c r="W6" s="3248"/>
      <c r="X6" s="1813"/>
      <c r="Y6" s="3246"/>
      <c r="Z6" s="3247"/>
      <c r="AA6" s="3231"/>
      <c r="AB6" s="3231"/>
      <c r="AC6" s="3231"/>
    </row>
    <row r="7" spans="1:30" s="117" customFormat="1" ht="16" thickBot="1">
      <c r="A7" s="408" t="s">
        <v>2547</v>
      </c>
      <c r="B7" s="409"/>
      <c r="C7" s="410">
        <f>'数据-取费表'!B2</f>
        <v>43847</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53" t="s">
        <v>2548</v>
      </c>
      <c r="Q7" s="3255"/>
      <c r="R7" s="770" t="s">
        <v>17</v>
      </c>
      <c r="S7" s="771">
        <f t="shared" ref="S7:S15" si="0">F7</f>
        <v>0</v>
      </c>
      <c r="T7" s="770" t="s">
        <v>17</v>
      </c>
      <c r="U7" s="771">
        <f t="shared" ref="U7:U15" si="1">H7</f>
        <v>0</v>
      </c>
      <c r="V7" s="770" t="s">
        <v>17</v>
      </c>
      <c r="W7" s="771">
        <f t="shared" ref="W7:W15" si="2">J7</f>
        <v>0</v>
      </c>
      <c r="X7" s="772"/>
      <c r="Y7" s="3253" t="s">
        <v>2548</v>
      </c>
      <c r="Z7" s="3254"/>
      <c r="AA7" s="773" t="e">
        <f>D7/F7</f>
        <v>#DIV/0!</v>
      </c>
      <c r="AB7" s="773" t="e">
        <f>D7/H7</f>
        <v>#DIV/0!</v>
      </c>
      <c r="AC7" s="773" t="e">
        <f>D7/J7</f>
        <v>#DIV/0!</v>
      </c>
    </row>
    <row r="8" spans="1:30" s="117" customFormat="1" ht="16"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53" t="s">
        <v>2551</v>
      </c>
      <c r="Q8" s="3254"/>
      <c r="R8" s="770" t="s">
        <v>17</v>
      </c>
      <c r="S8" s="771">
        <f t="shared" si="0"/>
        <v>0</v>
      </c>
      <c r="T8" s="770" t="s">
        <v>17</v>
      </c>
      <c r="U8" s="771">
        <f t="shared" si="1"/>
        <v>0</v>
      </c>
      <c r="V8" s="770" t="s">
        <v>17</v>
      </c>
      <c r="W8" s="771">
        <f t="shared" si="2"/>
        <v>0</v>
      </c>
      <c r="X8" s="772"/>
      <c r="Y8" s="3253" t="s">
        <v>2551</v>
      </c>
      <c r="Z8" s="3254"/>
      <c r="AA8" s="773" t="e">
        <f t="shared" ref="AA8:AA45" si="3">D8/F8</f>
        <v>#DIV/0!</v>
      </c>
      <c r="AB8" s="773" t="e">
        <f t="shared" ref="AB8:AB45" si="4">D8/H8</f>
        <v>#DIV/0!</v>
      </c>
      <c r="AC8" s="773" t="e">
        <f t="shared" ref="AC8:AC45" si="5">D8/J8</f>
        <v>#DIV/0!</v>
      </c>
    </row>
    <row r="9" spans="1:30" s="117" customFormat="1" ht="15">
      <c r="A9" s="415" t="s">
        <v>2552</v>
      </c>
      <c r="B9" s="71" t="s">
        <v>2553</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17" t="s">
        <v>2554</v>
      </c>
      <c r="Q9" s="1795" t="str">
        <f t="shared" ref="Q9:Q15" si="6">B9</f>
        <v>用途</v>
      </c>
      <c r="R9" s="770" t="s">
        <v>17</v>
      </c>
      <c r="S9" s="771">
        <f t="shared" si="0"/>
        <v>100</v>
      </c>
      <c r="T9" s="770" t="s">
        <v>17</v>
      </c>
      <c r="U9" s="771">
        <f t="shared" si="1"/>
        <v>100</v>
      </c>
      <c r="V9" s="770" t="s">
        <v>17</v>
      </c>
      <c r="W9" s="771">
        <f t="shared" si="2"/>
        <v>100</v>
      </c>
      <c r="X9" s="772"/>
      <c r="Y9" s="3037" t="s">
        <v>2555</v>
      </c>
      <c r="Z9" s="55" t="str">
        <f t="shared" ref="Z9:Z15" si="7">Q9</f>
        <v>用途</v>
      </c>
      <c r="AA9" s="773">
        <f t="shared" si="3"/>
        <v>1</v>
      </c>
      <c r="AB9" s="773">
        <f t="shared" si="4"/>
        <v>1</v>
      </c>
      <c r="AC9" s="773">
        <f t="shared" si="5"/>
        <v>1</v>
      </c>
    </row>
    <row r="10" spans="1:30" s="427" customFormat="1" ht="30">
      <c r="A10" s="421"/>
      <c r="B10" s="422" t="s">
        <v>2556</v>
      </c>
      <c r="C10" s="432"/>
      <c r="D10" s="136">
        <v>100</v>
      </c>
      <c r="E10" s="465"/>
      <c r="F10" s="136" t="e">
        <f>ROUND(100/'数据-取费表'!G16,0)</f>
        <v>#DIV/0!</v>
      </c>
      <c r="G10" s="463"/>
      <c r="H10" s="136" t="e">
        <f>ROUND(100/'数据-取费表'!G16,0)</f>
        <v>#DIV/0!</v>
      </c>
      <c r="I10" s="463"/>
      <c r="J10" s="136" t="e">
        <f>ROUND(100/'数据-取费表'!G16,0)</f>
        <v>#DIV/0!</v>
      </c>
      <c r="K10" s="672"/>
      <c r="L10" s="1135"/>
      <c r="M10" s="1136"/>
      <c r="N10" s="1136"/>
      <c r="O10" s="1137"/>
      <c r="P10" s="3217"/>
      <c r="Q10" s="1795" t="str">
        <f t="shared" si="6"/>
        <v>土地使用年限（年）</v>
      </c>
      <c r="R10" s="770" t="s">
        <v>17</v>
      </c>
      <c r="S10" s="771" t="e">
        <f t="shared" si="0"/>
        <v>#DIV/0!</v>
      </c>
      <c r="T10" s="770" t="s">
        <v>17</v>
      </c>
      <c r="U10" s="771" t="e">
        <f t="shared" si="1"/>
        <v>#DIV/0!</v>
      </c>
      <c r="V10" s="770" t="s">
        <v>17</v>
      </c>
      <c r="W10" s="771" t="e">
        <f t="shared" si="2"/>
        <v>#DIV/0!</v>
      </c>
      <c r="X10" s="772"/>
      <c r="Y10" s="3037"/>
      <c r="Z10" s="55" t="str">
        <f t="shared" si="7"/>
        <v>土地使用年限（年）</v>
      </c>
      <c r="AA10" s="773" t="e">
        <f t="shared" si="3"/>
        <v>#DIV/0!</v>
      </c>
      <c r="AB10" s="773" t="e">
        <f t="shared" si="4"/>
        <v>#DIV/0!</v>
      </c>
      <c r="AC10" s="773" t="e">
        <f t="shared" si="5"/>
        <v>#DIV/0!</v>
      </c>
    </row>
    <row r="11" spans="1:30" ht="16">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7"/>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30" s="117" customFormat="1" ht="16">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7"/>
      <c r="Q12" s="1795"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6">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7"/>
      <c r="Q13" s="1795">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7"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7"/>
      <c r="Q14" s="1795">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210">
      <c r="A15" s="440" t="s">
        <v>2558</v>
      </c>
      <c r="B15" s="69" t="s">
        <v>2084</v>
      </c>
      <c r="C15" s="2601" t="str">
        <f>估价对象房地状况!C15</f>
        <v>估价对象周边居住用地比例较高、居住小区规模较大但大部分社区正在发展完善中，周边已建成项目有南海家园社区、金茂悦、海梓府等，在建项目有金隅学府、和悦华锦、中铁国际公馆等，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9" t="s">
        <v>2559</v>
      </c>
      <c r="Q15" s="1810" t="str">
        <f t="shared" si="6"/>
        <v>居住社区成熟度</v>
      </c>
      <c r="R15" s="774" t="s">
        <v>17</v>
      </c>
      <c r="S15" s="775">
        <f t="shared" si="0"/>
        <v>100</v>
      </c>
      <c r="T15" s="774" t="s">
        <v>17</v>
      </c>
      <c r="U15" s="775">
        <f t="shared" si="1"/>
        <v>100</v>
      </c>
      <c r="V15" s="774" t="s">
        <v>17</v>
      </c>
      <c r="W15" s="775">
        <f t="shared" si="2"/>
        <v>100</v>
      </c>
      <c r="X15" s="1813"/>
      <c r="Y15" s="3219" t="s">
        <v>2559</v>
      </c>
      <c r="Z15" s="1814" t="str">
        <f t="shared" si="7"/>
        <v>居住社区成熟度</v>
      </c>
      <c r="AA15" s="1811">
        <f t="shared" si="3"/>
        <v>1</v>
      </c>
      <c r="AB15" s="1811">
        <f t="shared" si="4"/>
        <v>1</v>
      </c>
      <c r="AC15" s="1811">
        <f t="shared" si="5"/>
        <v>1</v>
      </c>
    </row>
    <row r="16" spans="1:30" ht="16">
      <c r="A16" s="428"/>
      <c r="B16" s="446"/>
      <c r="C16" s="447"/>
      <c r="D16" s="448"/>
      <c r="E16" s="2603"/>
      <c r="F16" s="448"/>
      <c r="G16" s="2603"/>
      <c r="H16" s="450"/>
      <c r="I16" s="2602"/>
      <c r="J16" s="448"/>
      <c r="K16" s="672"/>
      <c r="L16" s="1140"/>
      <c r="M16" s="1131"/>
      <c r="N16" s="1131"/>
      <c r="O16" s="1139"/>
      <c r="P16" s="3220"/>
      <c r="Q16" s="1810"/>
      <c r="R16" s="774"/>
      <c r="S16" s="775"/>
      <c r="T16" s="774"/>
      <c r="U16" s="775"/>
      <c r="V16" s="774"/>
      <c r="W16" s="775"/>
      <c r="X16" s="1813"/>
      <c r="Y16" s="3220"/>
      <c r="Z16" s="1814"/>
      <c r="AA16" s="1811">
        <v>1</v>
      </c>
      <c r="AB16" s="1811">
        <v>1</v>
      </c>
      <c r="AC16" s="1811">
        <v>1</v>
      </c>
    </row>
    <row r="17" spans="1:29" ht="75">
      <c r="A17" s="428"/>
      <c r="B17" s="451" t="s">
        <v>2651</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0"/>
      <c r="Q17" s="1810" t="str">
        <f>B17</f>
        <v>商业繁华度</v>
      </c>
      <c r="R17" s="774" t="s">
        <v>17</v>
      </c>
      <c r="S17" s="775">
        <f>F17</f>
        <v>100</v>
      </c>
      <c r="T17" s="774" t="s">
        <v>17</v>
      </c>
      <c r="U17" s="775">
        <f>H17</f>
        <v>100</v>
      </c>
      <c r="V17" s="774" t="s">
        <v>17</v>
      </c>
      <c r="W17" s="775">
        <f>J17</f>
        <v>100</v>
      </c>
      <c r="X17" s="1813"/>
      <c r="Y17" s="3220"/>
      <c r="Z17" s="1814" t="str">
        <f>Q17</f>
        <v>商业繁华度</v>
      </c>
      <c r="AA17" s="1811">
        <f t="shared" si="3"/>
        <v>1</v>
      </c>
      <c r="AB17" s="1811">
        <f t="shared" si="4"/>
        <v>1</v>
      </c>
      <c r="AC17" s="1811">
        <f t="shared" si="5"/>
        <v>1</v>
      </c>
    </row>
    <row r="18" spans="1:29" ht="16">
      <c r="A18" s="428"/>
      <c r="B18" s="456"/>
      <c r="C18" s="2606"/>
      <c r="D18" s="450"/>
      <c r="E18" s="2608"/>
      <c r="F18" s="450"/>
      <c r="G18" s="2608"/>
      <c r="H18" s="448"/>
      <c r="I18" s="2607"/>
      <c r="J18" s="448"/>
      <c r="K18" s="672"/>
      <c r="L18" s="1140"/>
      <c r="M18" s="1131"/>
      <c r="N18" s="1131"/>
      <c r="O18" s="1139"/>
      <c r="P18" s="3220"/>
      <c r="Q18" s="1810"/>
      <c r="R18" s="774"/>
      <c r="S18" s="775"/>
      <c r="T18" s="774"/>
      <c r="U18" s="775"/>
      <c r="V18" s="774"/>
      <c r="W18" s="775"/>
      <c r="X18" s="1813"/>
      <c r="Y18" s="3220"/>
      <c r="Z18" s="1814"/>
      <c r="AA18" s="1811">
        <v>1</v>
      </c>
      <c r="AB18" s="1811">
        <v>1</v>
      </c>
      <c r="AC18" s="1811">
        <v>1</v>
      </c>
    </row>
    <row r="19" spans="1:29" ht="75">
      <c r="A19" s="428"/>
      <c r="B19" s="451" t="s">
        <v>2685</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0"/>
      <c r="Q19" s="1810" t="str">
        <f>B19</f>
        <v>办公集聚程度</v>
      </c>
      <c r="R19" s="774" t="s">
        <v>17</v>
      </c>
      <c r="S19" s="775">
        <f>F19</f>
        <v>100</v>
      </c>
      <c r="T19" s="774" t="s">
        <v>17</v>
      </c>
      <c r="U19" s="775">
        <f>H19</f>
        <v>100</v>
      </c>
      <c r="V19" s="774" t="s">
        <v>17</v>
      </c>
      <c r="W19" s="775">
        <f>J19</f>
        <v>100</v>
      </c>
      <c r="X19" s="1813"/>
      <c r="Y19" s="3220"/>
      <c r="Z19" s="1814" t="str">
        <f>Q19</f>
        <v>办公集聚程度</v>
      </c>
      <c r="AA19" s="1811">
        <f t="shared" si="3"/>
        <v>1</v>
      </c>
      <c r="AB19" s="1811">
        <f t="shared" si="4"/>
        <v>1</v>
      </c>
      <c r="AC19" s="1811">
        <f t="shared" si="5"/>
        <v>1</v>
      </c>
    </row>
    <row r="20" spans="1:29" ht="16">
      <c r="A20" s="428"/>
      <c r="B20" s="456"/>
      <c r="C20" s="447"/>
      <c r="D20" s="448"/>
      <c r="E20" s="2603"/>
      <c r="F20" s="448"/>
      <c r="G20" s="2603"/>
      <c r="H20" s="448"/>
      <c r="I20" s="2602"/>
      <c r="J20" s="448"/>
      <c r="K20" s="672"/>
      <c r="L20" s="1140"/>
      <c r="M20" s="1131"/>
      <c r="N20" s="1131"/>
      <c r="O20" s="1139"/>
      <c r="P20" s="3220"/>
      <c r="Q20" s="1810"/>
      <c r="R20" s="774"/>
      <c r="S20" s="775"/>
      <c r="T20" s="774"/>
      <c r="U20" s="775"/>
      <c r="V20" s="774"/>
      <c r="W20" s="775"/>
      <c r="X20" s="1813"/>
      <c r="Y20" s="3220"/>
      <c r="Z20" s="1814"/>
      <c r="AA20" s="1811">
        <v>1</v>
      </c>
      <c r="AB20" s="1811">
        <v>1</v>
      </c>
      <c r="AC20" s="1811">
        <v>1</v>
      </c>
    </row>
    <row r="21" spans="1:29" ht="135">
      <c r="A21" s="428"/>
      <c r="B21" s="451" t="s">
        <v>2707</v>
      </c>
      <c r="C21" s="2605" t="str">
        <f>估价对象房地状况!C18</f>
        <v>估价对象周边有开发区3路、快速直达专线181路、578路多条公交线路，距地铁8号线（瀛海站）约4公里，综合评价交通便捷度一般。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0"/>
      <c r="Q21" s="1810" t="str">
        <f>B21</f>
        <v>交通便捷度</v>
      </c>
      <c r="R21" s="774" t="s">
        <v>17</v>
      </c>
      <c r="S21" s="775">
        <f>F21</f>
        <v>100</v>
      </c>
      <c r="T21" s="774" t="s">
        <v>17</v>
      </c>
      <c r="U21" s="775">
        <f>H21</f>
        <v>100</v>
      </c>
      <c r="V21" s="774" t="s">
        <v>17</v>
      </c>
      <c r="W21" s="775">
        <f>J21</f>
        <v>100</v>
      </c>
      <c r="X21" s="1813"/>
      <c r="Y21" s="3220"/>
      <c r="Z21" s="1814" t="str">
        <f>Q21</f>
        <v>交通便捷度</v>
      </c>
      <c r="AA21" s="1811">
        <f t="shared" si="3"/>
        <v>1</v>
      </c>
      <c r="AB21" s="1811">
        <f t="shared" si="4"/>
        <v>1</v>
      </c>
      <c r="AC21" s="1811">
        <f t="shared" si="5"/>
        <v>1</v>
      </c>
    </row>
    <row r="22" spans="1:29" ht="16">
      <c r="A22" s="428"/>
      <c r="B22" s="1384"/>
      <c r="C22" s="447"/>
      <c r="D22" s="450"/>
      <c r="E22" s="2603"/>
      <c r="F22" s="448"/>
      <c r="G22" s="2603"/>
      <c r="H22" s="448"/>
      <c r="I22" s="2602"/>
      <c r="J22" s="448"/>
      <c r="K22" s="672"/>
      <c r="L22" s="1140"/>
      <c r="M22" s="1131"/>
      <c r="N22" s="1131"/>
      <c r="O22" s="1139"/>
      <c r="P22" s="3220"/>
      <c r="Q22" s="1810"/>
      <c r="R22" s="774"/>
      <c r="S22" s="775"/>
      <c r="T22" s="774"/>
      <c r="U22" s="775"/>
      <c r="V22" s="774"/>
      <c r="W22" s="775"/>
      <c r="X22" s="1813"/>
      <c r="Y22" s="3220"/>
      <c r="Z22" s="1814"/>
      <c r="AA22" s="1811">
        <v>1</v>
      </c>
      <c r="AB22" s="1811">
        <v>1</v>
      </c>
      <c r="AC22" s="1811">
        <v>1</v>
      </c>
    </row>
    <row r="23" spans="1:29" ht="16">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0"/>
      <c r="Q23" s="1810" t="str">
        <f t="shared" ref="Q23:Q37" si="8">B23</f>
        <v>区域土地利用方向</v>
      </c>
      <c r="R23" s="774" t="s">
        <v>17</v>
      </c>
      <c r="S23" s="775">
        <f>F23</f>
        <v>100</v>
      </c>
      <c r="T23" s="774" t="s">
        <v>17</v>
      </c>
      <c r="U23" s="775">
        <f>H23</f>
        <v>100</v>
      </c>
      <c r="V23" s="774" t="s">
        <v>17</v>
      </c>
      <c r="W23" s="775">
        <f>J23</f>
        <v>100</v>
      </c>
      <c r="X23" s="1813"/>
      <c r="Y23" s="3220"/>
      <c r="Z23" s="1814" t="str">
        <f>Q23</f>
        <v>区域土地利用方向</v>
      </c>
      <c r="AA23" s="1811">
        <f t="shared" si="3"/>
        <v>1</v>
      </c>
      <c r="AB23" s="1811">
        <f t="shared" si="4"/>
        <v>1</v>
      </c>
      <c r="AC23" s="1811">
        <f t="shared" si="5"/>
        <v>1</v>
      </c>
    </row>
    <row r="24" spans="1:29" ht="16">
      <c r="A24" s="404"/>
      <c r="B24" s="456"/>
      <c r="C24" s="616"/>
      <c r="D24" s="448"/>
      <c r="E24" s="2603"/>
      <c r="F24" s="448"/>
      <c r="G24" s="2602"/>
      <c r="H24" s="448"/>
      <c r="I24" s="2602"/>
      <c r="J24" s="448"/>
      <c r="K24" s="812"/>
      <c r="L24" s="1140"/>
      <c r="M24" s="1131"/>
      <c r="N24" s="1131"/>
      <c r="O24" s="1139"/>
      <c r="P24" s="3220"/>
      <c r="Q24" s="1810"/>
      <c r="R24" s="774"/>
      <c r="S24" s="775"/>
      <c r="T24" s="774"/>
      <c r="U24" s="775"/>
      <c r="V24" s="774"/>
      <c r="W24" s="775"/>
      <c r="X24" s="1813"/>
      <c r="Y24" s="3220"/>
      <c r="Z24" s="1814"/>
      <c r="AA24" s="1811"/>
      <c r="AB24" s="1811"/>
      <c r="AC24" s="1811"/>
    </row>
    <row r="25" spans="1:29" ht="120">
      <c r="A25" s="404"/>
      <c r="B25" s="1384" t="s">
        <v>2747</v>
      </c>
      <c r="C25" s="2662" t="str">
        <f>估价对象房地状况!C20</f>
        <v>区域自然环境：体育公园、南海子公园、凉水河；人文环境：北京电子科技职业学院(亦庄校区)；综合评价环境状况一般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0"/>
      <c r="Q25" s="1810" t="str">
        <f t="shared" si="8"/>
        <v>自然及人文环境状况</v>
      </c>
      <c r="R25" s="774" t="s">
        <v>17</v>
      </c>
      <c r="S25" s="775">
        <f>F25</f>
        <v>100</v>
      </c>
      <c r="T25" s="774" t="s">
        <v>17</v>
      </c>
      <c r="U25" s="775">
        <f>H25</f>
        <v>100</v>
      </c>
      <c r="V25" s="774" t="s">
        <v>17</v>
      </c>
      <c r="W25" s="775">
        <f>J25</f>
        <v>100</v>
      </c>
      <c r="X25" s="1813"/>
      <c r="Y25" s="3220"/>
      <c r="Z25" s="1814" t="str">
        <f>Q25</f>
        <v>自然及人文环境状况</v>
      </c>
      <c r="AA25" s="1811">
        <f t="shared" si="3"/>
        <v>1</v>
      </c>
      <c r="AB25" s="1811">
        <f t="shared" si="4"/>
        <v>1</v>
      </c>
      <c r="AC25" s="1811">
        <f t="shared" si="5"/>
        <v>1</v>
      </c>
    </row>
    <row r="26" spans="1:29" ht="16">
      <c r="A26" s="404"/>
      <c r="B26" s="456"/>
      <c r="C26" s="447"/>
      <c r="D26" s="448"/>
      <c r="E26" s="2609"/>
      <c r="F26" s="448"/>
      <c r="G26" s="2609"/>
      <c r="H26" s="448"/>
      <c r="I26" s="447"/>
      <c r="J26" s="448"/>
      <c r="K26" s="672"/>
      <c r="L26" s="1140"/>
      <c r="M26" s="1131"/>
      <c r="N26" s="1131"/>
      <c r="O26" s="1139"/>
      <c r="P26" s="3220"/>
      <c r="Q26" s="1810"/>
      <c r="R26" s="774"/>
      <c r="S26" s="775"/>
      <c r="T26" s="774"/>
      <c r="U26" s="775"/>
      <c r="V26" s="774"/>
      <c r="W26" s="775"/>
      <c r="X26" s="1813"/>
      <c r="Y26" s="3220"/>
      <c r="Z26" s="1814"/>
      <c r="AA26" s="1811">
        <v>1</v>
      </c>
      <c r="AB26" s="1811">
        <v>1</v>
      </c>
      <c r="AC26" s="1811">
        <v>1</v>
      </c>
    </row>
    <row r="27" spans="1:29" s="117" customFormat="1" ht="45">
      <c r="A27" s="649"/>
      <c r="B27" s="1384" t="s">
        <v>2652</v>
      </c>
      <c r="C27" s="2605"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0"/>
      <c r="Q27" s="1795" t="str">
        <f t="shared" si="8"/>
        <v>公共配套设施</v>
      </c>
      <c r="R27" s="770" t="s">
        <v>17</v>
      </c>
      <c r="S27" s="771">
        <f>F27</f>
        <v>100</v>
      </c>
      <c r="T27" s="770" t="s">
        <v>17</v>
      </c>
      <c r="U27" s="771">
        <f>H27</f>
        <v>100</v>
      </c>
      <c r="V27" s="770" t="s">
        <v>17</v>
      </c>
      <c r="W27" s="771">
        <f>J27</f>
        <v>100</v>
      </c>
      <c r="X27" s="772"/>
      <c r="Y27" s="3220"/>
      <c r="Z27" s="55" t="str">
        <f>Q27</f>
        <v>公共配套设施</v>
      </c>
      <c r="AA27" s="1811">
        <f>D27/F27</f>
        <v>1</v>
      </c>
      <c r="AB27" s="1811">
        <f>D27/H27</f>
        <v>1</v>
      </c>
      <c r="AC27" s="1811">
        <f>D27/J27</f>
        <v>1</v>
      </c>
    </row>
    <row r="28" spans="1:29" s="117" customFormat="1" ht="16">
      <c r="A28" s="649"/>
      <c r="B28" s="456"/>
      <c r="C28" s="2698"/>
      <c r="D28" s="448"/>
      <c r="E28" s="2609"/>
      <c r="F28" s="448"/>
      <c r="G28" s="2609"/>
      <c r="H28" s="448"/>
      <c r="I28" s="447"/>
      <c r="J28" s="448"/>
      <c r="K28" s="672"/>
      <c r="L28" s="1132"/>
      <c r="M28" s="1133"/>
      <c r="N28" s="1133"/>
      <c r="O28" s="1134"/>
      <c r="P28" s="3220"/>
      <c r="Q28" s="1795"/>
      <c r="R28" s="770"/>
      <c r="S28" s="771"/>
      <c r="T28" s="770"/>
      <c r="U28" s="771"/>
      <c r="V28" s="770"/>
      <c r="W28" s="771"/>
      <c r="X28" s="772"/>
      <c r="Y28" s="3220"/>
      <c r="Z28" s="55"/>
      <c r="AA28" s="1811">
        <v>1</v>
      </c>
      <c r="AB28" s="1811">
        <v>1</v>
      </c>
      <c r="AC28" s="1811">
        <v>1</v>
      </c>
    </row>
    <row r="29" spans="1:29" s="117" customFormat="1" ht="16">
      <c r="A29" s="649"/>
      <c r="B29" s="1384" t="s">
        <v>2653</v>
      </c>
      <c r="C29" s="2605"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0"/>
      <c r="Q29" s="1795" t="str">
        <f>B29</f>
        <v>基础设施水平</v>
      </c>
      <c r="R29" s="770" t="s">
        <v>17</v>
      </c>
      <c r="S29" s="771">
        <f>F29</f>
        <v>100</v>
      </c>
      <c r="T29" s="770" t="s">
        <v>17</v>
      </c>
      <c r="U29" s="771">
        <f>H29</f>
        <v>100</v>
      </c>
      <c r="V29" s="770" t="s">
        <v>17</v>
      </c>
      <c r="W29" s="771">
        <f>J29</f>
        <v>100</v>
      </c>
      <c r="X29" s="772"/>
      <c r="Y29" s="3220"/>
      <c r="Z29" s="55" t="str">
        <f>Q29</f>
        <v>基础设施水平</v>
      </c>
      <c r="AA29" s="1811">
        <f>D29/F29</f>
        <v>1</v>
      </c>
      <c r="AB29" s="1811">
        <f>D29/H29</f>
        <v>1</v>
      </c>
      <c r="AC29" s="1811">
        <f>D29/J29</f>
        <v>1</v>
      </c>
    </row>
    <row r="30" spans="1:29" s="117" customFormat="1" ht="16">
      <c r="A30" s="649"/>
      <c r="B30" s="456"/>
      <c r="C30" s="2698"/>
      <c r="D30" s="448"/>
      <c r="E30" s="2699"/>
      <c r="F30" s="448"/>
      <c r="G30" s="2699"/>
      <c r="H30" s="448"/>
      <c r="I30" s="2699"/>
      <c r="J30" s="448"/>
      <c r="K30" s="672"/>
      <c r="L30" s="1132"/>
      <c r="M30" s="1133"/>
      <c r="N30" s="1133"/>
      <c r="O30" s="1134"/>
      <c r="P30" s="3220"/>
      <c r="Q30" s="1795"/>
      <c r="R30" s="770"/>
      <c r="S30" s="771"/>
      <c r="T30" s="770"/>
      <c r="U30" s="771"/>
      <c r="V30" s="770"/>
      <c r="W30" s="771"/>
      <c r="X30" s="772"/>
      <c r="Y30" s="3220"/>
      <c r="Z30" s="55"/>
      <c r="AA30" s="1811">
        <v>1</v>
      </c>
      <c r="AB30" s="1811">
        <v>1</v>
      </c>
      <c r="AC30" s="1811">
        <v>1</v>
      </c>
    </row>
    <row r="31" spans="1:29" ht="16">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0"/>
      <c r="Q31" s="1810" t="str">
        <f t="shared" si="8"/>
        <v>临街状况</v>
      </c>
      <c r="R31" s="774" t="s">
        <v>17</v>
      </c>
      <c r="S31" s="775">
        <f t="shared" ref="S31:S45" si="9">F31</f>
        <v>100</v>
      </c>
      <c r="T31" s="774" t="s">
        <v>17</v>
      </c>
      <c r="U31" s="775">
        <f t="shared" ref="U31:U45" si="10">H31</f>
        <v>100</v>
      </c>
      <c r="V31" s="774" t="s">
        <v>17</v>
      </c>
      <c r="W31" s="775">
        <f t="shared" ref="W31:W45" si="11">J31</f>
        <v>100</v>
      </c>
      <c r="X31" s="1813"/>
      <c r="Y31" s="3220"/>
      <c r="Z31" s="1814" t="str">
        <f t="shared" ref="Z31:Z45" si="12">Q31</f>
        <v>临街状况</v>
      </c>
      <c r="AA31" s="1811">
        <f t="shared" si="3"/>
        <v>1</v>
      </c>
      <c r="AB31" s="1811">
        <f t="shared" si="4"/>
        <v>1</v>
      </c>
      <c r="AC31" s="1811">
        <f t="shared" si="5"/>
        <v>1</v>
      </c>
    </row>
    <row r="32" spans="1:29" ht="30">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0"/>
      <c r="Q32" s="1810" t="str">
        <f t="shared" si="8"/>
        <v>毗邻道路的类型与等级</v>
      </c>
      <c r="R32" s="774" t="s">
        <v>17</v>
      </c>
      <c r="S32" s="775">
        <f t="shared" si="9"/>
        <v>100</v>
      </c>
      <c r="T32" s="774" t="s">
        <v>17</v>
      </c>
      <c r="U32" s="775">
        <f t="shared" si="10"/>
        <v>100</v>
      </c>
      <c r="V32" s="774" t="s">
        <v>17</v>
      </c>
      <c r="W32" s="775">
        <f t="shared" si="11"/>
        <v>100</v>
      </c>
      <c r="X32" s="1813"/>
      <c r="Y32" s="3220"/>
      <c r="Z32" s="1814" t="str">
        <f t="shared" si="12"/>
        <v>毗邻道路的类型与等级</v>
      </c>
      <c r="AA32" s="1811">
        <f t="shared" si="3"/>
        <v>1</v>
      </c>
      <c r="AB32" s="1811">
        <f t="shared" si="4"/>
        <v>1</v>
      </c>
      <c r="AC32" s="1811">
        <f t="shared" si="5"/>
        <v>1</v>
      </c>
    </row>
    <row r="33" spans="1:29" ht="16">
      <c r="A33" s="428"/>
      <c r="B33" s="456"/>
      <c r="C33" s="447"/>
      <c r="D33" s="448"/>
      <c r="E33" s="2609"/>
      <c r="F33" s="448"/>
      <c r="G33" s="2609"/>
      <c r="H33" s="448"/>
      <c r="I33" s="447"/>
      <c r="J33" s="448"/>
      <c r="K33" s="613"/>
      <c r="L33" s="1140"/>
      <c r="M33" s="1131"/>
      <c r="N33" s="1131"/>
      <c r="O33" s="1139"/>
      <c r="P33" s="3220"/>
      <c r="Q33" s="1810"/>
      <c r="R33" s="774"/>
      <c r="S33" s="775"/>
      <c r="T33" s="774"/>
      <c r="U33" s="775"/>
      <c r="V33" s="774"/>
      <c r="W33" s="775"/>
      <c r="X33" s="1813"/>
      <c r="Y33" s="3220"/>
      <c r="Z33" s="1814"/>
      <c r="AA33" s="1811">
        <v>1</v>
      </c>
      <c r="AB33" s="1811">
        <v>1</v>
      </c>
      <c r="AC33" s="1811">
        <v>1</v>
      </c>
    </row>
    <row r="34" spans="1:29" ht="16">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0"/>
      <c r="Q34" s="1810" t="str">
        <f t="shared" si="8"/>
        <v>土地级别</v>
      </c>
      <c r="R34" s="774" t="s">
        <v>17</v>
      </c>
      <c r="S34" s="775">
        <f t="shared" si="9"/>
        <v>100</v>
      </c>
      <c r="T34" s="774" t="s">
        <v>17</v>
      </c>
      <c r="U34" s="775">
        <f t="shared" si="10"/>
        <v>100</v>
      </c>
      <c r="V34" s="774" t="s">
        <v>17</v>
      </c>
      <c r="W34" s="775">
        <f t="shared" si="11"/>
        <v>100</v>
      </c>
      <c r="X34" s="1813"/>
      <c r="Y34" s="3220"/>
      <c r="Z34" s="1814" t="str">
        <f t="shared" si="12"/>
        <v>土地级别</v>
      </c>
      <c r="AA34" s="1811">
        <f t="shared" si="3"/>
        <v>1</v>
      </c>
      <c r="AB34" s="1811">
        <f t="shared" si="4"/>
        <v>1</v>
      </c>
      <c r="AC34" s="1811">
        <f t="shared" si="5"/>
        <v>1</v>
      </c>
    </row>
    <row r="35" spans="1:29" ht="16">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0"/>
      <c r="Q35" s="1810">
        <f t="shared" si="8"/>
        <v>111</v>
      </c>
      <c r="R35" s="774" t="s">
        <v>17</v>
      </c>
      <c r="S35" s="775">
        <f t="shared" si="9"/>
        <v>100</v>
      </c>
      <c r="T35" s="774" t="s">
        <v>17</v>
      </c>
      <c r="U35" s="775">
        <f t="shared" si="10"/>
        <v>100</v>
      </c>
      <c r="V35" s="774" t="s">
        <v>17</v>
      </c>
      <c r="W35" s="775">
        <f t="shared" si="11"/>
        <v>100</v>
      </c>
      <c r="X35" s="1813"/>
      <c r="Y35" s="3220"/>
      <c r="Z35" s="1814">
        <f t="shared" si="12"/>
        <v>111</v>
      </c>
      <c r="AA35" s="1811">
        <f t="shared" si="3"/>
        <v>1</v>
      </c>
      <c r="AB35" s="1811">
        <f t="shared" si="4"/>
        <v>1</v>
      </c>
      <c r="AC35" s="1811">
        <f t="shared" si="5"/>
        <v>1</v>
      </c>
    </row>
    <row r="36" spans="1:29" ht="16">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0" t="s">
        <v>2564</v>
      </c>
      <c r="Q36" s="1810">
        <f t="shared" si="8"/>
        <v>111</v>
      </c>
      <c r="R36" s="774" t="s">
        <v>17</v>
      </c>
      <c r="S36" s="775">
        <f t="shared" si="9"/>
        <v>100</v>
      </c>
      <c r="T36" s="774" t="s">
        <v>17</v>
      </c>
      <c r="U36" s="775">
        <f t="shared" si="10"/>
        <v>100</v>
      </c>
      <c r="V36" s="774" t="s">
        <v>17</v>
      </c>
      <c r="W36" s="775">
        <f t="shared" si="11"/>
        <v>100</v>
      </c>
      <c r="X36" s="1813"/>
      <c r="Y36" s="3224" t="s">
        <v>2564</v>
      </c>
      <c r="Z36" s="1814">
        <f t="shared" si="12"/>
        <v>111</v>
      </c>
      <c r="AA36" s="1811">
        <f t="shared" si="3"/>
        <v>1</v>
      </c>
      <c r="AB36" s="1811">
        <f t="shared" si="4"/>
        <v>1</v>
      </c>
      <c r="AC36" s="1811">
        <f t="shared" si="5"/>
        <v>1</v>
      </c>
    </row>
    <row r="37" spans="1:29" s="471" customFormat="1" ht="17"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4"/>
      <c r="Q37" s="1810">
        <f t="shared" si="8"/>
        <v>111</v>
      </c>
      <c r="R37" s="777" t="s">
        <v>17</v>
      </c>
      <c r="S37" s="778">
        <f t="shared" si="9"/>
        <v>100</v>
      </c>
      <c r="T37" s="777" t="s">
        <v>17</v>
      </c>
      <c r="U37" s="778">
        <f t="shared" si="10"/>
        <v>100</v>
      </c>
      <c r="V37" s="777" t="s">
        <v>17</v>
      </c>
      <c r="W37" s="778">
        <f t="shared" si="11"/>
        <v>100</v>
      </c>
      <c r="X37" s="779"/>
      <c r="Y37" s="3224"/>
      <c r="Z37" s="780">
        <f t="shared" si="12"/>
        <v>111</v>
      </c>
      <c r="AA37" s="1811">
        <f t="shared" si="3"/>
        <v>1</v>
      </c>
      <c r="AB37" s="1811">
        <f t="shared" si="4"/>
        <v>1</v>
      </c>
      <c r="AC37" s="1811">
        <f t="shared" si="5"/>
        <v>1</v>
      </c>
    </row>
    <row r="38" spans="1:29" ht="20">
      <c r="A38" s="472" t="s">
        <v>2562</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4"/>
      <c r="Q38" s="1810" t="str">
        <f>B38</f>
        <v>宗地面积</v>
      </c>
      <c r="R38" s="774" t="s">
        <v>17</v>
      </c>
      <c r="S38" s="775" t="e">
        <f t="shared" si="9"/>
        <v>#N/A</v>
      </c>
      <c r="T38" s="774" t="s">
        <v>17</v>
      </c>
      <c r="U38" s="775" t="e">
        <f t="shared" si="10"/>
        <v>#N/A</v>
      </c>
      <c r="V38" s="774" t="s">
        <v>17</v>
      </c>
      <c r="W38" s="775" t="e">
        <f t="shared" si="11"/>
        <v>#N/A</v>
      </c>
      <c r="X38" s="1813"/>
      <c r="Y38" s="3224"/>
      <c r="Z38" s="1814" t="str">
        <f t="shared" si="12"/>
        <v>宗地面积</v>
      </c>
      <c r="AA38" s="1811" t="e">
        <f t="shared" si="3"/>
        <v>#N/A</v>
      </c>
      <c r="AB38" s="1811" t="e">
        <f t="shared" si="4"/>
        <v>#N/A</v>
      </c>
      <c r="AC38" s="1811" t="e">
        <f t="shared" si="5"/>
        <v>#N/A</v>
      </c>
    </row>
    <row r="39" spans="1:29" ht="16">
      <c r="A39" s="472"/>
      <c r="B39" s="422" t="s">
        <v>2750</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24"/>
      <c r="Q39" s="1810" t="str">
        <f t="shared" ref="Q39:Q45" si="13">B39</f>
        <v>宗地形状</v>
      </c>
      <c r="R39" s="774" t="s">
        <v>17</v>
      </c>
      <c r="S39" s="775">
        <f t="shared" si="9"/>
        <v>100</v>
      </c>
      <c r="T39" s="774" t="s">
        <v>17</v>
      </c>
      <c r="U39" s="775">
        <f t="shared" si="10"/>
        <v>100</v>
      </c>
      <c r="V39" s="774" t="s">
        <v>17</v>
      </c>
      <c r="W39" s="775">
        <f t="shared" si="11"/>
        <v>100</v>
      </c>
      <c r="X39" s="1813"/>
      <c r="Y39" s="3224"/>
      <c r="Z39" s="1814" t="str">
        <f t="shared" si="12"/>
        <v>宗地形状</v>
      </c>
      <c r="AA39" s="1811">
        <f t="shared" si="3"/>
        <v>1</v>
      </c>
      <c r="AB39" s="1811">
        <f t="shared" si="4"/>
        <v>1</v>
      </c>
      <c r="AC39" s="1811">
        <f t="shared" si="5"/>
        <v>1</v>
      </c>
    </row>
    <row r="40" spans="1:29" ht="16">
      <c r="A40" s="472"/>
      <c r="B40" s="422" t="s">
        <v>2751</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24"/>
      <c r="Q40" s="1810" t="str">
        <f t="shared" si="13"/>
        <v>临街宽度及深度</v>
      </c>
      <c r="R40" s="774" t="s">
        <v>17</v>
      </c>
      <c r="S40" s="775">
        <f t="shared" si="9"/>
        <v>100</v>
      </c>
      <c r="T40" s="774" t="s">
        <v>17</v>
      </c>
      <c r="U40" s="775">
        <f t="shared" si="10"/>
        <v>100</v>
      </c>
      <c r="V40" s="774" t="s">
        <v>17</v>
      </c>
      <c r="W40" s="775">
        <f t="shared" si="11"/>
        <v>100</v>
      </c>
      <c r="X40" s="1813"/>
      <c r="Y40" s="3224"/>
      <c r="Z40" s="1814" t="str">
        <f t="shared" si="12"/>
        <v>临街宽度及深度</v>
      </c>
      <c r="AA40" s="1811">
        <f t="shared" si="3"/>
        <v>1</v>
      </c>
      <c r="AB40" s="1811">
        <f t="shared" si="4"/>
        <v>1</v>
      </c>
      <c r="AC40" s="1811">
        <f t="shared" si="5"/>
        <v>1</v>
      </c>
    </row>
    <row r="41" spans="1:29" s="117" customFormat="1" ht="16">
      <c r="A41" s="473"/>
      <c r="B41" s="422" t="s">
        <v>2752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24"/>
      <c r="Q41" s="1810" t="str">
        <f t="shared" si="13"/>
        <v>宗地开发程度</v>
      </c>
      <c r="R41" s="770" t="s">
        <v>17</v>
      </c>
      <c r="S41" s="771">
        <f t="shared" si="9"/>
        <v>100</v>
      </c>
      <c r="T41" s="770" t="s">
        <v>17</v>
      </c>
      <c r="U41" s="771">
        <f t="shared" si="10"/>
        <v>100</v>
      </c>
      <c r="V41" s="770" t="s">
        <v>17</v>
      </c>
      <c r="W41" s="771">
        <f t="shared" si="11"/>
        <v>100</v>
      </c>
      <c r="X41" s="772"/>
      <c r="Y41" s="3224"/>
      <c r="Z41" s="55" t="str">
        <f t="shared" si="12"/>
        <v>宗地开发程度</v>
      </c>
      <c r="AA41" s="773">
        <f t="shared" si="3"/>
        <v>1</v>
      </c>
      <c r="AB41" s="773">
        <f t="shared" si="4"/>
        <v>1</v>
      </c>
      <c r="AC41" s="773">
        <f t="shared" si="5"/>
        <v>1</v>
      </c>
    </row>
    <row r="42" spans="1:29" ht="16">
      <c r="A42" s="472"/>
      <c r="B42" s="422" t="s">
        <v>2753</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24" t="s">
        <v>2564</v>
      </c>
      <c r="Q42" s="1810" t="str">
        <f t="shared" si="13"/>
        <v>工程地质条件</v>
      </c>
      <c r="R42" s="774" t="s">
        <v>17</v>
      </c>
      <c r="S42" s="775">
        <f t="shared" si="9"/>
        <v>100</v>
      </c>
      <c r="T42" s="774" t="s">
        <v>17</v>
      </c>
      <c r="U42" s="775">
        <f t="shared" si="10"/>
        <v>100</v>
      </c>
      <c r="V42" s="774" t="s">
        <v>17</v>
      </c>
      <c r="W42" s="775">
        <f t="shared" si="11"/>
        <v>100</v>
      </c>
      <c r="X42" s="1813"/>
      <c r="Y42" s="3224" t="s">
        <v>2564</v>
      </c>
      <c r="Z42" s="1814" t="str">
        <f t="shared" si="12"/>
        <v>工程地质条件</v>
      </c>
      <c r="AA42" s="1811">
        <f t="shared" si="3"/>
        <v>1</v>
      </c>
      <c r="AB42" s="1811">
        <f t="shared" si="4"/>
        <v>1</v>
      </c>
      <c r="AC42" s="1811">
        <f t="shared" si="5"/>
        <v>1</v>
      </c>
    </row>
    <row r="43" spans="1:29" ht="16">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4"/>
      <c r="Q43" s="1810">
        <f t="shared" si="13"/>
        <v>111</v>
      </c>
      <c r="R43" s="774" t="s">
        <v>17</v>
      </c>
      <c r="S43" s="775">
        <f t="shared" si="9"/>
        <v>100</v>
      </c>
      <c r="T43" s="774" t="s">
        <v>17</v>
      </c>
      <c r="U43" s="775">
        <f t="shared" si="10"/>
        <v>100</v>
      </c>
      <c r="V43" s="774" t="s">
        <v>17</v>
      </c>
      <c r="W43" s="775">
        <f t="shared" si="11"/>
        <v>100</v>
      </c>
      <c r="X43" s="1813"/>
      <c r="Y43" s="3224"/>
      <c r="Z43" s="1814">
        <f t="shared" si="12"/>
        <v>111</v>
      </c>
      <c r="AA43" s="1811">
        <f t="shared" si="3"/>
        <v>1</v>
      </c>
      <c r="AB43" s="1811">
        <f t="shared" si="4"/>
        <v>1</v>
      </c>
      <c r="AC43" s="1811">
        <f t="shared" si="5"/>
        <v>1</v>
      </c>
    </row>
    <row r="44" spans="1:29" ht="16">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4"/>
      <c r="Q44" s="1810">
        <f t="shared" si="13"/>
        <v>111</v>
      </c>
      <c r="R44" s="774" t="s">
        <v>17</v>
      </c>
      <c r="S44" s="775">
        <f t="shared" si="9"/>
        <v>100</v>
      </c>
      <c r="T44" s="774" t="s">
        <v>17</v>
      </c>
      <c r="U44" s="775">
        <f t="shared" si="10"/>
        <v>100</v>
      </c>
      <c r="V44" s="774" t="s">
        <v>17</v>
      </c>
      <c r="W44" s="775">
        <f t="shared" si="11"/>
        <v>100</v>
      </c>
      <c r="X44" s="1813"/>
      <c r="Y44" s="3224"/>
      <c r="Z44" s="1814">
        <f t="shared" si="12"/>
        <v>111</v>
      </c>
      <c r="AA44" s="1811">
        <f t="shared" si="3"/>
        <v>1</v>
      </c>
      <c r="AB44" s="1811">
        <f t="shared" si="4"/>
        <v>1</v>
      </c>
      <c r="AC44" s="1811">
        <f t="shared" si="5"/>
        <v>1</v>
      </c>
    </row>
    <row r="45" spans="1:29" s="471" customFormat="1" ht="17"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4"/>
      <c r="Q45" s="1810">
        <f t="shared" si="13"/>
        <v>111</v>
      </c>
      <c r="R45" s="777" t="s">
        <v>17</v>
      </c>
      <c r="S45" s="778">
        <f t="shared" si="9"/>
        <v>100</v>
      </c>
      <c r="T45" s="777" t="s">
        <v>17</v>
      </c>
      <c r="U45" s="778">
        <f t="shared" si="10"/>
        <v>100</v>
      </c>
      <c r="V45" s="777" t="s">
        <v>17</v>
      </c>
      <c r="W45" s="778">
        <f t="shared" si="11"/>
        <v>100</v>
      </c>
      <c r="X45" s="779"/>
      <c r="Y45" s="3224"/>
      <c r="Z45" s="780">
        <f t="shared" si="12"/>
        <v>111</v>
      </c>
      <c r="AA45" s="1811">
        <f t="shared" si="3"/>
        <v>1</v>
      </c>
      <c r="AB45" s="1811">
        <f t="shared" si="4"/>
        <v>1</v>
      </c>
      <c r="AC45" s="1811">
        <f t="shared" si="5"/>
        <v>1</v>
      </c>
    </row>
    <row r="46" spans="1:29" ht="15">
      <c r="A46" s="479" t="s">
        <v>2718</v>
      </c>
      <c r="B46" s="2702" t="s">
        <v>2754</v>
      </c>
      <c r="C46" s="682" t="s">
        <v>1</v>
      </c>
      <c r="D46" s="481"/>
      <c r="E46" s="482"/>
      <c r="F46" s="483"/>
      <c r="G46" s="484"/>
      <c r="H46" s="485"/>
      <c r="I46" s="482"/>
      <c r="J46" s="485"/>
      <c r="K46" s="783"/>
      <c r="L46" s="1143"/>
      <c r="M46" s="1144"/>
      <c r="N46" s="1131"/>
      <c r="O46" s="1144"/>
      <c r="P46" s="3217" t="str">
        <f>A46</f>
        <v>成交单价</v>
      </c>
      <c r="Q46" s="3217"/>
      <c r="R46" s="3248">
        <f>E46</f>
        <v>0</v>
      </c>
      <c r="S46" s="3248"/>
      <c r="T46" s="3248">
        <f>G46</f>
        <v>0</v>
      </c>
      <c r="U46" s="3248"/>
      <c r="V46" s="3248">
        <f>I46</f>
        <v>0</v>
      </c>
      <c r="W46" s="3248"/>
      <c r="X46" s="759"/>
      <c r="Y46" s="781"/>
      <c r="Z46" s="759"/>
      <c r="AA46" s="759"/>
      <c r="AB46" s="759"/>
      <c r="AC46" s="759"/>
    </row>
    <row r="47" spans="1:29" ht="1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217" t="str">
        <f>A47</f>
        <v>比较价值（元/平方米）</v>
      </c>
      <c r="Q47" s="3217"/>
      <c r="R47" s="3281" t="e">
        <f>ROUND(PRODUCT(R46,AA7:AA45),0)</f>
        <v>#DIV/0!</v>
      </c>
      <c r="S47" s="3281"/>
      <c r="T47" s="3281" t="e">
        <f>ROUND(PRODUCT(T46,AB7:AB45),0)</f>
        <v>#DIV/0!</v>
      </c>
      <c r="U47" s="3281"/>
      <c r="V47" s="3281" t="e">
        <f>ROUND(PRODUCT(V46,AC7:AC45),0)</f>
        <v>#DIV/0!</v>
      </c>
      <c r="W47" s="3281"/>
      <c r="X47" s="759"/>
      <c r="Y47" s="759"/>
      <c r="Z47" s="759"/>
      <c r="AA47" s="759"/>
      <c r="AB47" s="759"/>
      <c r="AC47" s="759"/>
    </row>
    <row r="48" spans="1:29" ht="15" thickBot="1">
      <c r="A48" s="492" t="s">
        <v>2755</v>
      </c>
      <c r="B48" s="493"/>
      <c r="C48" s="494" t="e">
        <f>R48</f>
        <v>#DIV/0!</v>
      </c>
      <c r="D48" s="494"/>
      <c r="E48" s="494"/>
      <c r="F48" s="494"/>
      <c r="G48" s="494"/>
      <c r="H48" s="494"/>
      <c r="I48" s="494"/>
      <c r="J48" s="494"/>
      <c r="K48" s="785"/>
      <c r="L48" s="1143"/>
      <c r="M48" s="1144"/>
      <c r="N48" s="1144"/>
      <c r="O48" s="1144"/>
      <c r="P48" s="3214" t="str">
        <f>A48</f>
        <v>估价对象XX用房的比较价值（楼面单价，元/平方米）</v>
      </c>
      <c r="Q48" s="3215"/>
      <c r="R48" s="3282" t="e">
        <f>ROUND(AVERAGE(R47:V47),0)</f>
        <v>#DIV/0!</v>
      </c>
      <c r="S48" s="3282"/>
      <c r="T48" s="3282"/>
      <c r="U48" s="3282"/>
      <c r="V48" s="3282"/>
      <c r="W48" s="328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3" t="s">
        <v>2758</v>
      </c>
      <c r="D55" s="2704" t="s">
        <v>2759</v>
      </c>
      <c r="E55" s="686" t="s">
        <v>2760</v>
      </c>
      <c r="F55" s="1107" t="s">
        <v>2761</v>
      </c>
      <c r="G55" s="3232" t="s">
        <v>2762</v>
      </c>
      <c r="H55" s="3283"/>
      <c r="I55" s="144" t="s">
        <v>2763</v>
      </c>
      <c r="J55" s="2705">
        <f>项目基本情况!F35</f>
        <v>0</v>
      </c>
      <c r="K55" s="2706" t="s">
        <v>2764</v>
      </c>
      <c r="L55" s="1106"/>
      <c r="M55" s="1144"/>
      <c r="N55" s="1144"/>
      <c r="O55" s="1144"/>
    </row>
    <row r="56" spans="1:15" s="692" customFormat="1">
      <c r="A56" s="688" t="s">
        <v>2765</v>
      </c>
      <c r="B56" s="689" t="e">
        <f>C48</f>
        <v>#DIV/0!</v>
      </c>
      <c r="C56" s="690">
        <v>1</v>
      </c>
      <c r="D56" s="1163">
        <v>1</v>
      </c>
      <c r="E56" s="690">
        <f>'数据-汇总表'!E8+'数据-汇总表'!E9</f>
        <v>86971.4</v>
      </c>
      <c r="F56" s="1103" t="e">
        <f t="shared" ref="F56:F65" si="14">ROUND(B56*E56/10000,0)</f>
        <v>#DIV/0!</v>
      </c>
      <c r="G56" s="3228"/>
      <c r="H56" s="3217"/>
      <c r="I56" s="1108">
        <v>1</v>
      </c>
      <c r="J56" s="1111">
        <v>1</v>
      </c>
      <c r="K56" s="1145"/>
      <c r="L56" s="941"/>
      <c r="M56" s="941"/>
      <c r="N56" s="941"/>
      <c r="O56" s="941"/>
    </row>
    <row r="57" spans="1:15" s="692" customFormat="1">
      <c r="A57" s="693" t="s">
        <v>2766</v>
      </c>
      <c r="B57" s="262" t="e">
        <f>ROUND($C$48*C57*D57,0)</f>
        <v>#DIV/0!</v>
      </c>
      <c r="C57" s="200">
        <f t="shared" ref="C57:C65" si="15">IF($C$55="北京市系数",I57,J57)</f>
        <v>0</v>
      </c>
      <c r="D57" s="1164">
        <v>0.25</v>
      </c>
      <c r="E57" s="694"/>
      <c r="F57" s="1103" t="e">
        <f t="shared" si="14"/>
        <v>#DIV/0!</v>
      </c>
      <c r="G57" s="3284"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6">ROUND($C$48*C58*D58,0)</f>
        <v>#DIV/0!</v>
      </c>
      <c r="C58" s="200">
        <f t="shared" si="15"/>
        <v>0</v>
      </c>
      <c r="D58" s="1164">
        <v>0.25</v>
      </c>
      <c r="E58" s="694"/>
      <c r="F58" s="1103" t="e">
        <f t="shared" si="14"/>
        <v>#DIV/0!</v>
      </c>
      <c r="G58" s="3284"/>
      <c r="H58" s="1104">
        <f>项目基本情况!B37</f>
        <v>0</v>
      </c>
      <c r="I58" s="1108">
        <f>SUMIF(修正!A45:A56,H58,修正!C45:C56)</f>
        <v>0</v>
      </c>
      <c r="J58" s="1112"/>
      <c r="K58" s="1145"/>
      <c r="L58" s="941"/>
      <c r="M58" s="941"/>
      <c r="N58" s="941"/>
      <c r="O58" s="941"/>
    </row>
    <row r="59" spans="1:15" s="692" customFormat="1">
      <c r="A59" s="693" t="s">
        <v>2769</v>
      </c>
      <c r="B59" s="262" t="e">
        <f t="shared" si="16"/>
        <v>#DIV/0!</v>
      </c>
      <c r="C59" s="200">
        <f t="shared" si="15"/>
        <v>0</v>
      </c>
      <c r="D59" s="1164">
        <v>0.25</v>
      </c>
      <c r="E59" s="694"/>
      <c r="F59" s="1103" t="e">
        <f t="shared" si="14"/>
        <v>#DIV/0!</v>
      </c>
      <c r="G59" s="3284"/>
      <c r="H59" s="1104">
        <f>项目基本情况!B37</f>
        <v>0</v>
      </c>
      <c r="I59" s="1108">
        <f>SUMIF(修正!A45:A56,H59,修正!D45:D56)</f>
        <v>0</v>
      </c>
      <c r="J59" s="1112"/>
      <c r="K59" s="1144"/>
      <c r="L59" s="941"/>
      <c r="M59" s="941"/>
      <c r="N59" s="941"/>
      <c r="O59" s="941"/>
    </row>
    <row r="60" spans="1:15" s="692" customFormat="1">
      <c r="A60" s="693" t="s">
        <v>2770</v>
      </c>
      <c r="B60" s="262" t="e">
        <f t="shared" si="16"/>
        <v>#DIV/0!</v>
      </c>
      <c r="C60" s="200">
        <f t="shared" si="15"/>
        <v>0</v>
      </c>
      <c r="D60" s="1164">
        <v>0.25</v>
      </c>
      <c r="E60" s="694"/>
      <c r="F60" s="1103" t="e">
        <f t="shared" si="14"/>
        <v>#DIV/0!</v>
      </c>
      <c r="G60" s="3284"/>
      <c r="H60" s="1104">
        <f>项目基本情况!B37</f>
        <v>0</v>
      </c>
      <c r="I60" s="1108">
        <f>SUMIF(修正!A45:A56,H60,修正!E45:E56)</f>
        <v>0</v>
      </c>
      <c r="J60" s="1112"/>
      <c r="K60" s="1145"/>
      <c r="L60" s="941"/>
      <c r="M60" s="941"/>
      <c r="N60" s="941"/>
      <c r="O60" s="941"/>
    </row>
    <row r="61" spans="1:15" s="692" customFormat="1">
      <c r="A61" s="693" t="s">
        <v>2771</v>
      </c>
      <c r="B61" s="262" t="e">
        <f t="shared" si="16"/>
        <v>#DIV/0!</v>
      </c>
      <c r="C61" s="200">
        <f t="shared" si="15"/>
        <v>0</v>
      </c>
      <c r="D61" s="1164">
        <v>0.25</v>
      </c>
      <c r="E61" s="261">
        <f>'数据-汇总表'!E11</f>
        <v>0</v>
      </c>
      <c r="F61" s="1103" t="e">
        <f t="shared" si="14"/>
        <v>#DIV/0!</v>
      </c>
      <c r="G61" s="2707" t="s">
        <v>2772</v>
      </c>
      <c r="H61" s="1104">
        <f>项目基本情况!C37</f>
        <v>0</v>
      </c>
      <c r="I61" s="1108">
        <f>SUMIF(修正!A45:A56,H61,修正!F45:F56)</f>
        <v>0</v>
      </c>
      <c r="J61" s="1112"/>
      <c r="K61" s="1144"/>
      <c r="L61" s="941"/>
      <c r="M61" s="941"/>
      <c r="N61" s="941"/>
      <c r="O61" s="941"/>
    </row>
    <row r="62" spans="1:15" s="692" customFormat="1">
      <c r="A62" s="693" t="s">
        <v>2773</v>
      </c>
      <c r="B62" s="262" t="e">
        <f t="shared" si="16"/>
        <v>#DIV/0!</v>
      </c>
      <c r="C62" s="200">
        <f t="shared" si="15"/>
        <v>0</v>
      </c>
      <c r="D62" s="1164">
        <v>0.25</v>
      </c>
      <c r="E62" s="261">
        <f>'数据-汇总表'!E12</f>
        <v>0</v>
      </c>
      <c r="F62" s="1103" t="e">
        <f t="shared" si="14"/>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6"/>
        <v>#DIV/0!</v>
      </c>
      <c r="C63" s="200">
        <f t="shared" si="15"/>
        <v>0</v>
      </c>
      <c r="D63" s="1164">
        <v>0.25</v>
      </c>
      <c r="E63" s="261">
        <f>'数据-汇总表'!E13</f>
        <v>0</v>
      </c>
      <c r="F63" s="1103" t="e">
        <f t="shared" si="14"/>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6"/>
        <v>#DIV/0!</v>
      </c>
      <c r="C64" s="200">
        <f t="shared" si="15"/>
        <v>0</v>
      </c>
      <c r="D64" s="1164">
        <v>0.25</v>
      </c>
      <c r="E64" s="261">
        <f>'数据-汇总表'!E14</f>
        <v>0</v>
      </c>
      <c r="F64" s="1103" t="e">
        <f t="shared" si="14"/>
        <v>#DIV/0!</v>
      </c>
      <c r="G64" s="2707"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6"/>
        <v>#DIV/0!</v>
      </c>
      <c r="C65" s="200">
        <f t="shared" si="15"/>
        <v>0</v>
      </c>
      <c r="D65" s="1164">
        <v>0.25</v>
      </c>
      <c r="E65" s="261">
        <f>'数据-汇总表'!E15</f>
        <v>0</v>
      </c>
      <c r="F65" s="1103" t="e">
        <f t="shared" si="14"/>
        <v>#DIV/0!</v>
      </c>
      <c r="G65" s="2708" t="s">
        <v>2772</v>
      </c>
      <c r="H65" s="1114">
        <f>项目基本情况!C37</f>
        <v>0</v>
      </c>
      <c r="I65" s="1110">
        <f>SUMIF(修正!A45:A56,H65,修正!H45:H56)</f>
        <v>0</v>
      </c>
      <c r="J65" s="1113"/>
      <c r="K65" s="1144"/>
      <c r="L65" s="941"/>
      <c r="M65" s="941"/>
      <c r="N65" s="941"/>
      <c r="O65" s="941"/>
    </row>
    <row r="66" spans="1:17" s="692" customFormat="1" ht="15" thickBot="1">
      <c r="A66" s="695" t="s">
        <v>2779</v>
      </c>
      <c r="B66" s="696" t="s">
        <v>28</v>
      </c>
      <c r="C66" s="696" t="s">
        <v>29</v>
      </c>
      <c r="D66" s="696" t="s">
        <v>1025</v>
      </c>
      <c r="E66" s="696">
        <f>IF(B46="楼面地价",SUM(E56:E65),'数据-汇总表'!D3)</f>
        <v>86971.4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2020-1-1</v>
      </c>
      <c r="D68" s="761">
        <f>EDATE(C68,-3)</f>
        <v>43739</v>
      </c>
      <c r="E68" s="761">
        <f>EDATE(D68,-3)</f>
        <v>43647</v>
      </c>
      <c r="F68" s="761">
        <f t="shared" ref="F68:O68" si="17">EDATE(E68,-3)</f>
        <v>43556</v>
      </c>
      <c r="G68" s="761">
        <f t="shared" si="17"/>
        <v>43466</v>
      </c>
      <c r="H68" s="761">
        <f t="shared" si="17"/>
        <v>43374</v>
      </c>
      <c r="I68" s="761">
        <f t="shared" si="17"/>
        <v>43282</v>
      </c>
      <c r="J68" s="761">
        <f t="shared" si="17"/>
        <v>43191</v>
      </c>
      <c r="K68" s="761">
        <f t="shared" si="17"/>
        <v>43101</v>
      </c>
      <c r="L68" s="761">
        <f t="shared" si="17"/>
        <v>43009</v>
      </c>
      <c r="M68" s="761">
        <f t="shared" si="17"/>
        <v>42917</v>
      </c>
      <c r="N68" s="761">
        <f t="shared" si="17"/>
        <v>42826</v>
      </c>
      <c r="O68" s="761">
        <f t="shared" si="17"/>
        <v>42736</v>
      </c>
    </row>
    <row r="69" spans="1:17" ht="21"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09" t="s">
        <v>2780</v>
      </c>
      <c r="B70" s="1359"/>
      <c r="C70" s="1572" t="str">
        <f>YEAR(C68)&amp;"-"&amp;ROUNDUP(MONTH(C68)/3,0)</f>
        <v>2020-1</v>
      </c>
      <c r="D70" s="1572" t="str">
        <f>YEAR(D68)&amp;"-"&amp;ROUNDUP(MONTH(D68)/3,0)</f>
        <v>2019-4</v>
      </c>
      <c r="E70" s="1572" t="str">
        <f t="shared" ref="E70:O70" si="18">YEAR(E68)&amp;"-"&amp;ROUNDUP(MONTH(E68)/3,0)</f>
        <v>2019-3</v>
      </c>
      <c r="F70" s="1572" t="str">
        <f t="shared" si="18"/>
        <v>2019-2</v>
      </c>
      <c r="G70" s="1572" t="str">
        <f t="shared" si="18"/>
        <v>2019-1</v>
      </c>
      <c r="H70" s="1572" t="str">
        <f t="shared" si="18"/>
        <v>2018-4</v>
      </c>
      <c r="I70" s="1572" t="str">
        <f t="shared" si="18"/>
        <v>2018-3</v>
      </c>
      <c r="J70" s="1572" t="str">
        <f t="shared" si="18"/>
        <v>2018-2</v>
      </c>
      <c r="K70" s="1572" t="str">
        <f t="shared" si="18"/>
        <v>2018-1</v>
      </c>
      <c r="L70" s="1572" t="str">
        <f t="shared" si="18"/>
        <v>2017-4</v>
      </c>
      <c r="M70" s="1572" t="str">
        <f t="shared" si="18"/>
        <v>2017-3</v>
      </c>
      <c r="N70" s="1572" t="str">
        <f t="shared" si="18"/>
        <v>2017-2</v>
      </c>
      <c r="O70" s="1572" t="str">
        <f t="shared" si="18"/>
        <v>2017-1</v>
      </c>
      <c r="P70" s="507"/>
    </row>
    <row r="71" spans="1:17" s="117" customFormat="1" ht="30" customHeight="1">
      <c r="A71" s="2710" t="s">
        <v>2781</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2650</v>
      </c>
      <c r="D73" s="523"/>
      <c r="E73" s="523"/>
      <c r="F73" s="523"/>
      <c r="G73" s="523"/>
      <c r="H73" s="523"/>
      <c r="I73" s="523"/>
      <c r="J73" s="523"/>
      <c r="K73" s="523"/>
      <c r="L73" s="524"/>
      <c r="M73" s="525"/>
      <c r="N73" s="1151"/>
      <c r="O73" s="1151"/>
      <c r="P73" s="526"/>
      <c r="Q73" s="504"/>
    </row>
    <row r="74" spans="1:17" s="117" customFormat="1" ht="15" thickBot="1">
      <c r="A74" s="521"/>
      <c r="B74" s="510"/>
      <c r="C74" s="639">
        <v>100</v>
      </c>
      <c r="D74" s="512"/>
      <c r="E74" s="512"/>
      <c r="F74" s="512"/>
      <c r="G74" s="512"/>
      <c r="H74" s="512"/>
      <c r="I74" s="512"/>
      <c r="J74" s="512"/>
      <c r="K74" s="512"/>
      <c r="L74" s="512"/>
      <c r="M74" s="514"/>
      <c r="N74" s="1151"/>
      <c r="O74" s="1151"/>
      <c r="P74" s="504"/>
      <c r="Q74" s="504"/>
    </row>
    <row r="75" spans="1:17" ht="15">
      <c r="A75" s="527" t="s">
        <v>2586</v>
      </c>
      <c r="B75" s="528" t="s">
        <v>2553</v>
      </c>
      <c r="C75" s="530"/>
      <c r="D75" s="530"/>
      <c r="E75" s="530"/>
      <c r="F75" s="530"/>
      <c r="G75" s="530"/>
      <c r="H75" s="530"/>
      <c r="I75" s="530"/>
      <c r="J75" s="530"/>
      <c r="K75" s="531"/>
      <c r="L75" s="532"/>
      <c r="M75" s="533"/>
      <c r="N75" s="1152"/>
      <c r="O75" s="1152"/>
      <c r="P75" s="45"/>
      <c r="Q75" s="504"/>
    </row>
    <row r="76" spans="1:17" ht="15" thickBot="1">
      <c r="A76" s="534"/>
      <c r="B76" s="535"/>
      <c r="C76" s="536"/>
      <c r="D76" s="536"/>
      <c r="E76" s="536"/>
      <c r="F76" s="536"/>
      <c r="G76" s="536"/>
      <c r="H76" s="536"/>
      <c r="I76" s="536"/>
      <c r="J76" s="536"/>
      <c r="K76" s="536"/>
      <c r="L76" s="536"/>
      <c r="M76" s="537"/>
      <c r="N76" s="1153"/>
      <c r="O76" s="1153"/>
      <c r="P76" s="45"/>
      <c r="Q76" s="504"/>
    </row>
    <row r="77" spans="1:17" ht="31" thickTop="1">
      <c r="A77" s="534"/>
      <c r="B77" s="538" t="s">
        <v>2556</v>
      </c>
      <c r="C77" s="539"/>
      <c r="D77" s="539"/>
      <c r="E77" s="539"/>
      <c r="F77" s="539"/>
      <c r="G77" s="539"/>
      <c r="H77" s="539"/>
      <c r="I77" s="539"/>
      <c r="J77" s="539"/>
      <c r="K77" s="540"/>
      <c r="L77" s="541"/>
      <c r="M77" s="542"/>
      <c r="N77" s="1152"/>
      <c r="O77" s="1152"/>
      <c r="P77" s="45"/>
      <c r="Q77" s="504"/>
    </row>
    <row r="78" spans="1:17" ht="15" thickBot="1">
      <c r="A78" s="534"/>
      <c r="B78" s="543"/>
      <c r="C78" s="544"/>
      <c r="D78" s="544"/>
      <c r="E78" s="544"/>
      <c r="F78" s="544"/>
      <c r="G78" s="544"/>
      <c r="H78" s="544"/>
      <c r="I78" s="544"/>
      <c r="J78" s="544"/>
      <c r="K78" s="544"/>
      <c r="L78" s="544"/>
      <c r="M78" s="545"/>
      <c r="N78" s="1153"/>
      <c r="O78" s="1153"/>
      <c r="P78" s="45"/>
      <c r="Q78" s="504"/>
    </row>
    <row r="79" spans="1:17" ht="16" thickTop="1">
      <c r="A79" s="534"/>
      <c r="B79" s="546" t="s">
        <v>2557</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53"/>
      <c r="O81" s="1153"/>
      <c r="P81" s="45"/>
      <c r="Q81" s="504"/>
    </row>
    <row r="82" spans="1:17" s="471" customFormat="1" ht="16"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 thickBot="1">
      <c r="A83" s="553"/>
      <c r="B83" s="543"/>
      <c r="C83" s="560"/>
      <c r="D83" s="536"/>
      <c r="E83" s="536"/>
      <c r="F83" s="536"/>
      <c r="G83" s="536"/>
      <c r="H83" s="536"/>
      <c r="I83" s="536"/>
      <c r="J83" s="536"/>
      <c r="K83" s="536"/>
      <c r="L83" s="536"/>
      <c r="M83" s="537"/>
      <c r="N83" s="1153"/>
      <c r="O83" s="1153"/>
      <c r="P83" s="558"/>
      <c r="Q83" s="559"/>
    </row>
    <row r="84" spans="1:17" s="471" customFormat="1" ht="15" thickTop="1">
      <c r="A84" s="553"/>
      <c r="B84" s="538">
        <f>B13</f>
        <v>111</v>
      </c>
      <c r="C84" s="554"/>
      <c r="D84" s="554"/>
      <c r="E84" s="554"/>
      <c r="F84" s="554"/>
      <c r="G84" s="554"/>
      <c r="H84" s="555"/>
      <c r="I84" s="555"/>
      <c r="J84" s="555"/>
      <c r="K84" s="555"/>
      <c r="L84" s="556"/>
      <c r="M84" s="557"/>
      <c r="N84" s="1154"/>
      <c r="O84" s="1154"/>
      <c r="P84" s="470"/>
      <c r="Q84" s="561"/>
    </row>
    <row r="85" spans="1:17" s="471" customFormat="1" ht="15" thickBot="1">
      <c r="A85" s="553"/>
      <c r="B85" s="543"/>
      <c r="C85" s="560"/>
      <c r="D85" s="560"/>
      <c r="E85" s="560"/>
      <c r="F85" s="560"/>
      <c r="G85" s="560"/>
      <c r="H85" s="562"/>
      <c r="I85" s="562"/>
      <c r="J85" s="562"/>
      <c r="K85" s="562"/>
      <c r="L85" s="562"/>
      <c r="M85" s="563"/>
      <c r="N85" s="1154"/>
      <c r="O85" s="1154"/>
      <c r="P85" s="558"/>
      <c r="Q85" s="559"/>
    </row>
    <row r="86" spans="1:17" s="471" customFormat="1" ht="15" thickTop="1">
      <c r="A86" s="553"/>
      <c r="B86" s="546">
        <f>B14</f>
        <v>111</v>
      </c>
      <c r="C86" s="523"/>
      <c r="D86" s="523"/>
      <c r="E86" s="523"/>
      <c r="F86" s="523"/>
      <c r="G86" s="523"/>
      <c r="H86" s="564"/>
      <c r="I86" s="564"/>
      <c r="J86" s="564"/>
      <c r="K86" s="564"/>
      <c r="L86" s="565"/>
      <c r="M86" s="566"/>
      <c r="N86" s="1154"/>
      <c r="O86" s="1154"/>
      <c r="P86" s="567"/>
      <c r="Q86" s="559"/>
    </row>
    <row r="87" spans="1:17" s="471" customFormat="1" ht="15" thickBot="1">
      <c r="A87" s="568"/>
      <c r="B87" s="569"/>
      <c r="C87" s="570"/>
      <c r="D87" s="570"/>
      <c r="E87" s="570"/>
      <c r="F87" s="570"/>
      <c r="G87" s="570"/>
      <c r="H87" s="571"/>
      <c r="I87" s="571"/>
      <c r="J87" s="571"/>
      <c r="K87" s="571"/>
      <c r="L87" s="571"/>
      <c r="M87" s="572"/>
      <c r="N87" s="1154"/>
      <c r="O87" s="1154"/>
      <c r="P87" s="558"/>
      <c r="Q87" s="559"/>
    </row>
    <row r="88" spans="1:17" ht="15">
      <c r="A88" s="527" t="s">
        <v>2558</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6"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6"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6"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6"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31"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6"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6"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6"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3"/>
      <c r="O105" s="1153"/>
      <c r="P105" s="45"/>
      <c r="Q105" s="504"/>
    </row>
    <row r="106" spans="1:17" ht="31" thickTop="1">
      <c r="A106" s="534"/>
      <c r="B106" s="538" t="s">
        <v>2689</v>
      </c>
      <c r="C106" s="554"/>
      <c r="D106" s="554"/>
      <c r="E106" s="554"/>
      <c r="F106" s="554"/>
      <c r="G106" s="554"/>
      <c r="H106" s="583"/>
      <c r="I106" s="583"/>
      <c r="J106" s="583"/>
      <c r="K106" s="584"/>
      <c r="L106" s="585"/>
      <c r="M106" s="586"/>
      <c r="N106" s="1152"/>
      <c r="O106" s="1152"/>
      <c r="P106" s="45"/>
      <c r="Q106" s="504"/>
    </row>
    <row r="107" spans="1:17" ht="1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3"/>
      <c r="O107" s="1153"/>
      <c r="P107" s="45"/>
      <c r="Q107" s="504"/>
    </row>
    <row r="108" spans="1:17" ht="16" thickTop="1">
      <c r="A108" s="534"/>
      <c r="B108" s="538" t="s">
        <v>2748</v>
      </c>
      <c r="C108" s="583"/>
      <c r="D108" s="583"/>
      <c r="E108" s="583"/>
      <c r="F108" s="583"/>
      <c r="G108" s="583"/>
      <c r="H108" s="583"/>
      <c r="I108" s="583"/>
      <c r="J108" s="583"/>
      <c r="K108" s="584"/>
      <c r="L108" s="585"/>
      <c r="M108" s="586"/>
      <c r="N108" s="1152"/>
      <c r="O108" s="1152"/>
      <c r="P108" s="45"/>
      <c r="Q108" s="504"/>
    </row>
    <row r="109" spans="1:17" ht="1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3"/>
      <c r="O109" s="1153"/>
      <c r="P109" s="45"/>
      <c r="Q109" s="504"/>
    </row>
    <row r="110" spans="1:17" ht="15" thickTop="1">
      <c r="A110" s="534"/>
      <c r="B110" s="546">
        <f>B35</f>
        <v>111</v>
      </c>
      <c r="C110" s="554"/>
      <c r="D110" s="554"/>
      <c r="E110" s="554"/>
      <c r="F110" s="554"/>
      <c r="G110" s="587"/>
      <c r="H110" s="587"/>
      <c r="I110" s="587"/>
      <c r="J110" s="587"/>
      <c r="K110" s="588"/>
      <c r="L110" s="589"/>
      <c r="M110" s="590"/>
      <c r="N110" s="1152"/>
      <c r="O110" s="1152"/>
      <c r="P110" s="45"/>
      <c r="Q110" s="504"/>
    </row>
    <row r="111" spans="1:17" ht="1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 thickBot="1">
      <c r="A115" s="553"/>
      <c r="B115" s="546"/>
      <c r="C115" s="512"/>
      <c r="D115" s="677"/>
      <c r="E115" s="677"/>
      <c r="F115" s="677"/>
      <c r="G115" s="677"/>
      <c r="H115" s="677"/>
      <c r="I115" s="677"/>
      <c r="J115" s="677"/>
      <c r="K115" s="677"/>
      <c r="L115" s="677"/>
      <c r="M115" s="699"/>
      <c r="N115" s="1153"/>
      <c r="O115" s="1153"/>
      <c r="P115" s="558"/>
      <c r="Q115" s="559"/>
    </row>
    <row r="116" spans="1:17" ht="15">
      <c r="A116" s="527" t="s">
        <v>2562</v>
      </c>
      <c r="B116" s="528" t="s">
        <v>2789</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5" thickBot="1">
      <c r="A118" s="534"/>
      <c r="B118" s="543"/>
      <c r="C118" s="570"/>
      <c r="D118" s="591"/>
      <c r="E118" s="591"/>
      <c r="F118" s="591"/>
      <c r="G118" s="591"/>
      <c r="H118" s="591"/>
      <c r="I118" s="591"/>
      <c r="J118" s="591"/>
      <c r="K118" s="591"/>
      <c r="L118" s="591"/>
      <c r="M118" s="592"/>
      <c r="N118" s="1153"/>
      <c r="O118" s="1153"/>
      <c r="P118" s="45"/>
      <c r="Q118" s="504"/>
    </row>
    <row r="119" spans="1:17" ht="16" thickTop="1">
      <c r="A119" s="599"/>
      <c r="B119" s="538" t="s">
        <v>2790</v>
      </c>
      <c r="C119" s="583"/>
      <c r="D119" s="583"/>
      <c r="E119" s="583"/>
      <c r="F119" s="583"/>
      <c r="G119" s="583"/>
      <c r="H119" s="583"/>
      <c r="I119" s="583"/>
      <c r="J119" s="583"/>
      <c r="K119" s="584"/>
      <c r="L119" s="585"/>
      <c r="M119" s="586"/>
      <c r="N119" s="1152"/>
      <c r="O119" s="1152"/>
      <c r="P119" s="45"/>
      <c r="Q119" s="504"/>
    </row>
    <row r="120" spans="1:17" ht="1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3"/>
      <c r="O120" s="1153"/>
      <c r="P120" s="45"/>
      <c r="Q120" s="504"/>
    </row>
    <row r="121" spans="1:17" ht="16" thickTop="1">
      <c r="A121" s="599"/>
      <c r="B121" s="538" t="s">
        <v>2791</v>
      </c>
      <c r="C121" s="554"/>
      <c r="D121" s="554"/>
      <c r="E121" s="554"/>
      <c r="F121" s="583"/>
      <c r="G121" s="583"/>
      <c r="H121" s="583"/>
      <c r="I121" s="583"/>
      <c r="J121" s="583"/>
      <c r="K121" s="584"/>
      <c r="L121" s="585"/>
      <c r="M121" s="586"/>
      <c r="N121" s="1152"/>
      <c r="O121" s="1152"/>
      <c r="P121" s="45"/>
      <c r="Q121" s="504"/>
    </row>
    <row r="122" spans="1:17" ht="1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3"/>
      <c r="O122" s="1153"/>
      <c r="P122" s="45"/>
      <c r="Q122" s="504"/>
    </row>
    <row r="123" spans="1:17" s="471" customFormat="1" ht="16"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4"/>
      <c r="O124" s="1154"/>
      <c r="P124" s="558"/>
      <c r="Q124" s="559"/>
    </row>
    <row r="125" spans="1:17" ht="16" thickTop="1">
      <c r="A125" s="599"/>
      <c r="B125" s="538" t="s">
        <v>2793</v>
      </c>
      <c r="C125" s="554"/>
      <c r="D125" s="554"/>
      <c r="E125" s="583"/>
      <c r="F125" s="583"/>
      <c r="G125" s="583"/>
      <c r="H125" s="583"/>
      <c r="I125" s="583"/>
      <c r="J125" s="583"/>
      <c r="K125" s="584"/>
      <c r="L125" s="585"/>
      <c r="M125" s="586"/>
      <c r="N125" s="1152"/>
      <c r="O125" s="1152"/>
      <c r="P125" s="45"/>
      <c r="Q125" s="504"/>
    </row>
    <row r="126" spans="1:17" ht="1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2" xr:uid="{00000000-0002-0000-2000-000013000000}">
      <formula1>"商业,办公,住宅,工业"</formula1>
    </dataValidation>
    <dataValidation type="list" allowBlank="1" showInputMessage="1" showErrorMessage="1" sqref="G63" xr:uid="{00000000-0002-0000-2000-000014000000}">
      <formula1>"住宅,工业"</formula1>
    </dataValidation>
    <dataValidation type="list" allowBlank="1" showInputMessage="1" showErrorMessage="1" sqref="D57:D65" xr:uid="{00000000-0002-0000-2000-000015000000}">
      <formula1>"25%,1"</formula1>
    </dataValidation>
    <dataValidation type="list" allowBlank="1" showInputMessage="1" showErrorMessage="1" sqref="C30 E30 G30 I30" xr:uid="{00000000-0002-0000-2000-000016000000}">
      <formula1>基础设施水平</formula1>
    </dataValidation>
    <dataValidation type="list" allowBlank="1" showInputMessage="1" showErrorMessage="1" sqref="A71" xr:uid="{00000000-0002-0000-20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C121"/>
  <sheetViews>
    <sheetView zoomScale="80" zoomScaleNormal="80" workbookViewId="0">
      <selection sqref="A1:XFD1048576"/>
    </sheetView>
  </sheetViews>
  <sheetFormatPr baseColWidth="10" defaultColWidth="9" defaultRowHeight="14"/>
  <cols>
    <col min="1" max="1" width="14.3320312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32" t="s">
        <v>2644</v>
      </c>
      <c r="D4" s="3233"/>
      <c r="E4" s="3234" t="s">
        <v>2645</v>
      </c>
      <c r="F4" s="3235"/>
      <c r="G4" s="3232" t="s">
        <v>2646</v>
      </c>
      <c r="H4" s="3233"/>
      <c r="I4" s="3232" t="s">
        <v>2647</v>
      </c>
      <c r="J4" s="3233"/>
      <c r="K4" s="610" t="s">
        <v>2648</v>
      </c>
      <c r="L4" s="1130"/>
      <c r="M4" s="1131"/>
      <c r="N4" s="1131"/>
      <c r="O4" s="1131"/>
      <c r="P4" s="3236" t="s">
        <v>2649</v>
      </c>
      <c r="Q4" s="3237"/>
      <c r="R4" s="3242" t="s">
        <v>2645</v>
      </c>
      <c r="S4" s="3243"/>
      <c r="T4" s="3242" t="s">
        <v>2646</v>
      </c>
      <c r="U4" s="3243"/>
      <c r="V4" s="3248" t="s">
        <v>2647</v>
      </c>
      <c r="W4" s="3248"/>
      <c r="X4" s="1813"/>
      <c r="Y4" s="3242" t="s">
        <v>2649</v>
      </c>
      <c r="Z4" s="3243"/>
      <c r="AA4" s="3229" t="s">
        <v>2645</v>
      </c>
      <c r="AB4" s="3230" t="s">
        <v>2646</v>
      </c>
      <c r="AC4" s="3229" t="s">
        <v>2647</v>
      </c>
    </row>
    <row r="5" spans="1:29">
      <c r="A5" s="404"/>
      <c r="B5" s="405"/>
      <c r="C5" s="3263" t="s">
        <v>2541</v>
      </c>
      <c r="D5" s="3257"/>
      <c r="E5" s="3264" t="s">
        <v>2542</v>
      </c>
      <c r="F5" s="3262"/>
      <c r="G5" s="3263" t="s">
        <v>2543</v>
      </c>
      <c r="H5" s="3257"/>
      <c r="I5" s="3263" t="s">
        <v>2544</v>
      </c>
      <c r="J5" s="3257"/>
      <c r="K5" s="610"/>
      <c r="L5" s="1130"/>
      <c r="M5" s="1131"/>
      <c r="N5" s="1131"/>
      <c r="O5" s="1131"/>
      <c r="P5" s="3238"/>
      <c r="Q5" s="3239"/>
      <c r="R5" s="3244"/>
      <c r="S5" s="3245"/>
      <c r="T5" s="3244"/>
      <c r="U5" s="3245"/>
      <c r="V5" s="3248"/>
      <c r="W5" s="3248"/>
      <c r="X5" s="1813"/>
      <c r="Y5" s="3244"/>
      <c r="Z5" s="3245"/>
      <c r="AA5" s="3230"/>
      <c r="AB5" s="3230"/>
      <c r="AC5" s="3230"/>
    </row>
    <row r="6" spans="1:29" ht="16" thickBot="1">
      <c r="A6" s="406"/>
      <c r="B6" s="407"/>
      <c r="C6" s="3285" t="s">
        <v>2795</v>
      </c>
      <c r="D6" s="3286"/>
      <c r="E6" s="3287" t="s">
        <v>2795</v>
      </c>
      <c r="F6" s="3288"/>
      <c r="G6" s="3285" t="s">
        <v>2795</v>
      </c>
      <c r="H6" s="3286"/>
      <c r="I6" s="3285" t="s">
        <v>2795</v>
      </c>
      <c r="J6" s="3286"/>
      <c r="K6" s="610" t="s">
        <v>2546</v>
      </c>
      <c r="L6" s="1130"/>
      <c r="M6" s="1131"/>
      <c r="N6" s="1131"/>
      <c r="O6" s="1131"/>
      <c r="P6" s="3240"/>
      <c r="Q6" s="3241"/>
      <c r="R6" s="3244"/>
      <c r="S6" s="3245"/>
      <c r="T6" s="3246"/>
      <c r="U6" s="3247"/>
      <c r="V6" s="3248"/>
      <c r="W6" s="3248"/>
      <c r="X6" s="1813"/>
      <c r="Y6" s="3246"/>
      <c r="Z6" s="3247"/>
      <c r="AA6" s="3231"/>
      <c r="AB6" s="3231"/>
      <c r="AC6" s="3231"/>
    </row>
    <row r="7" spans="1:29" s="117" customFormat="1" ht="16" thickBot="1">
      <c r="A7" s="408" t="s">
        <v>2547</v>
      </c>
      <c r="B7" s="409"/>
      <c r="C7" s="410">
        <f>'数据-取费表'!B2</f>
        <v>43847</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53" t="s">
        <v>2548</v>
      </c>
      <c r="Q7" s="3255"/>
      <c r="R7" s="770" t="s">
        <v>17</v>
      </c>
      <c r="S7" s="771">
        <f t="shared" ref="S7:S15" si="0">F7</f>
        <v>0</v>
      </c>
      <c r="T7" s="770" t="s">
        <v>17</v>
      </c>
      <c r="U7" s="771">
        <f t="shared" ref="U7:U15" si="1">H7</f>
        <v>0</v>
      </c>
      <c r="V7" s="770" t="s">
        <v>17</v>
      </c>
      <c r="W7" s="771">
        <f t="shared" ref="W7:W15" si="2">J7</f>
        <v>0</v>
      </c>
      <c r="X7" s="772"/>
      <c r="Y7" s="3253" t="s">
        <v>2548</v>
      </c>
      <c r="Z7" s="3254"/>
      <c r="AA7" s="773" t="e">
        <f>D7/F7</f>
        <v>#DIV/0!</v>
      </c>
      <c r="AB7" s="773" t="e">
        <f>D7/H7</f>
        <v>#DIV/0!</v>
      </c>
      <c r="AC7" s="773" t="e">
        <f>D7/J7</f>
        <v>#DIV/0!</v>
      </c>
    </row>
    <row r="8" spans="1:29" s="117" customFormat="1" ht="16"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53" t="s">
        <v>2551</v>
      </c>
      <c r="Q8" s="3254"/>
      <c r="R8" s="770" t="s">
        <v>17</v>
      </c>
      <c r="S8" s="771">
        <f t="shared" si="0"/>
        <v>0</v>
      </c>
      <c r="T8" s="770" t="s">
        <v>17</v>
      </c>
      <c r="U8" s="771">
        <f t="shared" si="1"/>
        <v>0</v>
      </c>
      <c r="V8" s="770" t="s">
        <v>17</v>
      </c>
      <c r="W8" s="771">
        <f t="shared" si="2"/>
        <v>0</v>
      </c>
      <c r="X8" s="772"/>
      <c r="Y8" s="3253" t="s">
        <v>2551</v>
      </c>
      <c r="Z8" s="3254"/>
      <c r="AA8" s="773" t="e">
        <f t="shared" ref="AA8:AA40" si="3">D8/F8</f>
        <v>#DIV/0!</v>
      </c>
      <c r="AB8" s="773" t="e">
        <f t="shared" ref="AB8:AB40" si="4">D8/H8</f>
        <v>#DIV/0!</v>
      </c>
      <c r="AC8" s="773" t="e">
        <f t="shared" ref="AC8:AC40" si="5">D8/J8</f>
        <v>#DIV/0!</v>
      </c>
    </row>
    <row r="9" spans="1:29" s="117" customFormat="1" ht="15">
      <c r="A9" s="415" t="s">
        <v>2552</v>
      </c>
      <c r="B9" s="71" t="s">
        <v>2553</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17" t="s">
        <v>2554</v>
      </c>
      <c r="Q9" s="1795" t="str">
        <f t="shared" ref="Q9:Q15" si="6">B9</f>
        <v>用途</v>
      </c>
      <c r="R9" s="770" t="s">
        <v>17</v>
      </c>
      <c r="S9" s="771">
        <f t="shared" si="0"/>
        <v>100</v>
      </c>
      <c r="T9" s="770" t="s">
        <v>17</v>
      </c>
      <c r="U9" s="771">
        <f t="shared" si="1"/>
        <v>100</v>
      </c>
      <c r="V9" s="770" t="s">
        <v>17</v>
      </c>
      <c r="W9" s="771">
        <f t="shared" si="2"/>
        <v>100</v>
      </c>
      <c r="X9" s="772"/>
      <c r="Y9" s="3037" t="s">
        <v>2555</v>
      </c>
      <c r="Z9" s="55" t="str">
        <f t="shared" ref="Z9:Z15" si="7">Q9</f>
        <v>用途</v>
      </c>
      <c r="AA9" s="773">
        <f t="shared" si="3"/>
        <v>1</v>
      </c>
      <c r="AB9" s="773">
        <f t="shared" si="4"/>
        <v>1</v>
      </c>
      <c r="AC9" s="773">
        <f t="shared" si="5"/>
        <v>1</v>
      </c>
    </row>
    <row r="10" spans="1:29" s="427" customFormat="1" ht="30">
      <c r="A10" s="421"/>
      <c r="B10" s="422" t="s">
        <v>2556</v>
      </c>
      <c r="C10" s="432"/>
      <c r="D10" s="136">
        <v>100</v>
      </c>
      <c r="E10" s="432"/>
      <c r="F10" s="136" t="e">
        <f>ROUND(100/'数据-取费表'!G16,0)</f>
        <v>#DIV/0!</v>
      </c>
      <c r="G10" s="432"/>
      <c r="H10" s="136" t="e">
        <f>ROUND(100/'数据-取费表'!G16,0)</f>
        <v>#DIV/0!</v>
      </c>
      <c r="I10" s="432"/>
      <c r="J10" s="136" t="e">
        <f>ROUND(100/'数据-取费表'!G16,0)</f>
        <v>#DIV/0!</v>
      </c>
      <c r="K10" s="672"/>
      <c r="L10" s="1135"/>
      <c r="M10" s="1136"/>
      <c r="N10" s="1136"/>
      <c r="O10" s="1137"/>
      <c r="P10" s="3217"/>
      <c r="Q10" s="1795" t="str">
        <f t="shared" si="6"/>
        <v>土地使用年限（年）</v>
      </c>
      <c r="R10" s="770" t="s">
        <v>17</v>
      </c>
      <c r="S10" s="771" t="e">
        <f t="shared" si="0"/>
        <v>#DIV/0!</v>
      </c>
      <c r="T10" s="770" t="s">
        <v>17</v>
      </c>
      <c r="U10" s="771" t="e">
        <f t="shared" si="1"/>
        <v>#DIV/0!</v>
      </c>
      <c r="V10" s="770" t="s">
        <v>17</v>
      </c>
      <c r="W10" s="771" t="e">
        <f t="shared" si="2"/>
        <v>#DIV/0!</v>
      </c>
      <c r="X10" s="772"/>
      <c r="Y10" s="3037"/>
      <c r="Z10" s="55" t="str">
        <f t="shared" si="7"/>
        <v>土地使用年限（年）</v>
      </c>
      <c r="AA10" s="773" t="e">
        <f t="shared" si="3"/>
        <v>#DIV/0!</v>
      </c>
      <c r="AB10" s="773" t="e">
        <f t="shared" si="4"/>
        <v>#DIV/0!</v>
      </c>
      <c r="AC10" s="773" t="e">
        <f t="shared" si="5"/>
        <v>#DIV/0!</v>
      </c>
    </row>
    <row r="11" spans="1:29" ht="16">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7"/>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6">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7"/>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6">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7"/>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7"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7"/>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60">
      <c r="A15" s="440" t="s">
        <v>2558</v>
      </c>
      <c r="B15" s="629" t="s">
        <v>2796</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9" t="s">
        <v>2559</v>
      </c>
      <c r="Q15" s="1810" t="str">
        <f t="shared" si="6"/>
        <v>产业集聚程度</v>
      </c>
      <c r="R15" s="774" t="s">
        <v>17</v>
      </c>
      <c r="S15" s="775">
        <f t="shared" si="0"/>
        <v>100</v>
      </c>
      <c r="T15" s="774" t="s">
        <v>17</v>
      </c>
      <c r="U15" s="775">
        <f t="shared" si="1"/>
        <v>100</v>
      </c>
      <c r="V15" s="774" t="s">
        <v>17</v>
      </c>
      <c r="W15" s="775">
        <f t="shared" si="2"/>
        <v>100</v>
      </c>
      <c r="X15" s="1813"/>
      <c r="Y15" s="3219" t="s">
        <v>2559</v>
      </c>
      <c r="Z15" s="1814" t="str">
        <f t="shared" si="7"/>
        <v>产业集聚程度</v>
      </c>
      <c r="AA15" s="1811">
        <f t="shared" si="3"/>
        <v>1</v>
      </c>
      <c r="AB15" s="1811">
        <f t="shared" si="4"/>
        <v>1</v>
      </c>
      <c r="AC15" s="1811">
        <f t="shared" si="5"/>
        <v>1</v>
      </c>
    </row>
    <row r="16" spans="1:29" ht="16">
      <c r="A16" s="428"/>
      <c r="B16" s="630"/>
      <c r="C16" s="447"/>
      <c r="D16" s="448"/>
      <c r="E16" s="2609"/>
      <c r="F16" s="448"/>
      <c r="G16" s="2609"/>
      <c r="H16" s="450"/>
      <c r="I16" s="2609"/>
      <c r="J16" s="448"/>
      <c r="K16" s="672"/>
      <c r="L16" s="1140"/>
      <c r="M16" s="1131"/>
      <c r="N16" s="1131"/>
      <c r="O16" s="1139"/>
      <c r="P16" s="3220"/>
      <c r="Q16" s="1810"/>
      <c r="R16" s="774"/>
      <c r="S16" s="775"/>
      <c r="T16" s="774"/>
      <c r="U16" s="775"/>
      <c r="V16" s="774"/>
      <c r="W16" s="775"/>
      <c r="X16" s="1813"/>
      <c r="Y16" s="3220"/>
      <c r="Z16" s="1814"/>
      <c r="AA16" s="1811">
        <v>1</v>
      </c>
      <c r="AB16" s="1811">
        <v>1</v>
      </c>
      <c r="AC16" s="1811">
        <v>1</v>
      </c>
    </row>
    <row r="17" spans="1:29" ht="90">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0"/>
      <c r="Q17" s="1810" t="str">
        <f>B17</f>
        <v>交通便捷度</v>
      </c>
      <c r="R17" s="774" t="s">
        <v>17</v>
      </c>
      <c r="S17" s="775">
        <f>F17</f>
        <v>100</v>
      </c>
      <c r="T17" s="774" t="s">
        <v>17</v>
      </c>
      <c r="U17" s="775">
        <f>H17</f>
        <v>100</v>
      </c>
      <c r="V17" s="774" t="s">
        <v>17</v>
      </c>
      <c r="W17" s="775">
        <f>J17</f>
        <v>100</v>
      </c>
      <c r="X17" s="1813"/>
      <c r="Y17" s="3220"/>
      <c r="Z17" s="1814" t="str">
        <f>Q17</f>
        <v>交通便捷度</v>
      </c>
      <c r="AA17" s="1811">
        <f t="shared" si="3"/>
        <v>1</v>
      </c>
      <c r="AB17" s="1811">
        <f t="shared" si="4"/>
        <v>1</v>
      </c>
      <c r="AC17" s="1811">
        <f t="shared" si="5"/>
        <v>1</v>
      </c>
    </row>
    <row r="18" spans="1:29" ht="16">
      <c r="A18" s="428"/>
      <c r="B18" s="632"/>
      <c r="C18" s="447"/>
      <c r="D18" s="448"/>
      <c r="E18" s="2603"/>
      <c r="F18" s="448"/>
      <c r="G18" s="2603"/>
      <c r="H18" s="448"/>
      <c r="I18" s="2602"/>
      <c r="J18" s="448"/>
      <c r="K18" s="672"/>
      <c r="L18" s="1140"/>
      <c r="M18" s="1131"/>
      <c r="N18" s="1131"/>
      <c r="O18" s="1139"/>
      <c r="P18" s="3220"/>
      <c r="Q18" s="1810"/>
      <c r="R18" s="774"/>
      <c r="S18" s="775"/>
      <c r="T18" s="774"/>
      <c r="U18" s="775"/>
      <c r="V18" s="774"/>
      <c r="W18" s="775"/>
      <c r="X18" s="1813"/>
      <c r="Y18" s="3220"/>
      <c r="Z18" s="1814"/>
      <c r="AA18" s="1811">
        <v>1</v>
      </c>
      <c r="AB18" s="1811">
        <v>1</v>
      </c>
      <c r="AC18" s="1811">
        <v>1</v>
      </c>
    </row>
    <row r="19" spans="1:29" ht="16">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0"/>
      <c r="Q19" s="1810" t="str">
        <f t="shared" ref="Q19:Q33" si="8">B19</f>
        <v>区域土地利用方向</v>
      </c>
      <c r="R19" s="774" t="s">
        <v>17</v>
      </c>
      <c r="S19" s="775">
        <f>F19</f>
        <v>100</v>
      </c>
      <c r="T19" s="774" t="s">
        <v>17</v>
      </c>
      <c r="U19" s="775">
        <f>H19</f>
        <v>100</v>
      </c>
      <c r="V19" s="774" t="s">
        <v>17</v>
      </c>
      <c r="W19" s="775">
        <f>J19</f>
        <v>100</v>
      </c>
      <c r="X19" s="1813"/>
      <c r="Y19" s="3220"/>
      <c r="Z19" s="1814" t="str">
        <f>Q19</f>
        <v>区域土地利用方向</v>
      </c>
      <c r="AA19" s="1811">
        <f t="shared" si="3"/>
        <v>1</v>
      </c>
      <c r="AB19" s="1811">
        <f t="shared" si="4"/>
        <v>1</v>
      </c>
      <c r="AC19" s="1811">
        <f t="shared" si="5"/>
        <v>1</v>
      </c>
    </row>
    <row r="20" spans="1:29" ht="16">
      <c r="A20" s="404"/>
      <c r="B20" s="632"/>
      <c r="C20" s="447"/>
      <c r="D20" s="448"/>
      <c r="E20" s="2603"/>
      <c r="F20" s="448"/>
      <c r="G20" s="2603"/>
      <c r="H20" s="448"/>
      <c r="I20" s="2603"/>
      <c r="J20" s="448"/>
      <c r="K20" s="812"/>
      <c r="L20" s="1140"/>
      <c r="M20" s="1131"/>
      <c r="N20" s="1131"/>
      <c r="O20" s="1139"/>
      <c r="P20" s="3220"/>
      <c r="Q20" s="1810"/>
      <c r="R20" s="774"/>
      <c r="S20" s="775"/>
      <c r="T20" s="774"/>
      <c r="U20" s="775"/>
      <c r="V20" s="774"/>
      <c r="W20" s="775"/>
      <c r="X20" s="1813"/>
      <c r="Y20" s="3220"/>
      <c r="Z20" s="1814"/>
      <c r="AA20" s="1811"/>
      <c r="AB20" s="1811"/>
      <c r="AC20" s="1811"/>
    </row>
    <row r="21" spans="1:29" ht="75">
      <c r="A21" s="404"/>
      <c r="B21" s="631" t="s">
        <v>2797</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0"/>
      <c r="Q21" s="1810" t="str">
        <f t="shared" si="8"/>
        <v>环境状况</v>
      </c>
      <c r="R21" s="774" t="s">
        <v>17</v>
      </c>
      <c r="S21" s="775">
        <f>F21</f>
        <v>100</v>
      </c>
      <c r="T21" s="774" t="s">
        <v>17</v>
      </c>
      <c r="U21" s="775">
        <f>H21</f>
        <v>100</v>
      </c>
      <c r="V21" s="774" t="s">
        <v>17</v>
      </c>
      <c r="W21" s="775">
        <f>J21</f>
        <v>100</v>
      </c>
      <c r="X21" s="1813"/>
      <c r="Y21" s="3220"/>
      <c r="Z21" s="1814" t="str">
        <f>Q21</f>
        <v>环境状况</v>
      </c>
      <c r="AA21" s="1811">
        <f t="shared" si="3"/>
        <v>1</v>
      </c>
      <c r="AB21" s="1811">
        <f t="shared" si="4"/>
        <v>1</v>
      </c>
      <c r="AC21" s="1811">
        <f t="shared" si="5"/>
        <v>1</v>
      </c>
    </row>
    <row r="22" spans="1:29" ht="16">
      <c r="A22" s="404"/>
      <c r="B22" s="632"/>
      <c r="C22" s="447"/>
      <c r="D22" s="448"/>
      <c r="E22" s="2609"/>
      <c r="F22" s="448"/>
      <c r="G22" s="2609"/>
      <c r="H22" s="448"/>
      <c r="I22" s="447"/>
      <c r="J22" s="448"/>
      <c r="K22" s="672"/>
      <c r="L22" s="1140"/>
      <c r="M22" s="1131"/>
      <c r="N22" s="1131"/>
      <c r="O22" s="1139"/>
      <c r="P22" s="3220"/>
      <c r="Q22" s="1810"/>
      <c r="R22" s="774"/>
      <c r="S22" s="775"/>
      <c r="T22" s="774"/>
      <c r="U22" s="775"/>
      <c r="V22" s="774"/>
      <c r="W22" s="775"/>
      <c r="X22" s="1813"/>
      <c r="Y22" s="3220"/>
      <c r="Z22" s="1814"/>
      <c r="AA22" s="1811">
        <v>1</v>
      </c>
      <c r="AB22" s="1811">
        <v>1</v>
      </c>
      <c r="AC22" s="1811">
        <v>1</v>
      </c>
    </row>
    <row r="23" spans="1:29" s="117" customFormat="1" ht="45">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0"/>
      <c r="Q23" s="1795" t="str">
        <f t="shared" si="8"/>
        <v>公共配套设施</v>
      </c>
      <c r="R23" s="770" t="s">
        <v>17</v>
      </c>
      <c r="S23" s="771">
        <f>F23</f>
        <v>100</v>
      </c>
      <c r="T23" s="770" t="s">
        <v>17</v>
      </c>
      <c r="U23" s="771">
        <f>H23</f>
        <v>100</v>
      </c>
      <c r="V23" s="770" t="s">
        <v>17</v>
      </c>
      <c r="W23" s="771">
        <f>J23</f>
        <v>100</v>
      </c>
      <c r="X23" s="772"/>
      <c r="Y23" s="3220"/>
      <c r="Z23" s="55" t="str">
        <f>Q23</f>
        <v>公共配套设施</v>
      </c>
      <c r="AA23" s="1811">
        <f>D23/F23</f>
        <v>1</v>
      </c>
      <c r="AB23" s="1811">
        <f>D23/H23</f>
        <v>1</v>
      </c>
      <c r="AC23" s="1811">
        <f>D23/J23</f>
        <v>1</v>
      </c>
    </row>
    <row r="24" spans="1:29" s="117" customFormat="1" ht="16">
      <c r="A24" s="649"/>
      <c r="B24" s="632"/>
      <c r="C24" s="2698"/>
      <c r="D24" s="448"/>
      <c r="E24" s="2609"/>
      <c r="F24" s="448"/>
      <c r="G24" s="2609"/>
      <c r="H24" s="448"/>
      <c r="I24" s="447"/>
      <c r="J24" s="448"/>
      <c r="K24" s="672"/>
      <c r="L24" s="1132"/>
      <c r="M24" s="1133"/>
      <c r="N24" s="1133"/>
      <c r="O24" s="1134"/>
      <c r="P24" s="3220"/>
      <c r="Q24" s="1795"/>
      <c r="R24" s="770"/>
      <c r="S24" s="771"/>
      <c r="T24" s="770"/>
      <c r="U24" s="771"/>
      <c r="V24" s="770"/>
      <c r="W24" s="771"/>
      <c r="X24" s="772"/>
      <c r="Y24" s="3220"/>
      <c r="Z24" s="55"/>
      <c r="AA24" s="773">
        <v>1</v>
      </c>
      <c r="AB24" s="773">
        <v>1</v>
      </c>
      <c r="AC24" s="773">
        <v>1</v>
      </c>
    </row>
    <row r="25" spans="1:29" s="117" customFormat="1" ht="30">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0"/>
      <c r="Q25" s="1795" t="str">
        <f>B25</f>
        <v>基础设施水平</v>
      </c>
      <c r="R25" s="770" t="s">
        <v>17</v>
      </c>
      <c r="S25" s="771">
        <f>F25</f>
        <v>100</v>
      </c>
      <c r="T25" s="770" t="s">
        <v>17</v>
      </c>
      <c r="U25" s="771">
        <f>H25</f>
        <v>100</v>
      </c>
      <c r="V25" s="770" t="s">
        <v>17</v>
      </c>
      <c r="W25" s="771">
        <f>J25</f>
        <v>100</v>
      </c>
      <c r="X25" s="772"/>
      <c r="Y25" s="3220"/>
      <c r="Z25" s="55" t="str">
        <f>Q25</f>
        <v>基础设施水平</v>
      </c>
      <c r="AA25" s="1811">
        <f>D25/F25</f>
        <v>1</v>
      </c>
      <c r="AB25" s="1811">
        <f>D25/H25</f>
        <v>1</v>
      </c>
      <c r="AC25" s="1811">
        <f>D25/J25</f>
        <v>1</v>
      </c>
    </row>
    <row r="26" spans="1:29" s="117" customFormat="1" ht="16">
      <c r="A26" s="649"/>
      <c r="B26" s="632"/>
      <c r="C26" s="2698"/>
      <c r="D26" s="448"/>
      <c r="E26" s="2699"/>
      <c r="F26" s="448"/>
      <c r="G26" s="2699"/>
      <c r="H26" s="448"/>
      <c r="I26" s="2699"/>
      <c r="J26" s="448"/>
      <c r="K26" s="672"/>
      <c r="L26" s="1132"/>
      <c r="M26" s="1133"/>
      <c r="N26" s="1133"/>
      <c r="O26" s="1134"/>
      <c r="P26" s="3220"/>
      <c r="Q26" s="1795"/>
      <c r="R26" s="770"/>
      <c r="S26" s="771"/>
      <c r="T26" s="770"/>
      <c r="U26" s="771"/>
      <c r="V26" s="770"/>
      <c r="W26" s="771"/>
      <c r="X26" s="772"/>
      <c r="Y26" s="3220"/>
      <c r="Z26" s="55"/>
      <c r="AA26" s="773">
        <v>1</v>
      </c>
      <c r="AB26" s="773">
        <v>1</v>
      </c>
      <c r="AC26" s="773">
        <v>1</v>
      </c>
    </row>
    <row r="27" spans="1:29" ht="16">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0"/>
      <c r="Q27" s="1810" t="str">
        <f t="shared" si="8"/>
        <v>临街状况</v>
      </c>
      <c r="R27" s="774" t="s">
        <v>17</v>
      </c>
      <c r="S27" s="775">
        <f t="shared" ref="S27:S40" si="9">F27</f>
        <v>100</v>
      </c>
      <c r="T27" s="774" t="s">
        <v>17</v>
      </c>
      <c r="U27" s="775">
        <f t="shared" ref="U27:U40" si="10">H27</f>
        <v>100</v>
      </c>
      <c r="V27" s="774" t="s">
        <v>17</v>
      </c>
      <c r="W27" s="775">
        <f t="shared" ref="W27:W40" si="11">J27</f>
        <v>100</v>
      </c>
      <c r="X27" s="1813"/>
      <c r="Y27" s="3220"/>
      <c r="Z27" s="1814" t="str">
        <f t="shared" ref="Z27:Z40" si="12">Q27</f>
        <v>临街状况</v>
      </c>
      <c r="AA27" s="1811">
        <f t="shared" si="3"/>
        <v>1</v>
      </c>
      <c r="AB27" s="1811">
        <f t="shared" si="4"/>
        <v>1</v>
      </c>
      <c r="AC27" s="1811">
        <f t="shared" si="5"/>
        <v>1</v>
      </c>
    </row>
    <row r="28" spans="1:29" ht="30">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0"/>
      <c r="Q28" s="1810" t="str">
        <f t="shared" si="8"/>
        <v>毗邻道路的类型与等级</v>
      </c>
      <c r="R28" s="774" t="s">
        <v>17</v>
      </c>
      <c r="S28" s="775">
        <f t="shared" si="9"/>
        <v>100</v>
      </c>
      <c r="T28" s="774" t="s">
        <v>17</v>
      </c>
      <c r="U28" s="775">
        <f t="shared" si="10"/>
        <v>100</v>
      </c>
      <c r="V28" s="774" t="s">
        <v>17</v>
      </c>
      <c r="W28" s="775">
        <f t="shared" si="11"/>
        <v>100</v>
      </c>
      <c r="X28" s="1813"/>
      <c r="Y28" s="3220"/>
      <c r="Z28" s="1814" t="str">
        <f t="shared" si="12"/>
        <v>毗邻道路的类型与等级</v>
      </c>
      <c r="AA28" s="1811">
        <f t="shared" si="3"/>
        <v>1</v>
      </c>
      <c r="AB28" s="1811">
        <f t="shared" si="4"/>
        <v>1</v>
      </c>
      <c r="AC28" s="1811">
        <f t="shared" si="5"/>
        <v>1</v>
      </c>
    </row>
    <row r="29" spans="1:29" ht="16">
      <c r="A29" s="428"/>
      <c r="B29" s="632"/>
      <c r="C29" s="447"/>
      <c r="D29" s="448"/>
      <c r="E29" s="2609"/>
      <c r="F29" s="448"/>
      <c r="G29" s="2609"/>
      <c r="H29" s="448"/>
      <c r="I29" s="2609"/>
      <c r="J29" s="448"/>
      <c r="K29" s="613"/>
      <c r="L29" s="1140"/>
      <c r="M29" s="1131"/>
      <c r="N29" s="1131"/>
      <c r="O29" s="1139"/>
      <c r="P29" s="3220"/>
      <c r="Q29" s="1810"/>
      <c r="R29" s="774"/>
      <c r="S29" s="775"/>
      <c r="T29" s="774"/>
      <c r="U29" s="775"/>
      <c r="V29" s="774"/>
      <c r="W29" s="775"/>
      <c r="X29" s="1813"/>
      <c r="Y29" s="3220"/>
      <c r="Z29" s="1814"/>
      <c r="AA29" s="1811">
        <v>1</v>
      </c>
      <c r="AB29" s="1811">
        <v>1</v>
      </c>
      <c r="AC29" s="1811">
        <v>1</v>
      </c>
    </row>
    <row r="30" spans="1:29" ht="16">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0"/>
      <c r="Q30" s="1810" t="str">
        <f t="shared" si="8"/>
        <v>土地级别</v>
      </c>
      <c r="R30" s="774" t="s">
        <v>17</v>
      </c>
      <c r="S30" s="775">
        <f t="shared" si="9"/>
        <v>100</v>
      </c>
      <c r="T30" s="774" t="s">
        <v>17</v>
      </c>
      <c r="U30" s="775">
        <f t="shared" si="10"/>
        <v>100</v>
      </c>
      <c r="V30" s="774" t="s">
        <v>17</v>
      </c>
      <c r="W30" s="775">
        <f t="shared" si="11"/>
        <v>100</v>
      </c>
      <c r="X30" s="1813"/>
      <c r="Y30" s="3220"/>
      <c r="Z30" s="1814" t="str">
        <f t="shared" si="12"/>
        <v>土地级别</v>
      </c>
      <c r="AA30" s="1811">
        <f t="shared" si="3"/>
        <v>1</v>
      </c>
      <c r="AB30" s="1811">
        <f t="shared" si="4"/>
        <v>1</v>
      </c>
      <c r="AC30" s="1811">
        <f t="shared" si="5"/>
        <v>1</v>
      </c>
    </row>
    <row r="31" spans="1:29" ht="16">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0"/>
      <c r="Q31" s="1810">
        <f t="shared" si="8"/>
        <v>111</v>
      </c>
      <c r="R31" s="774" t="s">
        <v>17</v>
      </c>
      <c r="S31" s="775">
        <f t="shared" si="9"/>
        <v>100</v>
      </c>
      <c r="T31" s="774" t="s">
        <v>17</v>
      </c>
      <c r="U31" s="775">
        <f t="shared" si="10"/>
        <v>100</v>
      </c>
      <c r="V31" s="774" t="s">
        <v>17</v>
      </c>
      <c r="W31" s="775">
        <f t="shared" si="11"/>
        <v>100</v>
      </c>
      <c r="X31" s="1813"/>
      <c r="Y31" s="3220"/>
      <c r="Z31" s="1814">
        <f t="shared" si="12"/>
        <v>111</v>
      </c>
      <c r="AA31" s="1811">
        <f t="shared" si="3"/>
        <v>1</v>
      </c>
      <c r="AB31" s="1811">
        <f t="shared" si="4"/>
        <v>1</v>
      </c>
      <c r="AC31" s="1811">
        <f t="shared" si="5"/>
        <v>1</v>
      </c>
    </row>
    <row r="32" spans="1:29" ht="16">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0" t="s">
        <v>2564</v>
      </c>
      <c r="Q32" s="1810">
        <f t="shared" si="8"/>
        <v>111</v>
      </c>
      <c r="R32" s="774" t="s">
        <v>17</v>
      </c>
      <c r="S32" s="775">
        <f t="shared" si="9"/>
        <v>100</v>
      </c>
      <c r="T32" s="774" t="s">
        <v>17</v>
      </c>
      <c r="U32" s="775">
        <f t="shared" si="10"/>
        <v>100</v>
      </c>
      <c r="V32" s="774" t="s">
        <v>17</v>
      </c>
      <c r="W32" s="775">
        <f t="shared" si="11"/>
        <v>100</v>
      </c>
      <c r="X32" s="1813"/>
      <c r="Y32" s="3224" t="s">
        <v>2564</v>
      </c>
      <c r="Z32" s="1814">
        <f t="shared" si="12"/>
        <v>111</v>
      </c>
      <c r="AA32" s="1811">
        <f t="shared" si="3"/>
        <v>1</v>
      </c>
      <c r="AB32" s="1811">
        <f t="shared" si="4"/>
        <v>1</v>
      </c>
      <c r="AC32" s="1811">
        <f t="shared" si="5"/>
        <v>1</v>
      </c>
    </row>
    <row r="33" spans="1:29" s="471" customFormat="1" ht="17"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4"/>
      <c r="Q33" s="1810">
        <f t="shared" si="8"/>
        <v>111</v>
      </c>
      <c r="R33" s="777" t="s">
        <v>17</v>
      </c>
      <c r="S33" s="778">
        <f t="shared" si="9"/>
        <v>100</v>
      </c>
      <c r="T33" s="777" t="s">
        <v>17</v>
      </c>
      <c r="U33" s="778">
        <f t="shared" si="10"/>
        <v>100</v>
      </c>
      <c r="V33" s="777" t="s">
        <v>17</v>
      </c>
      <c r="W33" s="778">
        <f t="shared" si="11"/>
        <v>100</v>
      </c>
      <c r="X33" s="779"/>
      <c r="Y33" s="3224"/>
      <c r="Z33" s="780">
        <f t="shared" si="12"/>
        <v>111</v>
      </c>
      <c r="AA33" s="1811">
        <f t="shared" si="3"/>
        <v>1</v>
      </c>
      <c r="AB33" s="1811">
        <f t="shared" si="4"/>
        <v>1</v>
      </c>
      <c r="AC33" s="1811">
        <f t="shared" si="5"/>
        <v>1</v>
      </c>
    </row>
    <row r="34" spans="1:29" ht="16">
      <c r="A34" s="440" t="s">
        <v>2562</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4"/>
      <c r="Q34" s="1810" t="str">
        <f>B34</f>
        <v>宗地面积</v>
      </c>
      <c r="R34" s="774" t="s">
        <v>17</v>
      </c>
      <c r="S34" s="775" t="e">
        <f t="shared" si="9"/>
        <v>#N/A</v>
      </c>
      <c r="T34" s="774" t="s">
        <v>17</v>
      </c>
      <c r="U34" s="775" t="e">
        <f t="shared" si="10"/>
        <v>#N/A</v>
      </c>
      <c r="V34" s="774" t="s">
        <v>17</v>
      </c>
      <c r="W34" s="775" t="e">
        <f t="shared" si="11"/>
        <v>#N/A</v>
      </c>
      <c r="X34" s="1813"/>
      <c r="Y34" s="3224"/>
      <c r="Z34" s="1814" t="str">
        <f t="shared" si="12"/>
        <v>宗地面积</v>
      </c>
      <c r="AA34" s="1811" t="e">
        <f t="shared" si="3"/>
        <v>#N/A</v>
      </c>
      <c r="AB34" s="1811" t="e">
        <f t="shared" si="4"/>
        <v>#N/A</v>
      </c>
      <c r="AC34" s="1811" t="e">
        <f t="shared" si="5"/>
        <v>#N/A</v>
      </c>
    </row>
    <row r="35" spans="1:29" ht="16">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24"/>
      <c r="Q35" s="1810" t="str">
        <f t="shared" ref="Q35:Q40" si="13">B35</f>
        <v>宗地形状</v>
      </c>
      <c r="R35" s="774" t="s">
        <v>17</v>
      </c>
      <c r="S35" s="775">
        <f t="shared" si="9"/>
        <v>100</v>
      </c>
      <c r="T35" s="774" t="s">
        <v>17</v>
      </c>
      <c r="U35" s="775">
        <f t="shared" si="10"/>
        <v>100</v>
      </c>
      <c r="V35" s="774" t="s">
        <v>17</v>
      </c>
      <c r="W35" s="775">
        <f t="shared" si="11"/>
        <v>100</v>
      </c>
      <c r="X35" s="1813"/>
      <c r="Y35" s="3224"/>
      <c r="Z35" s="1814" t="str">
        <f t="shared" si="12"/>
        <v>宗地形状</v>
      </c>
      <c r="AA35" s="1811">
        <f t="shared" si="3"/>
        <v>1</v>
      </c>
      <c r="AB35" s="1811">
        <f t="shared" si="4"/>
        <v>1</v>
      </c>
      <c r="AC35" s="1811">
        <f t="shared" si="5"/>
        <v>1</v>
      </c>
    </row>
    <row r="36" spans="1:29" s="117" customFormat="1" ht="16">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24"/>
      <c r="Q36" s="1810" t="str">
        <f t="shared" si="13"/>
        <v>宗地开发程度</v>
      </c>
      <c r="R36" s="770" t="s">
        <v>17</v>
      </c>
      <c r="S36" s="771">
        <f t="shared" si="9"/>
        <v>100</v>
      </c>
      <c r="T36" s="770" t="s">
        <v>17</v>
      </c>
      <c r="U36" s="771">
        <f t="shared" si="10"/>
        <v>100</v>
      </c>
      <c r="V36" s="770" t="s">
        <v>17</v>
      </c>
      <c r="W36" s="771">
        <f t="shared" si="11"/>
        <v>100</v>
      </c>
      <c r="X36" s="772"/>
      <c r="Y36" s="3224"/>
      <c r="Z36" s="55" t="str">
        <f t="shared" si="12"/>
        <v>宗地开发程度</v>
      </c>
      <c r="AA36" s="773">
        <f t="shared" si="3"/>
        <v>1</v>
      </c>
      <c r="AB36" s="773">
        <f t="shared" si="4"/>
        <v>1</v>
      </c>
      <c r="AC36" s="773">
        <f t="shared" si="5"/>
        <v>1</v>
      </c>
    </row>
    <row r="37" spans="1:29" ht="16">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24" t="s">
        <v>2564</v>
      </c>
      <c r="Q37" s="1810" t="str">
        <f t="shared" si="13"/>
        <v>工程地质条件</v>
      </c>
      <c r="R37" s="774" t="s">
        <v>17</v>
      </c>
      <c r="S37" s="775">
        <f t="shared" si="9"/>
        <v>100</v>
      </c>
      <c r="T37" s="774" t="s">
        <v>17</v>
      </c>
      <c r="U37" s="775">
        <f t="shared" si="10"/>
        <v>100</v>
      </c>
      <c r="V37" s="774" t="s">
        <v>17</v>
      </c>
      <c r="W37" s="775">
        <f t="shared" si="11"/>
        <v>100</v>
      </c>
      <c r="X37" s="1813"/>
      <c r="Y37" s="3224" t="s">
        <v>2564</v>
      </c>
      <c r="Z37" s="1814" t="str">
        <f t="shared" si="12"/>
        <v>工程地质条件</v>
      </c>
      <c r="AA37" s="1811">
        <f t="shared" si="3"/>
        <v>1</v>
      </c>
      <c r="AB37" s="1811">
        <f t="shared" si="4"/>
        <v>1</v>
      </c>
      <c r="AC37" s="1811">
        <f t="shared" si="5"/>
        <v>1</v>
      </c>
    </row>
    <row r="38" spans="1:29" ht="16">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4"/>
      <c r="Q38" s="1810">
        <f t="shared" si="13"/>
        <v>111</v>
      </c>
      <c r="R38" s="774" t="s">
        <v>17</v>
      </c>
      <c r="S38" s="775">
        <f t="shared" si="9"/>
        <v>100</v>
      </c>
      <c r="T38" s="774" t="s">
        <v>17</v>
      </c>
      <c r="U38" s="775">
        <f t="shared" si="10"/>
        <v>100</v>
      </c>
      <c r="V38" s="774" t="s">
        <v>17</v>
      </c>
      <c r="W38" s="775">
        <f t="shared" si="11"/>
        <v>100</v>
      </c>
      <c r="X38" s="1813"/>
      <c r="Y38" s="3224"/>
      <c r="Z38" s="1814">
        <f t="shared" si="12"/>
        <v>111</v>
      </c>
      <c r="AA38" s="1811">
        <f t="shared" si="3"/>
        <v>1</v>
      </c>
      <c r="AB38" s="1811">
        <f t="shared" si="4"/>
        <v>1</v>
      </c>
      <c r="AC38" s="1811">
        <f t="shared" si="5"/>
        <v>1</v>
      </c>
    </row>
    <row r="39" spans="1:29" ht="16">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4"/>
      <c r="Q39" s="1810">
        <f t="shared" si="13"/>
        <v>111</v>
      </c>
      <c r="R39" s="774" t="s">
        <v>17</v>
      </c>
      <c r="S39" s="775">
        <f t="shared" si="9"/>
        <v>100</v>
      </c>
      <c r="T39" s="774" t="s">
        <v>17</v>
      </c>
      <c r="U39" s="775">
        <f t="shared" si="10"/>
        <v>100</v>
      </c>
      <c r="V39" s="774" t="s">
        <v>17</v>
      </c>
      <c r="W39" s="775">
        <f t="shared" si="11"/>
        <v>100</v>
      </c>
      <c r="X39" s="1813"/>
      <c r="Y39" s="3224"/>
      <c r="Z39" s="1814">
        <f t="shared" si="12"/>
        <v>111</v>
      </c>
      <c r="AA39" s="1811">
        <f t="shared" si="3"/>
        <v>1</v>
      </c>
      <c r="AB39" s="1811">
        <f t="shared" si="4"/>
        <v>1</v>
      </c>
      <c r="AC39" s="1811">
        <f t="shared" si="5"/>
        <v>1</v>
      </c>
    </row>
    <row r="40" spans="1:29" s="471" customFormat="1" ht="17"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4"/>
      <c r="Q40" s="1810">
        <f t="shared" si="13"/>
        <v>111</v>
      </c>
      <c r="R40" s="777" t="s">
        <v>17</v>
      </c>
      <c r="S40" s="778">
        <f t="shared" si="9"/>
        <v>100</v>
      </c>
      <c r="T40" s="777" t="s">
        <v>17</v>
      </c>
      <c r="U40" s="778">
        <f t="shared" si="10"/>
        <v>100</v>
      </c>
      <c r="V40" s="777" t="s">
        <v>17</v>
      </c>
      <c r="W40" s="778">
        <f t="shared" si="11"/>
        <v>100</v>
      </c>
      <c r="X40" s="779"/>
      <c r="Y40" s="3224"/>
      <c r="Z40" s="780">
        <f t="shared" si="12"/>
        <v>111</v>
      </c>
      <c r="AA40" s="1811">
        <f t="shared" si="3"/>
        <v>1</v>
      </c>
      <c r="AB40" s="1811">
        <f t="shared" si="4"/>
        <v>1</v>
      </c>
      <c r="AC40" s="1811">
        <f t="shared" si="5"/>
        <v>1</v>
      </c>
    </row>
    <row r="41" spans="1:29" ht="15">
      <c r="A41" s="479" t="s">
        <v>2718</v>
      </c>
      <c r="B41" s="2702" t="s">
        <v>2798</v>
      </c>
      <c r="C41" s="682" t="s">
        <v>1</v>
      </c>
      <c r="D41" s="481"/>
      <c r="E41" s="482"/>
      <c r="F41" s="483"/>
      <c r="G41" s="484"/>
      <c r="H41" s="485"/>
      <c r="I41" s="482"/>
      <c r="J41" s="485"/>
      <c r="K41" s="783"/>
      <c r="L41" s="1143"/>
      <c r="M41" s="1131"/>
      <c r="N41" s="1131"/>
      <c r="O41" s="1144"/>
      <c r="P41" s="3217" t="str">
        <f>A41</f>
        <v>成交单价</v>
      </c>
      <c r="Q41" s="3217"/>
      <c r="R41" s="3248">
        <f>E41</f>
        <v>0</v>
      </c>
      <c r="S41" s="3248"/>
      <c r="T41" s="3248">
        <f>G41</f>
        <v>0</v>
      </c>
      <c r="U41" s="3248"/>
      <c r="V41" s="3248">
        <f>I41</f>
        <v>0</v>
      </c>
      <c r="W41" s="3248"/>
      <c r="X41" s="759"/>
      <c r="Y41" s="781"/>
      <c r="Z41" s="759"/>
      <c r="AA41" s="759"/>
      <c r="AB41" s="759"/>
      <c r="AC41" s="759"/>
    </row>
    <row r="42" spans="1:29" ht="1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17" t="str">
        <f>A42</f>
        <v>比较价值（元/平方米）</v>
      </c>
      <c r="Q42" s="3217"/>
      <c r="R42" s="3281" t="e">
        <f>ROUND(PRODUCT(R41,AA7:AA40),0)</f>
        <v>#DIV/0!</v>
      </c>
      <c r="S42" s="3281"/>
      <c r="T42" s="3281" t="e">
        <f>ROUND(PRODUCT(T41,AB7:AB40),0)</f>
        <v>#DIV/0!</v>
      </c>
      <c r="U42" s="3281"/>
      <c r="V42" s="3281" t="e">
        <f>ROUND(PRODUCT(V41,AC7:AC40),0)</f>
        <v>#DIV/0!</v>
      </c>
      <c r="W42" s="3281"/>
      <c r="X42" s="759"/>
      <c r="Y42" s="759"/>
      <c r="Z42" s="759"/>
      <c r="AA42" s="759"/>
      <c r="AB42" s="759"/>
      <c r="AC42" s="759"/>
    </row>
    <row r="43" spans="1:29" ht="15" thickBot="1">
      <c r="A43" s="492" t="s">
        <v>2668</v>
      </c>
      <c r="B43" s="493"/>
      <c r="C43" s="494" t="e">
        <f>R43</f>
        <v>#DIV/0!</v>
      </c>
      <c r="D43" s="494"/>
      <c r="E43" s="494"/>
      <c r="F43" s="494"/>
      <c r="G43" s="494"/>
      <c r="H43" s="494"/>
      <c r="I43" s="494"/>
      <c r="J43" s="494"/>
      <c r="K43" s="785"/>
      <c r="L43" s="1143"/>
      <c r="M43" s="1131"/>
      <c r="N43" s="1131"/>
      <c r="O43" s="1144"/>
      <c r="P43" s="3214" t="str">
        <f>A43</f>
        <v>估价对象XX用房的比较价值（楼面单价，元/平方米）</v>
      </c>
      <c r="Q43" s="3215"/>
      <c r="R43" s="3282" t="e">
        <f>ROUND(AVERAGE(R42:V42),0)</f>
        <v>#DIV/0!</v>
      </c>
      <c r="S43" s="3282"/>
      <c r="T43" s="3282"/>
      <c r="U43" s="3282"/>
      <c r="V43" s="3282"/>
      <c r="W43" s="328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30">
      <c r="A50" s="684" t="s">
        <v>2756</v>
      </c>
      <c r="B50" s="685" t="s">
        <v>2757</v>
      </c>
      <c r="C50" s="2703" t="s">
        <v>2758</v>
      </c>
      <c r="D50" s="2704" t="s">
        <v>2759</v>
      </c>
      <c r="E50" s="686" t="s">
        <v>2760</v>
      </c>
      <c r="F50" s="687" t="s">
        <v>2761</v>
      </c>
      <c r="G50" s="3232" t="s">
        <v>2762</v>
      </c>
      <c r="H50" s="3283"/>
      <c r="I50" s="1814" t="s">
        <v>2799</v>
      </c>
      <c r="J50" s="1814">
        <f>项目基本情况!F35</f>
        <v>0</v>
      </c>
      <c r="K50" s="2706" t="s">
        <v>2764</v>
      </c>
      <c r="L50" s="1106"/>
      <c r="M50" s="1144"/>
      <c r="N50" s="1144"/>
      <c r="O50" s="1144"/>
    </row>
    <row r="51" spans="1:17" s="692" customFormat="1">
      <c r="A51" s="688" t="s">
        <v>2765</v>
      </c>
      <c r="B51" s="689" t="e">
        <f>C43</f>
        <v>#DIV/0!</v>
      </c>
      <c r="C51" s="690">
        <v>1</v>
      </c>
      <c r="D51" s="1163">
        <v>1</v>
      </c>
      <c r="E51" s="690">
        <f>'数据-汇总表'!E8+'数据-汇总表'!E9</f>
        <v>86971.4</v>
      </c>
      <c r="F51" s="691" t="e">
        <f t="shared" ref="F51:F60" si="14">ROUND(B51*E51/10000,0)</f>
        <v>#DIV/0!</v>
      </c>
      <c r="G51" s="3228"/>
      <c r="H51" s="3217"/>
      <c r="I51" s="942">
        <v>1</v>
      </c>
      <c r="J51" s="942">
        <v>1</v>
      </c>
      <c r="K51" s="1145"/>
      <c r="L51" s="941"/>
      <c r="M51" s="941"/>
      <c r="N51" s="941"/>
      <c r="O51" s="941"/>
    </row>
    <row r="52" spans="1:17" s="692" customFormat="1">
      <c r="A52" s="693" t="s">
        <v>2766</v>
      </c>
      <c r="B52" s="262" t="e">
        <f>ROUND($C$43*C52*D52,0)</f>
        <v>#DIV/0!</v>
      </c>
      <c r="C52" s="200">
        <f t="shared" ref="C52:C60" si="15">IF($C$50="北京市系数",I52,J52)</f>
        <v>0</v>
      </c>
      <c r="D52" s="1164">
        <v>0.25</v>
      </c>
      <c r="E52" s="694"/>
      <c r="F52" s="691" t="e">
        <f t="shared" si="14"/>
        <v>#DIV/0!</v>
      </c>
      <c r="G52" s="3284"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6">ROUND($C$43*C53*D53,0)</f>
        <v>#DIV/0!</v>
      </c>
      <c r="C53" s="200">
        <f t="shared" si="15"/>
        <v>0</v>
      </c>
      <c r="D53" s="1164">
        <v>0.25</v>
      </c>
      <c r="E53" s="694"/>
      <c r="F53" s="691" t="e">
        <f t="shared" si="14"/>
        <v>#DIV/0!</v>
      </c>
      <c r="G53" s="3284"/>
      <c r="H53" s="1104">
        <f>项目基本情况!B37</f>
        <v>0</v>
      </c>
      <c r="I53" s="942">
        <f>SUMIF(修正!A45:A56,H53,修正!C45:C56)</f>
        <v>0</v>
      </c>
      <c r="J53" s="943"/>
      <c r="K53" s="1145"/>
      <c r="L53" s="941"/>
      <c r="M53" s="941"/>
      <c r="N53" s="941"/>
      <c r="O53" s="941"/>
    </row>
    <row r="54" spans="1:17" s="692" customFormat="1">
      <c r="A54" s="693" t="s">
        <v>2769</v>
      </c>
      <c r="B54" s="262" t="e">
        <f t="shared" si="16"/>
        <v>#DIV/0!</v>
      </c>
      <c r="C54" s="200">
        <f t="shared" si="15"/>
        <v>0</v>
      </c>
      <c r="D54" s="1164">
        <v>0.25</v>
      </c>
      <c r="E54" s="694"/>
      <c r="F54" s="691" t="e">
        <f t="shared" si="14"/>
        <v>#DIV/0!</v>
      </c>
      <c r="G54" s="3284"/>
      <c r="H54" s="1104">
        <f>项目基本情况!B37</f>
        <v>0</v>
      </c>
      <c r="I54" s="942">
        <f>SUMIF(修正!A45:A56,H54,修正!D45:D56)</f>
        <v>0</v>
      </c>
      <c r="J54" s="943"/>
      <c r="K54" s="1144"/>
      <c r="L54" s="941"/>
      <c r="M54" s="941"/>
      <c r="N54" s="941"/>
      <c r="O54" s="941"/>
    </row>
    <row r="55" spans="1:17" s="692" customFormat="1">
      <c r="A55" s="693" t="s">
        <v>2770</v>
      </c>
      <c r="B55" s="262" t="e">
        <f t="shared" si="16"/>
        <v>#DIV/0!</v>
      </c>
      <c r="C55" s="200">
        <f t="shared" si="15"/>
        <v>0</v>
      </c>
      <c r="D55" s="1164">
        <v>0.25</v>
      </c>
      <c r="E55" s="694"/>
      <c r="F55" s="691" t="e">
        <f t="shared" si="14"/>
        <v>#DIV/0!</v>
      </c>
      <c r="G55" s="3284"/>
      <c r="H55" s="1104">
        <f>项目基本情况!B37</f>
        <v>0</v>
      </c>
      <c r="I55" s="942">
        <f>SUMIF(修正!A45:A56,H55,修正!E45:E56)</f>
        <v>0</v>
      </c>
      <c r="J55" s="943"/>
      <c r="K55" s="1145"/>
      <c r="L55" s="941"/>
      <c r="M55" s="941"/>
      <c r="N55" s="941"/>
      <c r="O55" s="941"/>
    </row>
    <row r="56" spans="1:17" s="692" customFormat="1">
      <c r="A56" s="693" t="s">
        <v>2771</v>
      </c>
      <c r="B56" s="262" t="e">
        <f t="shared" si="16"/>
        <v>#DIV/0!</v>
      </c>
      <c r="C56" s="200">
        <f t="shared" si="15"/>
        <v>0</v>
      </c>
      <c r="D56" s="1164">
        <v>0.25</v>
      </c>
      <c r="E56" s="261">
        <f>'数据-汇总表'!E11</f>
        <v>0</v>
      </c>
      <c r="F56" s="691" t="e">
        <f t="shared" si="14"/>
        <v>#DIV/0!</v>
      </c>
      <c r="G56" s="2707" t="s">
        <v>2772</v>
      </c>
      <c r="H56" s="1104">
        <f>项目基本情况!C37</f>
        <v>0</v>
      </c>
      <c r="I56" s="942">
        <f>SUMIF(修正!A45:A56,H56,修正!F45:F56)</f>
        <v>0</v>
      </c>
      <c r="J56" s="943"/>
      <c r="K56" s="1144"/>
      <c r="L56" s="941"/>
      <c r="M56" s="941"/>
      <c r="N56" s="941"/>
      <c r="O56" s="941"/>
    </row>
    <row r="57" spans="1:17" s="692" customFormat="1">
      <c r="A57" s="693" t="s">
        <v>2773</v>
      </c>
      <c r="B57" s="262" t="e">
        <f t="shared" si="16"/>
        <v>#DIV/0!</v>
      </c>
      <c r="C57" s="200">
        <f t="shared" si="15"/>
        <v>0</v>
      </c>
      <c r="D57" s="1164">
        <v>0.25</v>
      </c>
      <c r="E57" s="261">
        <f>'数据-汇总表'!E12</f>
        <v>0</v>
      </c>
      <c r="F57" s="691" t="e">
        <f t="shared" si="14"/>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6"/>
        <v>#DIV/0!</v>
      </c>
      <c r="C58" s="200">
        <f t="shared" si="15"/>
        <v>0</v>
      </c>
      <c r="D58" s="1164">
        <v>0.25</v>
      </c>
      <c r="E58" s="261">
        <f>'数据-汇总表'!E13</f>
        <v>0</v>
      </c>
      <c r="F58" s="691" t="e">
        <f t="shared" si="14"/>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6"/>
        <v>#DIV/0!</v>
      </c>
      <c r="C59" s="200">
        <f t="shared" si="15"/>
        <v>0</v>
      </c>
      <c r="D59" s="1164">
        <v>0.25</v>
      </c>
      <c r="E59" s="261">
        <f>'数据-汇总表'!E14</f>
        <v>0</v>
      </c>
      <c r="F59" s="691" t="e">
        <f t="shared" si="14"/>
        <v>#DIV/0!</v>
      </c>
      <c r="G59" s="2707"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6"/>
        <v>#DIV/0!</v>
      </c>
      <c r="C60" s="200">
        <f t="shared" si="15"/>
        <v>0</v>
      </c>
      <c r="D60" s="1164">
        <v>0.25</v>
      </c>
      <c r="E60" s="261">
        <f>'数据-汇总表'!E15</f>
        <v>0</v>
      </c>
      <c r="F60" s="691" t="e">
        <f t="shared" si="14"/>
        <v>#DIV/0!</v>
      </c>
      <c r="G60" s="2708"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43648.1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2020-1-1</v>
      </c>
      <c r="D63" s="761">
        <f>EDATE(C63,-3)</f>
        <v>43739</v>
      </c>
      <c r="E63" s="761">
        <f>EDATE(D63,-3)</f>
        <v>43647</v>
      </c>
      <c r="F63" s="761">
        <f t="shared" ref="F63:O63" si="17">EDATE(E63,-3)</f>
        <v>43556</v>
      </c>
      <c r="G63" s="761">
        <f t="shared" si="17"/>
        <v>43466</v>
      </c>
      <c r="H63" s="761">
        <f t="shared" si="17"/>
        <v>43374</v>
      </c>
      <c r="I63" s="761">
        <f t="shared" si="17"/>
        <v>43282</v>
      </c>
      <c r="J63" s="761">
        <f t="shared" si="17"/>
        <v>43191</v>
      </c>
      <c r="K63" s="761">
        <f t="shared" si="17"/>
        <v>43101</v>
      </c>
      <c r="L63" s="761">
        <f t="shared" si="17"/>
        <v>43009</v>
      </c>
      <c r="M63" s="761">
        <f t="shared" si="17"/>
        <v>42917</v>
      </c>
      <c r="N63" s="761">
        <f t="shared" si="17"/>
        <v>42826</v>
      </c>
      <c r="O63" s="761">
        <f t="shared" si="17"/>
        <v>42736</v>
      </c>
    </row>
    <row r="64" spans="1:17" ht="21"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09" t="s">
        <v>2780</v>
      </c>
      <c r="B65" s="1359"/>
      <c r="C65" s="1572" t="str">
        <f>YEAR(C63)&amp;"-"&amp;ROUNDUP(MONTH(C63)/3,0)</f>
        <v>2020-1</v>
      </c>
      <c r="D65" s="1572" t="str">
        <f t="shared" ref="D65:O65" si="18">YEAR(D63)&amp;"-"&amp;ROUNDUP(MONTH(D63)/3,0)</f>
        <v>2019-4</v>
      </c>
      <c r="E65" s="1572" t="str">
        <f t="shared" si="18"/>
        <v>2019-3</v>
      </c>
      <c r="F65" s="1572" t="str">
        <f t="shared" si="18"/>
        <v>2019-2</v>
      </c>
      <c r="G65" s="1572" t="str">
        <f t="shared" si="18"/>
        <v>2019-1</v>
      </c>
      <c r="H65" s="1572" t="str">
        <f t="shared" si="18"/>
        <v>2018-4</v>
      </c>
      <c r="I65" s="1572" t="str">
        <f t="shared" si="18"/>
        <v>2018-3</v>
      </c>
      <c r="J65" s="1572" t="str">
        <f t="shared" si="18"/>
        <v>2018-2</v>
      </c>
      <c r="K65" s="1572" t="str">
        <f t="shared" si="18"/>
        <v>2018-1</v>
      </c>
      <c r="L65" s="1572" t="str">
        <f t="shared" si="18"/>
        <v>2017-4</v>
      </c>
      <c r="M65" s="1572" t="str">
        <f t="shared" si="18"/>
        <v>2017-3</v>
      </c>
      <c r="N65" s="1572" t="str">
        <f t="shared" si="18"/>
        <v>2017-2</v>
      </c>
      <c r="O65" s="1572" t="str">
        <f t="shared" si="18"/>
        <v>2017-1</v>
      </c>
      <c r="P65" s="507"/>
    </row>
    <row r="66" spans="1:17" s="117" customFormat="1" ht="30.75" customHeight="1">
      <c r="A66" s="2714" t="s">
        <v>2800</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2650</v>
      </c>
      <c r="D68" s="523"/>
      <c r="E68" s="523"/>
      <c r="F68" s="523"/>
      <c r="G68" s="523"/>
      <c r="H68" s="523"/>
      <c r="I68" s="523"/>
      <c r="J68" s="523"/>
      <c r="K68" s="523"/>
      <c r="L68" s="524"/>
      <c r="M68" s="525"/>
      <c r="N68" s="1151"/>
      <c r="O68" s="1151"/>
      <c r="P68" s="526"/>
      <c r="Q68" s="504"/>
    </row>
    <row r="69" spans="1:17" s="117" customFormat="1" ht="15" thickBot="1">
      <c r="A69" s="521"/>
      <c r="B69" s="510"/>
      <c r="C69" s="639">
        <v>100</v>
      </c>
      <c r="D69" s="512"/>
      <c r="E69" s="512"/>
      <c r="F69" s="512"/>
      <c r="G69" s="512"/>
      <c r="H69" s="512"/>
      <c r="I69" s="512"/>
      <c r="J69" s="512"/>
      <c r="K69" s="512"/>
      <c r="L69" s="512"/>
      <c r="M69" s="514"/>
      <c r="N69" s="1151"/>
      <c r="O69" s="1151"/>
      <c r="P69" s="504"/>
      <c r="Q69" s="504"/>
    </row>
    <row r="70" spans="1:17" ht="15">
      <c r="A70" s="527" t="s">
        <v>2586</v>
      </c>
      <c r="B70" s="528" t="s">
        <v>2553</v>
      </c>
      <c r="C70" s="530"/>
      <c r="D70" s="530"/>
      <c r="E70" s="530"/>
      <c r="F70" s="530"/>
      <c r="G70" s="530"/>
      <c r="H70" s="530"/>
      <c r="I70" s="530"/>
      <c r="J70" s="530"/>
      <c r="K70" s="531"/>
      <c r="L70" s="532"/>
      <c r="M70" s="533"/>
      <c r="N70" s="1152"/>
      <c r="O70" s="1152"/>
      <c r="P70" s="45"/>
      <c r="Q70" s="504"/>
    </row>
    <row r="71" spans="1:17" ht="15" thickBot="1">
      <c r="A71" s="534"/>
      <c r="B71" s="535"/>
      <c r="C71" s="536"/>
      <c r="D71" s="536"/>
      <c r="E71" s="536"/>
      <c r="F71" s="536"/>
      <c r="G71" s="536"/>
      <c r="H71" s="536"/>
      <c r="I71" s="536"/>
      <c r="J71" s="536"/>
      <c r="K71" s="536"/>
      <c r="L71" s="536"/>
      <c r="M71" s="537"/>
      <c r="N71" s="1153"/>
      <c r="O71" s="1153"/>
      <c r="P71" s="45"/>
      <c r="Q71" s="504"/>
    </row>
    <row r="72" spans="1:17" ht="31" thickTop="1">
      <c r="A72" s="534"/>
      <c r="B72" s="538" t="s">
        <v>2556</v>
      </c>
      <c r="C72" s="539"/>
      <c r="D72" s="539"/>
      <c r="E72" s="539"/>
      <c r="F72" s="539"/>
      <c r="G72" s="539"/>
      <c r="H72" s="539"/>
      <c r="I72" s="539"/>
      <c r="J72" s="539"/>
      <c r="K72" s="540"/>
      <c r="L72" s="541"/>
      <c r="M72" s="542"/>
      <c r="N72" s="1152"/>
      <c r="O72" s="1152"/>
      <c r="P72" s="45"/>
      <c r="Q72" s="504"/>
    </row>
    <row r="73" spans="1:17" ht="15" thickBot="1">
      <c r="A73" s="534"/>
      <c r="B73" s="543"/>
      <c r="C73" s="544"/>
      <c r="D73" s="544"/>
      <c r="E73" s="544"/>
      <c r="F73" s="544"/>
      <c r="G73" s="544"/>
      <c r="H73" s="544"/>
      <c r="I73" s="544"/>
      <c r="J73" s="544"/>
      <c r="K73" s="544"/>
      <c r="L73" s="544"/>
      <c r="M73" s="545"/>
      <c r="N73" s="1153"/>
      <c r="O73" s="1153"/>
      <c r="P73" s="45"/>
      <c r="Q73" s="504"/>
    </row>
    <row r="74" spans="1:17" ht="16" thickTop="1">
      <c r="A74" s="534"/>
      <c r="B74" s="546" t="s">
        <v>2557</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3"/>
      <c r="O76" s="1153"/>
      <c r="P76" s="45"/>
      <c r="Q76" s="504"/>
    </row>
    <row r="77" spans="1:17" s="471" customFormat="1" ht="15" thickTop="1">
      <c r="A77" s="553"/>
      <c r="B77" s="538">
        <f>B12</f>
        <v>111</v>
      </c>
      <c r="C77" s="554"/>
      <c r="D77" s="554"/>
      <c r="E77" s="554"/>
      <c r="F77" s="554"/>
      <c r="G77" s="554"/>
      <c r="H77" s="555"/>
      <c r="I77" s="555"/>
      <c r="J77" s="555"/>
      <c r="K77" s="555"/>
      <c r="L77" s="556"/>
      <c r="M77" s="557"/>
      <c r="N77" s="1154"/>
      <c r="O77" s="1154"/>
      <c r="P77" s="558"/>
      <c r="Q77" s="559"/>
    </row>
    <row r="78" spans="1:17" s="471" customFormat="1" ht="15" thickBot="1">
      <c r="A78" s="553"/>
      <c r="B78" s="543"/>
      <c r="C78" s="560"/>
      <c r="D78" s="536"/>
      <c r="E78" s="536"/>
      <c r="F78" s="536"/>
      <c r="G78" s="536"/>
      <c r="H78" s="536"/>
      <c r="I78" s="536"/>
      <c r="J78" s="536"/>
      <c r="K78" s="536"/>
      <c r="L78" s="536"/>
      <c r="M78" s="537"/>
      <c r="N78" s="1153"/>
      <c r="O78" s="1153"/>
      <c r="P78" s="558"/>
      <c r="Q78" s="559"/>
    </row>
    <row r="79" spans="1:17" s="471" customFormat="1" ht="15" thickTop="1">
      <c r="A79" s="553"/>
      <c r="B79" s="538">
        <f>B13</f>
        <v>111</v>
      </c>
      <c r="C79" s="554"/>
      <c r="D79" s="554"/>
      <c r="E79" s="554"/>
      <c r="F79" s="554"/>
      <c r="G79" s="554"/>
      <c r="H79" s="555"/>
      <c r="I79" s="555"/>
      <c r="J79" s="555"/>
      <c r="K79" s="555"/>
      <c r="L79" s="556"/>
      <c r="M79" s="557"/>
      <c r="N79" s="1154"/>
      <c r="O79" s="1154"/>
      <c r="P79" s="470"/>
      <c r="Q79" s="561"/>
    </row>
    <row r="80" spans="1:17" s="471" customFormat="1" ht="15" thickBot="1">
      <c r="A80" s="553"/>
      <c r="B80" s="543"/>
      <c r="C80" s="560"/>
      <c r="D80" s="560"/>
      <c r="E80" s="560"/>
      <c r="F80" s="560"/>
      <c r="G80" s="560"/>
      <c r="H80" s="562"/>
      <c r="I80" s="562"/>
      <c r="J80" s="562"/>
      <c r="K80" s="562"/>
      <c r="L80" s="562"/>
      <c r="M80" s="563"/>
      <c r="N80" s="1154"/>
      <c r="O80" s="1154"/>
      <c r="P80" s="558"/>
      <c r="Q80" s="559"/>
    </row>
    <row r="81" spans="1:17" s="471" customFormat="1" ht="15" thickTop="1">
      <c r="A81" s="553"/>
      <c r="B81" s="546">
        <f>B14</f>
        <v>111</v>
      </c>
      <c r="C81" s="523"/>
      <c r="D81" s="523"/>
      <c r="E81" s="523"/>
      <c r="F81" s="523"/>
      <c r="G81" s="523"/>
      <c r="H81" s="564"/>
      <c r="I81" s="564"/>
      <c r="J81" s="564"/>
      <c r="K81" s="564"/>
      <c r="L81" s="565"/>
      <c r="M81" s="566"/>
      <c r="N81" s="1154"/>
      <c r="O81" s="1154"/>
      <c r="P81" s="567"/>
      <c r="Q81" s="559"/>
    </row>
    <row r="82" spans="1:17" s="471" customFormat="1" ht="15" thickBot="1">
      <c r="A82" s="568"/>
      <c r="B82" s="569"/>
      <c r="C82" s="570"/>
      <c r="D82" s="570"/>
      <c r="E82" s="570"/>
      <c r="F82" s="570"/>
      <c r="G82" s="570"/>
      <c r="H82" s="571"/>
      <c r="I82" s="571"/>
      <c r="J82" s="571"/>
      <c r="K82" s="571"/>
      <c r="L82" s="571"/>
      <c r="M82" s="572"/>
      <c r="N82" s="1154"/>
      <c r="O82" s="1154"/>
      <c r="P82" s="558"/>
      <c r="Q82" s="559"/>
    </row>
    <row r="83" spans="1:17" ht="15">
      <c r="A83" s="527" t="s">
        <v>2558</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6"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6"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31"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6"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6"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6"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3"/>
      <c r="O96" s="1153"/>
      <c r="P96" s="45"/>
      <c r="Q96" s="504"/>
    </row>
    <row r="97" spans="1:17" ht="31" thickTop="1">
      <c r="A97" s="534"/>
      <c r="B97" s="538" t="s">
        <v>2689</v>
      </c>
      <c r="C97" s="554"/>
      <c r="D97" s="554"/>
      <c r="E97" s="554"/>
      <c r="F97" s="554"/>
      <c r="G97" s="554"/>
      <c r="H97" s="583"/>
      <c r="I97" s="583"/>
      <c r="J97" s="583"/>
      <c r="K97" s="584"/>
      <c r="L97" s="585"/>
      <c r="M97" s="586"/>
      <c r="N97" s="1152"/>
      <c r="O97" s="1152"/>
      <c r="P97" s="45"/>
      <c r="Q97" s="504"/>
    </row>
    <row r="98" spans="1:17" ht="1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3"/>
      <c r="O98" s="1153"/>
      <c r="P98" s="45"/>
      <c r="Q98" s="504"/>
    </row>
    <row r="99" spans="1:17" ht="16" thickTop="1">
      <c r="A99" s="534"/>
      <c r="B99" s="538" t="s">
        <v>2748</v>
      </c>
      <c r="C99" s="583"/>
      <c r="D99" s="583"/>
      <c r="E99" s="583"/>
      <c r="F99" s="583"/>
      <c r="G99" s="583"/>
      <c r="H99" s="583"/>
      <c r="I99" s="583"/>
      <c r="J99" s="583"/>
      <c r="K99" s="584"/>
      <c r="L99" s="585"/>
      <c r="M99" s="586"/>
      <c r="N99" s="1152"/>
      <c r="O99" s="1152"/>
      <c r="P99" s="45"/>
      <c r="Q99" s="504"/>
    </row>
    <row r="100" spans="1:17" ht="1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3"/>
      <c r="O100" s="1153"/>
      <c r="P100" s="45"/>
      <c r="Q100" s="504"/>
    </row>
    <row r="101" spans="1:17" ht="15" thickTop="1">
      <c r="A101" s="534"/>
      <c r="B101" s="546">
        <f>B31</f>
        <v>111</v>
      </c>
      <c r="C101" s="554"/>
      <c r="D101" s="554"/>
      <c r="E101" s="554"/>
      <c r="F101" s="554"/>
      <c r="G101" s="587"/>
      <c r="H101" s="587"/>
      <c r="I101" s="587"/>
      <c r="J101" s="587"/>
      <c r="K101" s="588"/>
      <c r="L101" s="589"/>
      <c r="M101" s="590"/>
      <c r="N101" s="1152"/>
      <c r="O101" s="1152"/>
      <c r="P101" s="45"/>
      <c r="Q101" s="504"/>
    </row>
    <row r="102" spans="1:17" ht="1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 thickBot="1">
      <c r="A106" s="553"/>
      <c r="B106" s="546"/>
      <c r="C106" s="570"/>
      <c r="D106" s="570"/>
      <c r="E106" s="570"/>
      <c r="F106" s="570"/>
      <c r="G106" s="677"/>
      <c r="H106" s="677"/>
      <c r="I106" s="677"/>
      <c r="J106" s="677"/>
      <c r="K106" s="677"/>
      <c r="L106" s="677"/>
      <c r="M106" s="699"/>
      <c r="N106" s="1153"/>
      <c r="O106" s="1153"/>
      <c r="P106" s="558"/>
      <c r="Q106" s="559"/>
    </row>
    <row r="107" spans="1:17" ht="15">
      <c r="A107" s="527" t="s">
        <v>2562</v>
      </c>
      <c r="B107" s="528" t="s">
        <v>2789</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6" t="str">
        <f t="shared" si="24"/>
        <v>(含)-</v>
      </c>
      <c r="L107" s="1766" t="str">
        <f t="shared" si="24"/>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5" thickBot="1">
      <c r="A109" s="534"/>
      <c r="B109" s="543"/>
      <c r="C109" s="570"/>
      <c r="D109" s="591"/>
      <c r="E109" s="591"/>
      <c r="F109" s="591"/>
      <c r="G109" s="591"/>
      <c r="H109" s="591"/>
      <c r="I109" s="591"/>
      <c r="J109" s="591"/>
      <c r="K109" s="591"/>
      <c r="L109" s="591"/>
      <c r="M109" s="592"/>
      <c r="N109" s="1153"/>
      <c r="O109" s="1153"/>
      <c r="P109" s="45"/>
      <c r="Q109" s="504"/>
    </row>
    <row r="110" spans="1:17" ht="16" thickTop="1">
      <c r="A110" s="599"/>
      <c r="B110" s="538" t="s">
        <v>2790</v>
      </c>
      <c r="C110" s="583"/>
      <c r="D110" s="583"/>
      <c r="E110" s="583"/>
      <c r="F110" s="583"/>
      <c r="G110" s="583"/>
      <c r="H110" s="583"/>
      <c r="I110" s="583"/>
      <c r="J110" s="583"/>
      <c r="K110" s="584"/>
      <c r="L110" s="585"/>
      <c r="M110" s="586"/>
      <c r="N110" s="1152"/>
      <c r="O110" s="1152"/>
      <c r="P110" s="45"/>
      <c r="Q110" s="504"/>
    </row>
    <row r="111" spans="1:17" ht="1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3"/>
      <c r="O111" s="1153"/>
      <c r="P111" s="45"/>
      <c r="Q111" s="504"/>
    </row>
    <row r="112" spans="1:17" s="471" customFormat="1" ht="16"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4"/>
      <c r="O113" s="1154"/>
      <c r="P113" s="558"/>
      <c r="Q113" s="559"/>
    </row>
    <row r="114" spans="1:17" ht="16" thickTop="1">
      <c r="A114" s="599"/>
      <c r="B114" s="538" t="s">
        <v>2793</v>
      </c>
      <c r="C114" s="554"/>
      <c r="D114" s="554"/>
      <c r="E114" s="583"/>
      <c r="F114" s="583"/>
      <c r="G114" s="583"/>
      <c r="H114" s="583"/>
      <c r="I114" s="583"/>
      <c r="J114" s="583"/>
      <c r="K114" s="584"/>
      <c r="L114" s="585"/>
      <c r="M114" s="586"/>
      <c r="N114" s="1152"/>
      <c r="O114" s="1152"/>
      <c r="P114" s="45"/>
      <c r="Q114" s="504"/>
    </row>
    <row r="115" spans="1:17" ht="1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zoomScale="80" zoomScaleNormal="80" zoomScaleSheetLayoutView="96" workbookViewId="0">
      <selection sqref="A1:XFD1048576"/>
    </sheetView>
  </sheetViews>
  <sheetFormatPr baseColWidth="10" defaultColWidth="12" defaultRowHeight="13"/>
  <cols>
    <col min="1" max="1" width="9.6640625" style="2786" customWidth="1"/>
    <col min="2" max="2" width="19.1640625" style="2892" customWidth="1"/>
    <col min="3" max="4" width="12" style="2718"/>
    <col min="5" max="5" width="14.6640625" style="2718" customWidth="1"/>
    <col min="6" max="8" width="12" style="2718"/>
    <col min="9" max="9" width="12.1640625" style="2718" bestFit="1" customWidth="1"/>
    <col min="10" max="10" width="12" style="2718"/>
    <col min="11" max="11" width="8.1640625" style="2781" customWidth="1"/>
    <col min="12" max="12" width="12" style="2718"/>
    <col min="13" max="13" width="8.5" style="2718" customWidth="1"/>
    <col min="14" max="14" width="9.6640625" style="2718" customWidth="1"/>
    <col min="15" max="25" width="12" style="2718"/>
    <col min="26" max="26" width="9.33203125" style="2786" customWidth="1"/>
    <col min="27" max="32" width="9.33203125" style="1372" customWidth="1"/>
    <col min="33" max="36" width="9.33203125" style="2786" customWidth="1"/>
    <col min="37" max="38" width="9.33203125" style="2718" customWidth="1"/>
    <col min="39" max="16384" width="12" style="2718"/>
  </cols>
  <sheetData>
    <row r="1" spans="1:36" ht="32">
      <c r="A1" s="240" t="s">
        <v>2802</v>
      </c>
      <c r="B1" s="241"/>
      <c r="C1" s="245" t="s">
        <v>2803</v>
      </c>
      <c r="D1" s="388">
        <f>SUM(D29:D30,D33:D39)</f>
        <v>0</v>
      </c>
      <c r="E1" s="2715"/>
      <c r="F1" s="2715"/>
      <c r="G1" s="2715"/>
      <c r="H1" s="2715"/>
      <c r="I1" s="2715"/>
      <c r="J1" s="2715"/>
      <c r="K1" s="1370"/>
      <c r="L1" s="2716" t="s">
        <v>2804</v>
      </c>
      <c r="M1" s="1080">
        <f>SUMPRODUCT((区片价!B5:B9=I2)*(区片价!C3:F3=E2)*(区片价!C5:F9))</f>
        <v>0</v>
      </c>
      <c r="N1" s="1083">
        <f>SUMPRODUCT((因素修正幅度!B5:B9=I2)*(因素修正幅度!C3:F3=E2)*(因素修正幅度!C5:F9))</f>
        <v>0</v>
      </c>
      <c r="O1" s="2717"/>
      <c r="P1" s="2717"/>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6">
      <c r="A2" s="245" t="s">
        <v>2810</v>
      </c>
      <c r="B2" s="248" t="e">
        <f>C26</f>
        <v>#DIV/0!</v>
      </c>
      <c r="C2" s="2719" t="s">
        <v>2811</v>
      </c>
      <c r="D2" s="2720" t="s">
        <v>2812</v>
      </c>
      <c r="E2" s="2721"/>
      <c r="F2" s="2720" t="s">
        <v>2813</v>
      </c>
      <c r="G2" s="2722">
        <f>IF(E2="商业",项目基本情况!B37,IF(E2="办公",项目基本情况!C37,IF(E2="住宅",项目基本情况!D37,项目基本情况!E37)))</f>
        <v>0</v>
      </c>
      <c r="H2" s="2720" t="s">
        <v>2814</v>
      </c>
      <c r="I2" s="2722">
        <f>IF(E2="商业",项目基本情况!B38,IF(E2="办公",项目基本情况!C38,IF(E2="住宅",项目基本情况!D38,项目基本情况!E38)))</f>
        <v>0</v>
      </c>
      <c r="J2" s="2723"/>
      <c r="K2" s="1370"/>
      <c r="L2" s="2724"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6">
      <c r="A3" s="247" t="s">
        <v>2816</v>
      </c>
      <c r="B3" s="248" t="e">
        <f>ROUND(B2*10000/D1,0)</f>
        <v>#DIV/0!</v>
      </c>
      <c r="C3" s="2719" t="s">
        <v>2817</v>
      </c>
      <c r="D3" s="2720" t="s">
        <v>2818</v>
      </c>
      <c r="E3" s="2725"/>
      <c r="F3" s="2726" t="s">
        <v>2819</v>
      </c>
      <c r="G3" s="916">
        <f>IF(F3="宗地容积率",'数据-汇总表'!I4,IF(F3="估价对象容积率",'数据-汇总表'!I6,'数据-汇总表'!I7))</f>
        <v>1.99</v>
      </c>
      <c r="H3" s="198" t="s">
        <v>2820</v>
      </c>
      <c r="I3" s="944"/>
      <c r="J3" s="2723" t="s">
        <v>2821</v>
      </c>
      <c r="K3" s="1370"/>
      <c r="L3" s="2724"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6">
      <c r="A4" s="3292"/>
      <c r="B4" s="3293"/>
      <c r="C4" s="3293"/>
      <c r="D4" s="3294"/>
      <c r="E4" s="3294"/>
      <c r="F4" s="3294"/>
      <c r="G4" s="3294"/>
      <c r="H4" s="3294"/>
      <c r="I4" s="3294"/>
      <c r="J4" s="3295"/>
      <c r="K4" s="1370"/>
      <c r="L4" s="2724"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7" thickBot="1">
      <c r="A5" s="2727" t="s">
        <v>807</v>
      </c>
      <c r="B5" s="2728" t="s">
        <v>2824</v>
      </c>
      <c r="C5" s="917" t="e">
        <f>ROUND(IF(E2="商业",C6*C7+C16,(IF(E2="住宅",C6*C12+C16,C6+C16))),0)</f>
        <v>#DIV/0!</v>
      </c>
      <c r="D5" s="1787" t="e">
        <f>ROUND(C6+C16,0)</f>
        <v>#DIV/0!</v>
      </c>
      <c r="E5" s="1787"/>
      <c r="F5" s="2729"/>
      <c r="G5" s="2730"/>
      <c r="H5" s="2730"/>
      <c r="I5" s="2730"/>
      <c r="J5" s="2731"/>
      <c r="K5" s="2732"/>
      <c r="L5" s="2724"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7" thickBot="1">
      <c r="A6" s="2737" t="s">
        <v>2826</v>
      </c>
      <c r="B6" s="2738" t="s">
        <v>2827</v>
      </c>
      <c r="C6" s="918">
        <f>SUMIF(L1:L12,G2,M1:M12)</f>
        <v>0</v>
      </c>
      <c r="D6" s="2739" t="s">
        <v>2828</v>
      </c>
      <c r="E6" s="2740"/>
      <c r="F6" s="2740"/>
      <c r="G6" s="2741"/>
      <c r="H6" s="2741"/>
      <c r="I6" s="2741"/>
      <c r="J6" s="2742"/>
      <c r="K6" s="1842"/>
      <c r="L6" s="2724"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30">
      <c r="A7" s="3296" t="str">
        <f>IF(E2="商业",IF(C8="不临58条商业街","",2),"")</f>
        <v/>
      </c>
      <c r="B7" s="2743" t="s">
        <v>2830</v>
      </c>
      <c r="C7" s="919" t="e">
        <f>IF(C8="不临58条商业街",1,ROUND(1+(1.6*E8+1.2*E9+0.8*E10+0.4*E11)*C9,4))</f>
        <v>#DIV/0!</v>
      </c>
      <c r="D7" s="2744" t="s">
        <v>2831</v>
      </c>
      <c r="E7" s="945"/>
      <c r="F7" s="2745"/>
      <c r="G7" s="2746"/>
      <c r="H7" s="2746"/>
      <c r="I7" s="2746"/>
      <c r="J7" s="2747"/>
      <c r="K7" s="1842"/>
      <c r="L7" s="2724"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1.99</v>
      </c>
      <c r="AA7" s="1606"/>
      <c r="AB7" s="1606"/>
      <c r="AC7" s="1607"/>
      <c r="AD7" s="1608"/>
      <c r="AE7" s="1608"/>
      <c r="AF7" s="1608"/>
      <c r="AG7" s="1608"/>
      <c r="AH7" s="1608"/>
      <c r="AI7" s="1608"/>
      <c r="AJ7" s="1609"/>
    </row>
    <row r="8" spans="1:36" ht="16">
      <c r="A8" s="3297"/>
      <c r="B8" s="198" t="s">
        <v>2835</v>
      </c>
      <c r="C8" s="2748"/>
      <c r="D8" s="920" t="s">
        <v>139</v>
      </c>
      <c r="E8" s="921" t="e">
        <f>ROUND(C11/E7,4)</f>
        <v>#DIV/0!</v>
      </c>
      <c r="F8" s="2749" t="s">
        <v>2836</v>
      </c>
      <c r="G8" s="2750"/>
      <c r="H8" s="2750"/>
      <c r="I8" s="2750"/>
      <c r="J8" s="2751"/>
      <c r="K8" s="1370"/>
      <c r="L8" s="2724"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89" t="s">
        <v>2838</v>
      </c>
      <c r="X8" s="3290"/>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6">
      <c r="A9" s="3297"/>
      <c r="B9" s="198" t="s">
        <v>2851</v>
      </c>
      <c r="C9" s="922">
        <f>SUMIF(修正!C59:C119,C8,修正!E59:E119)</f>
        <v>0</v>
      </c>
      <c r="D9" s="200" t="s">
        <v>140</v>
      </c>
      <c r="E9" s="200" t="e">
        <f>ROUND(C11/E7,4)</f>
        <v>#DIV/0!</v>
      </c>
      <c r="F9" s="2749" t="s">
        <v>2852</v>
      </c>
      <c r="G9" s="2750"/>
      <c r="H9" s="2750"/>
      <c r="I9" s="2750"/>
      <c r="J9" s="2751"/>
      <c r="K9" s="1370"/>
      <c r="L9" s="2724"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91"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6">
      <c r="A10" s="3297"/>
      <c r="B10" s="198" t="s">
        <v>2856</v>
      </c>
      <c r="C10" s="200">
        <f>SUMIF(修正!C59:C119,C8,修正!F59:F119)</f>
        <v>0</v>
      </c>
      <c r="D10" s="200" t="s">
        <v>141</v>
      </c>
      <c r="E10" s="200" t="e">
        <f>ROUND(C11/E7,4)</f>
        <v>#DIV/0!</v>
      </c>
      <c r="F10" s="2749" t="s">
        <v>2857</v>
      </c>
      <c r="G10" s="2750"/>
      <c r="H10" s="2750"/>
      <c r="I10" s="2750"/>
      <c r="J10" s="2751"/>
      <c r="K10" s="1370"/>
      <c r="L10" s="2724"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9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7" thickBot="1">
      <c r="A11" s="3297"/>
      <c r="B11" s="2752" t="s">
        <v>2859</v>
      </c>
      <c r="C11" s="923">
        <f>C10/4</f>
        <v>0</v>
      </c>
      <c r="D11" s="923" t="s">
        <v>142</v>
      </c>
      <c r="E11" s="923" t="e">
        <f>ROUND(C11/E7,4)</f>
        <v>#DIV/0!</v>
      </c>
      <c r="F11" s="2753" t="s">
        <v>2860</v>
      </c>
      <c r="G11" s="2754"/>
      <c r="H11" s="2754"/>
      <c r="I11" s="2754"/>
      <c r="J11" s="2755"/>
      <c r="K11" s="1370"/>
      <c r="L11" s="2724"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91" t="s">
        <v>2862</v>
      </c>
      <c r="X11" s="1614" t="s">
        <v>2863</v>
      </c>
      <c r="Y11" s="1615">
        <f>$G$3</f>
        <v>1.99</v>
      </c>
      <c r="Z11" s="1615">
        <f t="shared" ref="Z11:AJ11" si="3">$G$3</f>
        <v>1.99</v>
      </c>
      <c r="AA11" s="1615">
        <f t="shared" si="3"/>
        <v>1.99</v>
      </c>
      <c r="AB11" s="1615">
        <f t="shared" si="3"/>
        <v>1.99</v>
      </c>
      <c r="AC11" s="1615">
        <f t="shared" si="3"/>
        <v>1.99</v>
      </c>
      <c r="AD11" s="1615">
        <f t="shared" si="3"/>
        <v>1.99</v>
      </c>
      <c r="AE11" s="1615">
        <f t="shared" si="3"/>
        <v>1.99</v>
      </c>
      <c r="AF11" s="1615">
        <f t="shared" si="3"/>
        <v>1.99</v>
      </c>
      <c r="AG11" s="1615">
        <f t="shared" si="3"/>
        <v>1.99</v>
      </c>
      <c r="AH11" s="1615">
        <f t="shared" si="3"/>
        <v>1.99</v>
      </c>
      <c r="AI11" s="1615">
        <f t="shared" si="3"/>
        <v>1.99</v>
      </c>
      <c r="AJ11" s="1615">
        <f t="shared" si="3"/>
        <v>1.99</v>
      </c>
    </row>
    <row r="12" spans="1:36" ht="31" thickBot="1">
      <c r="A12" s="3296" t="s">
        <v>2864</v>
      </c>
      <c r="B12" s="2756" t="s">
        <v>2865</v>
      </c>
      <c r="C12" s="919">
        <f>ROUND(C15*D15*E15*F15*G15*H15*I15*J15,4)</f>
        <v>1</v>
      </c>
      <c r="D12" s="2757" t="s">
        <v>2866</v>
      </c>
      <c r="E12" s="2758"/>
      <c r="F12" s="2758"/>
      <c r="G12" s="2759"/>
      <c r="H12" s="2759"/>
      <c r="I12" s="2759"/>
      <c r="J12" s="2760"/>
      <c r="K12" s="1370"/>
      <c r="L12" s="2761"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91"/>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30">
      <c r="A13" s="3298"/>
      <c r="B13" s="2762" t="s">
        <v>2869</v>
      </c>
      <c r="C13" s="2763" t="s">
        <v>2870</v>
      </c>
      <c r="D13" s="1808" t="s">
        <v>2871</v>
      </c>
      <c r="E13" s="1808" t="s">
        <v>2872</v>
      </c>
      <c r="F13" s="30" t="s">
        <v>2873</v>
      </c>
      <c r="G13" s="2764" t="s">
        <v>2874</v>
      </c>
      <c r="H13" s="2764" t="s">
        <v>2874</v>
      </c>
      <c r="I13" s="2764" t="s">
        <v>2874</v>
      </c>
      <c r="J13" s="2765" t="s">
        <v>2874</v>
      </c>
      <c r="K13" s="1370"/>
      <c r="L13" s="1370"/>
      <c r="M13" s="1370"/>
      <c r="N13" s="1370"/>
      <c r="O13" s="1370"/>
      <c r="P13" s="1370"/>
      <c r="Q13" s="1370"/>
      <c r="R13" s="1602">
        <v>12</v>
      </c>
      <c r="S13" s="1603"/>
      <c r="T13" s="1602" t="e">
        <f t="shared" si="0"/>
        <v>#DIV/0!</v>
      </c>
      <c r="U13" s="1603"/>
      <c r="V13" s="1602" t="e">
        <f t="shared" si="1"/>
        <v>#DIV/0!</v>
      </c>
      <c r="W13" s="3291"/>
      <c r="X13" s="1616"/>
      <c r="Y13" s="1613">
        <f>(-0.163*(Y12^2)-0.59*Y12+7617)*(10^(-4))/Y11</f>
        <v>0.38276381909547741</v>
      </c>
      <c r="Z13" s="1613">
        <f t="shared" ref="Z13:AJ13" si="5">(-0.163*(Z12^2)-0.59*Z12+7617)*(10^(-4))/Z11</f>
        <v>0.38276381909547741</v>
      </c>
      <c r="AA13" s="1613">
        <f t="shared" si="5"/>
        <v>0.38276381909547741</v>
      </c>
      <c r="AB13" s="1613">
        <f t="shared" si="5"/>
        <v>0.38276381909547741</v>
      </c>
      <c r="AC13" s="1613">
        <f t="shared" si="5"/>
        <v>0.38276381909547741</v>
      </c>
      <c r="AD13" s="1613">
        <f t="shared" si="5"/>
        <v>0.38276381909547741</v>
      </c>
      <c r="AE13" s="1613">
        <f t="shared" si="5"/>
        <v>0.38276381909547741</v>
      </c>
      <c r="AF13" s="1613">
        <f t="shared" si="5"/>
        <v>0.38276381909547741</v>
      </c>
      <c r="AG13" s="1613">
        <f t="shared" si="5"/>
        <v>0.38276381909547741</v>
      </c>
      <c r="AH13" s="1613">
        <f t="shared" si="5"/>
        <v>0.38276381909547741</v>
      </c>
      <c r="AI13" s="1613">
        <f t="shared" si="5"/>
        <v>0.38276381909547741</v>
      </c>
      <c r="AJ13" s="1613">
        <f t="shared" si="5"/>
        <v>0.38276381909547741</v>
      </c>
    </row>
    <row r="14" spans="1:36" ht="16">
      <c r="A14" s="3298"/>
      <c r="B14" s="2766"/>
      <c r="C14" s="2767"/>
      <c r="D14" s="2768"/>
      <c r="E14" s="2768"/>
      <c r="F14" s="2769"/>
      <c r="G14" s="2770" t="s">
        <v>2875</v>
      </c>
      <c r="H14" s="2771"/>
      <c r="I14" s="2772"/>
      <c r="J14" s="2773"/>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7" thickBot="1">
      <c r="A15" s="3299"/>
      <c r="B15" s="2774"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5" customHeight="1">
      <c r="A16" s="3296" t="s">
        <v>2881</v>
      </c>
      <c r="B16" s="2743" t="s">
        <v>2882</v>
      </c>
      <c r="C16" s="2930" t="e">
        <f>ROUND(IF(F17="与级别开发程度一致",0,(G17-E17)/C17),0)</f>
        <v>#DIV/0!</v>
      </c>
      <c r="D16" s="3310" t="s">
        <v>2886</v>
      </c>
      <c r="E16" s="3311"/>
      <c r="F16" s="3310" t="s">
        <v>2883</v>
      </c>
      <c r="G16" s="3311"/>
      <c r="H16" s="2777"/>
      <c r="I16" s="2777"/>
      <c r="J16" s="2934"/>
      <c r="K16" s="2777"/>
      <c r="L16" s="2777"/>
      <c r="M16" s="2777"/>
      <c r="N16" s="2777"/>
      <c r="O16" s="2778"/>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5" thickBot="1">
      <c r="A17" s="3300"/>
      <c r="B17" s="2941" t="s">
        <v>2885</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6" thickBot="1">
      <c r="A18" s="2935" t="s">
        <v>808</v>
      </c>
      <c r="B18" s="2936" t="s">
        <v>2888</v>
      </c>
      <c r="C18" s="2937">
        <f>SUMIF(修正!C18:C39,E3,修正!E18:E39)</f>
        <v>0</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31" thickBot="1">
      <c r="A19" s="2782" t="s">
        <v>809</v>
      </c>
      <c r="B19" s="2783" t="s">
        <v>2889</v>
      </c>
      <c r="C19" s="924" t="e">
        <f>ROUND(IF(H19="按公示增长率计算",SUMPRODUCT((地价!A3:A29=YEAR(G19)&amp;"-"&amp;ROUNDUP(MONTH(G19)/3,0))*(地价!X2:AB2=E2)*(地价!X3:AB29)),IF(H19="地价指数",M20/M19,(1+I19)^O19)),4)</f>
        <v>#VALUE!</v>
      </c>
      <c r="D19" s="2787" t="s">
        <v>2890</v>
      </c>
      <c r="E19" s="925">
        <v>41640</v>
      </c>
      <c r="F19" s="2787" t="s">
        <v>2891</v>
      </c>
      <c r="G19" s="926">
        <f>'数据-取费表'!B2</f>
        <v>43847</v>
      </c>
      <c r="H19" s="2788"/>
      <c r="I19" s="927" t="str">
        <f>IF(H19="季度增幅（自定义）",SUMIF(N21:N24,E2,O21:O24),"")</f>
        <v/>
      </c>
      <c r="J19" s="2785"/>
      <c r="K19" s="1377"/>
      <c r="L19" s="2789" t="s">
        <v>2892</v>
      </c>
      <c r="M19" s="1734">
        <f>ROUND(SUMIF(地价!B2:F2,E2,地价!B29:F29),0)</f>
        <v>0</v>
      </c>
      <c r="N19" s="2790" t="s">
        <v>2893</v>
      </c>
      <c r="O19" s="928">
        <f>ROUNDDOWN(DATEDIF(E19,G19,"M")/3,0)</f>
        <v>24</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31" thickBot="1">
      <c r="A20" s="2794" t="s">
        <v>810</v>
      </c>
      <c r="B20" s="2795" t="s">
        <v>2894</v>
      </c>
      <c r="C20" s="929" t="e">
        <f>ROUND(POWER(1+G20,J20-I20)*(POWER(1+G20,I20)-1)/(POWER(1+G20,J20)-1),4)</f>
        <v>#DIV/0!</v>
      </c>
      <c r="D20" s="2796" t="s">
        <v>2895</v>
      </c>
      <c r="E20" s="1768">
        <f ca="1">存贷款利率!D4/100</f>
        <v>4.3499999999999997E-2</v>
      </c>
      <c r="F20" s="2796" t="s">
        <v>2887</v>
      </c>
      <c r="G20" s="934">
        <f>SUMIF(M26:P26,E2,M28:P28)</f>
        <v>0</v>
      </c>
      <c r="H20" s="2796" t="s">
        <v>2896</v>
      </c>
      <c r="I20" s="935" t="e">
        <f>SUMIF('数据-取费表'!C6:C15,E2,'数据-取费表'!F6:F15)/COUNTIF('数据-取费表'!C6:C15,E2)</f>
        <v>#DIV/0!</v>
      </c>
      <c r="J20" s="936">
        <f>IF(E2="住宅",70,IF(E2="商业",40,50))</f>
        <v>50</v>
      </c>
      <c r="K20" s="1377"/>
      <c r="L20" s="2797" t="s">
        <v>2897</v>
      </c>
      <c r="M20" s="1735">
        <f>ROUND(SUMPRODUCT((地价!A4:A29=YEAR(G19)&amp;"-"&amp;ROUNDUP(MONTH(G19)/3,0))*(地价!B2:F2=E2)*(地价!B4:F29)),0)</f>
        <v>0</v>
      </c>
      <c r="N20" s="2798" t="s">
        <v>2898</v>
      </c>
      <c r="O20" s="2799" t="s">
        <v>2899</v>
      </c>
      <c r="P20" s="2800" t="s">
        <v>2900</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2901</v>
      </c>
      <c r="C21" s="937">
        <f>IF(B21="容积率修正",IF(G3&lt;=10,D22,J22),C23)</f>
        <v>0</v>
      </c>
      <c r="D21" s="2803"/>
      <c r="E21" s="2803"/>
      <c r="F21" s="2803"/>
      <c r="G21" s="2803"/>
      <c r="H21" s="2803"/>
      <c r="I21" s="2803"/>
      <c r="J21" s="2804"/>
      <c r="K21" s="1377"/>
      <c r="N21" s="2805" t="s">
        <v>2902</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6" customFormat="1" ht="15">
      <c r="A22" s="2662" t="s">
        <v>2903</v>
      </c>
      <c r="B22" s="2806" t="s">
        <v>2904</v>
      </c>
      <c r="C22" s="1810" t="s">
        <v>2905</v>
      </c>
      <c r="D22" s="1810">
        <f>IF(E22=G22,F22,IF(G3&lt;=10,ROUND(F22+(H22-F22)*(G3-E22)/(G22-E22),4),"——"))</f>
        <v>0</v>
      </c>
      <c r="E22" s="916">
        <f>ROUNDDOWN(G3,1)</f>
        <v>1.9</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5" t="s">
        <v>2906</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16" thickBot="1">
      <c r="A23" s="2662" t="s">
        <v>2907</v>
      </c>
      <c r="B23" s="2807" t="s">
        <v>2908</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2909</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6"/>
    </row>
    <row r="24" spans="1:37" s="2736" customFormat="1" ht="16" thickBot="1">
      <c r="A24" s="2794" t="s">
        <v>812</v>
      </c>
      <c r="B24" s="2783" t="s">
        <v>2910</v>
      </c>
      <c r="C24" s="924">
        <f>SUMIF(A45:A88,E2,B45:B88)</f>
        <v>0</v>
      </c>
      <c r="D24" s="2784"/>
      <c r="E24" s="2813"/>
      <c r="F24" s="2813"/>
      <c r="G24" s="2813"/>
      <c r="H24" s="2813"/>
      <c r="I24" s="2813"/>
      <c r="J24" s="2814"/>
      <c r="K24" s="1377"/>
      <c r="N24" s="2815" t="s">
        <v>2911</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6" thickBot="1">
      <c r="A25" s="2794" t="s">
        <v>813</v>
      </c>
      <c r="B25" s="2816" t="s">
        <v>2912</v>
      </c>
      <c r="C25" s="930"/>
      <c r="D25" s="2746"/>
      <c r="E25" s="2746"/>
      <c r="F25" s="2817"/>
      <c r="G25" s="2746"/>
      <c r="H25" s="2746"/>
      <c r="I25" s="2746"/>
      <c r="J25" s="2747"/>
      <c r="K25" s="1370"/>
      <c r="N25" s="2818" t="s">
        <v>2913</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19"/>
      <c r="B26" s="2806" t="s">
        <v>2914</v>
      </c>
      <c r="C26" s="206" t="e">
        <f>E29+SUM(E33:E39)</f>
        <v>#DIV/0!</v>
      </c>
      <c r="D26" s="2820"/>
      <c r="E26" s="2771"/>
      <c r="F26" s="2821"/>
      <c r="G26" s="2771"/>
      <c r="H26" s="2771"/>
      <c r="I26" s="2771"/>
      <c r="J26" s="2822"/>
      <c r="K26" s="1370"/>
      <c r="L26" s="2775" t="s">
        <v>2812</v>
      </c>
      <c r="M26" s="920" t="s">
        <v>2877</v>
      </c>
      <c r="N26" s="920" t="s">
        <v>2878</v>
      </c>
      <c r="O26" s="920" t="s">
        <v>2879</v>
      </c>
      <c r="P26" s="2776" t="s">
        <v>2880</v>
      </c>
      <c r="R26" s="1376"/>
      <c r="S26" s="1376"/>
      <c r="T26" s="1371"/>
      <c r="U26" s="1371"/>
      <c r="V26" s="1371"/>
      <c r="W26" s="1370"/>
      <c r="X26" s="1370"/>
      <c r="Y26" s="1370"/>
      <c r="Z26" s="1377"/>
      <c r="AA26" s="1378"/>
      <c r="AB26" s="1378"/>
      <c r="AC26" s="1378"/>
      <c r="AD26" s="1378"/>
    </row>
    <row r="27" spans="1:37" ht="16" thickBot="1">
      <c r="A27" s="2819"/>
      <c r="B27" s="2823" t="s">
        <v>2915</v>
      </c>
      <c r="C27" s="931" t="e">
        <f>E30+SUM(I33:I39)</f>
        <v>#DIV/0!</v>
      </c>
      <c r="D27" s="2824"/>
      <c r="E27" s="2825"/>
      <c r="F27" s="2826"/>
      <c r="G27" s="2825"/>
      <c r="H27" s="2825"/>
      <c r="I27" s="2825"/>
      <c r="J27" s="2827"/>
      <c r="K27" s="1370"/>
      <c r="L27" s="2779"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6" thickBot="1">
      <c r="A28" s="2828"/>
      <c r="B28" s="2829" t="s">
        <v>2916</v>
      </c>
      <c r="C28" s="2830" t="s">
        <v>2917</v>
      </c>
      <c r="D28" s="2830" t="s">
        <v>2918</v>
      </c>
      <c r="E28" s="2831" t="s">
        <v>2919</v>
      </c>
      <c r="F28" s="2832"/>
      <c r="G28" s="2759"/>
      <c r="H28" s="2759"/>
      <c r="I28" s="2759"/>
      <c r="J28" s="2760"/>
      <c r="K28" s="1370"/>
      <c r="L28" s="2780"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2920</v>
      </c>
      <c r="C29" s="206" t="e">
        <f>ROUND(C5*C18*C19*C20*C21*C24,0)</f>
        <v>#DIV/0!</v>
      </c>
      <c r="D29" s="2835"/>
      <c r="E29" s="942" t="e">
        <f>ROUND(C29*D29/10000,0)</f>
        <v>#DIV/0!</v>
      </c>
      <c r="F29" s="2836" t="s">
        <v>2921</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31" thickBot="1">
      <c r="A30" s="2839"/>
      <c r="B30" s="2840" t="s">
        <v>2922</v>
      </c>
      <c r="C30" s="229" t="e">
        <f>ROUND(IF(E2="工业",C29*M39,C29*M38),0)</f>
        <v>#DIV/0!</v>
      </c>
      <c r="D30" s="2841"/>
      <c r="E30" s="942" t="e">
        <f>ROUND(C30*D30/10000,0)</f>
        <v>#DIV/0!</v>
      </c>
      <c r="F30" s="2842" t="s">
        <v>2923</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5">
      <c r="A31" s="2845"/>
      <c r="B31" s="2846" t="s">
        <v>2924</v>
      </c>
      <c r="C31" s="2847" t="s">
        <v>2925</v>
      </c>
      <c r="D31" s="2759"/>
      <c r="E31" s="2847"/>
      <c r="F31" s="2847"/>
      <c r="G31" s="2757" t="s">
        <v>2926</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30">
      <c r="A32" s="2833"/>
      <c r="B32" s="2849"/>
      <c r="C32" s="501" t="s">
        <v>2917</v>
      </c>
      <c r="D32" s="498" t="s">
        <v>2918</v>
      </c>
      <c r="E32" s="498" t="s">
        <v>2919</v>
      </c>
      <c r="F32" s="388" t="s">
        <v>2927</v>
      </c>
      <c r="G32" s="2850" t="s">
        <v>2917</v>
      </c>
      <c r="H32" s="2850" t="s">
        <v>2918</v>
      </c>
      <c r="I32" s="2850"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307" t="s">
        <v>2928</v>
      </c>
      <c r="B33" s="2851" t="s">
        <v>2929</v>
      </c>
      <c r="C33" s="206" t="e">
        <f>ROUND(D5*C19*C20*C24*F33,0)</f>
        <v>#DIV/0!</v>
      </c>
      <c r="D33" s="2835"/>
      <c r="E33" s="200" t="e">
        <f>ROUND(C33*D33/10000,0)</f>
        <v>#DIV/0!</v>
      </c>
      <c r="F33" s="200">
        <f>SUMIF(修正!A45:A56,G2,修正!B45:B56)</f>
        <v>0</v>
      </c>
      <c r="G33" s="200" t="e">
        <f>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5">
      <c r="A34" s="3308"/>
      <c r="B34" s="2763" t="s">
        <v>2930</v>
      </c>
      <c r="C34" s="206" t="e">
        <f>ROUND(D5*C19*C20*C24*F34,0)</f>
        <v>#DIV/0!</v>
      </c>
      <c r="D34" s="2835"/>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ht="15">
      <c r="A35" s="3308"/>
      <c r="B35" s="2763" t="s">
        <v>2931</v>
      </c>
      <c r="C35" s="206" t="e">
        <f>ROUND(D5*C19*C20*C24*F35,0)</f>
        <v>#DIV/0!</v>
      </c>
      <c r="D35" s="2835"/>
      <c r="E35" s="200" t="e">
        <f t="shared" si="6"/>
        <v>#DIV/0!</v>
      </c>
      <c r="F35" s="200">
        <f>SUMIF(修正!A45:A56,G2,修正!D45:D56)</f>
        <v>0</v>
      </c>
      <c r="G35" s="200" t="e">
        <f>ROUND(IF(E2="工业",C35*$M$39,C35*$M$38),0)</f>
        <v>#DIV/0!</v>
      </c>
      <c r="H35" s="200">
        <f t="shared" si="7"/>
        <v>0</v>
      </c>
      <c r="I35" s="200" t="e">
        <f t="shared" si="8"/>
        <v>#DIV/0!</v>
      </c>
      <c r="J35" s="2852"/>
      <c r="K35" s="1370"/>
      <c r="L35" s="1370"/>
      <c r="M35" s="1370"/>
      <c r="N35" s="1370"/>
      <c r="O35" s="1370"/>
      <c r="P35" s="1370"/>
      <c r="Q35" s="1370"/>
      <c r="R35" s="1370"/>
      <c r="S35" s="1370"/>
      <c r="T35" s="1370"/>
      <c r="U35" s="1370"/>
      <c r="V35" s="1370"/>
      <c r="W35" s="1370"/>
      <c r="X35" s="1370"/>
      <c r="Y35" s="1370"/>
      <c r="Z35" s="1371"/>
    </row>
    <row r="36" spans="1:37" ht="16" thickBot="1">
      <c r="A36" s="3309"/>
      <c r="B36" s="2763" t="s">
        <v>2932</v>
      </c>
      <c r="C36" s="206" t="e">
        <f>ROUND(D5*C19*C20*C24*F36,0)</f>
        <v>#DIV/0!</v>
      </c>
      <c r="D36" s="2835"/>
      <c r="E36" s="200" t="e">
        <f t="shared" si="6"/>
        <v>#DIV/0!</v>
      </c>
      <c r="F36" s="200">
        <f>SUMIF(修正!A45:A56,G2,修正!E45:E56)</f>
        <v>0</v>
      </c>
      <c r="G36" s="200" t="e">
        <f>ROUND(IF(E2="工业",C36*$M$39,C36*$M$38),0)</f>
        <v>#DIV/0!</v>
      </c>
      <c r="H36" s="200">
        <f t="shared" si="7"/>
        <v>0</v>
      </c>
      <c r="I36" s="200" t="e">
        <f t="shared" si="8"/>
        <v>#DIV/0!</v>
      </c>
      <c r="J36" s="2852"/>
      <c r="K36" s="1370"/>
      <c r="L36" s="2717"/>
      <c r="M36" s="2717"/>
      <c r="N36" s="1370"/>
      <c r="O36" s="1370"/>
      <c r="P36" s="1370"/>
      <c r="Q36" s="1370"/>
      <c r="R36" s="1370"/>
      <c r="S36" s="1370"/>
      <c r="T36" s="1370"/>
      <c r="U36" s="1370"/>
      <c r="V36" s="1370"/>
      <c r="W36" s="1370"/>
      <c r="X36" s="1370"/>
      <c r="Y36" s="1370"/>
      <c r="Z36" s="1371"/>
    </row>
    <row r="37" spans="1:37" ht="15">
      <c r="A37" s="2853"/>
      <c r="B37" s="2763" t="s">
        <v>2933</v>
      </c>
      <c r="C37" s="200" t="e">
        <f>ROUND(D5*C19*C20*C24*F37,0)</f>
        <v>#DIV/0!</v>
      </c>
      <c r="D37" s="2835"/>
      <c r="E37" s="200" t="e">
        <f t="shared" si="6"/>
        <v>#DIV/0!</v>
      </c>
      <c r="F37" s="206">
        <f>SUMIF(修正!A45:A56,G2,修正!F45:F56)</f>
        <v>0</v>
      </c>
      <c r="G37" s="200" t="e">
        <f>ROUND(IF(E2="工业",C37*$M$39,C37*$M$38),0)</f>
        <v>#DIV/0!</v>
      </c>
      <c r="H37" s="200">
        <f t="shared" si="7"/>
        <v>0</v>
      </c>
      <c r="I37" s="200" t="e">
        <f t="shared" si="8"/>
        <v>#DIV/0!</v>
      </c>
      <c r="J37" s="2852"/>
      <c r="K37" s="1370"/>
      <c r="L37" s="2854" t="s">
        <v>2934</v>
      </c>
      <c r="M37" s="2855"/>
      <c r="N37" s="1370"/>
      <c r="O37" s="1370"/>
      <c r="P37" s="1370"/>
      <c r="Q37" s="1370"/>
      <c r="R37" s="1370"/>
      <c r="S37" s="1370"/>
      <c r="T37" s="1370"/>
      <c r="U37" s="1370"/>
      <c r="V37" s="1370"/>
      <c r="W37" s="1370"/>
      <c r="X37" s="1370"/>
      <c r="Y37" s="1370"/>
      <c r="Z37" s="1371"/>
    </row>
    <row r="38" spans="1:37" ht="15">
      <c r="A38" s="2853"/>
      <c r="B38" s="2763" t="s">
        <v>2935</v>
      </c>
      <c r="C38" s="200" t="e">
        <f>ROUND(D5*C19*C41*C24*F38,0)</f>
        <v>#DIV/0!</v>
      </c>
      <c r="D38" s="2835"/>
      <c r="E38" s="200" t="e">
        <f t="shared" si="6"/>
        <v>#DIV/0!</v>
      </c>
      <c r="F38" s="206">
        <f>SUMIF(修正!A45:A56,G2,修正!G45:G56)</f>
        <v>0</v>
      </c>
      <c r="G38" s="200" t="e">
        <f>ROUND(IF(E2="工业",C38*$M$39,C38*$M$38),0)</f>
        <v>#DIV/0!</v>
      </c>
      <c r="H38" s="200">
        <f t="shared" si="7"/>
        <v>0</v>
      </c>
      <c r="I38" s="200" t="e">
        <f t="shared" si="8"/>
        <v>#DIV/0!</v>
      </c>
      <c r="J38" s="2852"/>
      <c r="K38" s="1370"/>
      <c r="L38" s="1887" t="s">
        <v>2936</v>
      </c>
      <c r="M38" s="2856">
        <v>0.25</v>
      </c>
      <c r="N38" s="1370"/>
      <c r="O38" s="1370"/>
      <c r="P38" s="1370"/>
      <c r="Q38" s="1370"/>
      <c r="R38" s="1370"/>
      <c r="S38" s="1370"/>
      <c r="T38" s="1370"/>
      <c r="U38" s="1370"/>
      <c r="V38" s="1370"/>
      <c r="W38" s="1370"/>
      <c r="X38" s="1370"/>
      <c r="Y38" s="1370"/>
      <c r="Z38" s="1371"/>
    </row>
    <row r="39" spans="1:37" ht="16" thickBot="1">
      <c r="A39" s="2839"/>
      <c r="B39" s="2857" t="s">
        <v>2937</v>
      </c>
      <c r="C39" s="229" t="e">
        <f>ROUND(D5*C19*C41*C24*F39,0)</f>
        <v>#DIV/0!</v>
      </c>
      <c r="D39" s="2841"/>
      <c r="E39" s="229" t="e">
        <f t="shared" si="6"/>
        <v>#DIV/0!</v>
      </c>
      <c r="F39" s="932">
        <f>SUMIF(修正!A45:A56,G2,修正!H45:H56)</f>
        <v>0</v>
      </c>
      <c r="G39" s="229" t="e">
        <f>ROUND(IF(E2="工业",C39*$M$39,C39*$M$38),0)</f>
        <v>#DIV/0!</v>
      </c>
      <c r="H39" s="229">
        <f t="shared" si="7"/>
        <v>0</v>
      </c>
      <c r="I39" s="229" t="e">
        <f t="shared" si="8"/>
        <v>#DIV/0!</v>
      </c>
      <c r="J39" s="2858"/>
      <c r="K39" s="1370"/>
      <c r="L39" s="2859" t="s">
        <v>2880</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15">
      <c r="A41" s="1371"/>
      <c r="B41" s="2928" t="s">
        <v>3045</v>
      </c>
      <c r="C41" s="388" t="e">
        <f>ROUND(POWER(1+E41,H41-G41)*(POWER(1+E41,G41)-1)/(POWER(1+E41,H41)-1),4)</f>
        <v>#DIV/0!</v>
      </c>
      <c r="D41" s="200" t="s">
        <v>2887</v>
      </c>
      <c r="E41" s="2927">
        <f>G20</f>
        <v>0</v>
      </c>
      <c r="F41" s="200" t="s">
        <v>2896</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 thickBot="1">
      <c r="A45" s="2862" t="s">
        <v>2938</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4">
      <c r="A46" s="2864" t="s">
        <v>2939</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30">
      <c r="A47" s="2868" t="s">
        <v>2940</v>
      </c>
      <c r="B47" s="1809" t="s">
        <v>2941</v>
      </c>
      <c r="C47" s="1809" t="s">
        <v>2942</v>
      </c>
      <c r="D47" s="1809" t="s">
        <v>2943</v>
      </c>
      <c r="E47" s="819" t="s">
        <v>2944</v>
      </c>
      <c r="F47" s="2869" t="s">
        <v>2945</v>
      </c>
      <c r="G47" s="1809" t="s">
        <v>754</v>
      </c>
      <c r="H47" s="2870" t="s">
        <v>2946</v>
      </c>
      <c r="I47" s="1809" t="s">
        <v>2947</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42">
      <c r="A48" s="2868" t="s">
        <v>2948</v>
      </c>
      <c r="B48" s="2871" t="str">
        <f>估价对象房地状况!C4</f>
        <v>估价对象位于XX商圈，周边商业氛围成熟，人流量大，商业繁华度好</v>
      </c>
      <c r="C48" s="2768"/>
      <c r="D48" s="1286">
        <f t="shared" ref="D48:D56" si="9">SUMIF($J$47:$N$47,C48,J48:N48)</f>
        <v>0</v>
      </c>
      <c r="E48" s="821">
        <f>ROUND(SUM(D48:D56),4)</f>
        <v>0</v>
      </c>
      <c r="F48" s="2499" t="str">
        <f>IF(E2="商业",SUMIF(L1:L12,G2,N1:N12),"——")</f>
        <v>——</v>
      </c>
      <c r="G48" s="1284"/>
      <c r="H48" s="1288" t="str">
        <f t="shared" ref="H48:H56" si="10">IFERROR(ROUNDDOWN($F$48*I48/2,4),"——")</f>
        <v>——</v>
      </c>
      <c r="I48" s="820">
        <v>0.33</v>
      </c>
      <c r="J48" s="1285">
        <f t="shared" ref="J48:J56" si="11">K48+$G48</f>
        <v>0</v>
      </c>
      <c r="K48" s="1285">
        <f t="shared" ref="K48:K56" si="12">$L48+$G48</f>
        <v>0</v>
      </c>
      <c r="L48" s="1285">
        <v>0</v>
      </c>
      <c r="M48" s="1285">
        <f t="shared" ref="M48:N56" si="13">L48-$G48</f>
        <v>0</v>
      </c>
      <c r="N48" s="1285">
        <f t="shared" si="13"/>
        <v>0</v>
      </c>
      <c r="AA48" s="1371"/>
      <c r="AB48" s="1371"/>
      <c r="AC48" s="1371"/>
      <c r="AD48" s="1371"/>
      <c r="AE48" s="1371"/>
      <c r="AF48" s="1371"/>
      <c r="AG48" s="1371"/>
      <c r="AH48" s="1371"/>
      <c r="AI48" s="1371"/>
      <c r="AJ48" s="1371"/>
      <c r="AK48" s="1371"/>
    </row>
    <row r="49" spans="1:37" s="1370" customFormat="1" ht="84">
      <c r="A49" s="2868" t="s">
        <v>2949</v>
      </c>
      <c r="B49" s="2872" t="str">
        <f>估价对象房地状况!C18</f>
        <v>估价对象周边有开发区3路、快速直达专线181路、578路多条公交线路，距地铁8号线（瀛海站）约4公里，综合评价交通便捷度一般。</v>
      </c>
      <c r="C49" s="2768"/>
      <c r="D49" s="1286">
        <f t="shared" si="9"/>
        <v>0</v>
      </c>
      <c r="E49" s="822"/>
      <c r="F49" s="2499"/>
      <c r="G49" s="1284"/>
      <c r="H49" s="1288" t="str">
        <f t="shared" si="10"/>
        <v>——</v>
      </c>
      <c r="I49" s="820">
        <v>0.25</v>
      </c>
      <c r="J49" s="1285">
        <f t="shared" si="11"/>
        <v>0</v>
      </c>
      <c r="K49" s="1285">
        <f t="shared" si="12"/>
        <v>0</v>
      </c>
      <c r="L49" s="1285">
        <v>0</v>
      </c>
      <c r="M49" s="1285">
        <f t="shared" si="13"/>
        <v>0</v>
      </c>
      <c r="N49" s="1285">
        <f t="shared" si="13"/>
        <v>0</v>
      </c>
      <c r="AA49" s="1371"/>
      <c r="AB49" s="1371"/>
      <c r="AC49" s="1371"/>
      <c r="AD49" s="1371"/>
      <c r="AE49" s="1371"/>
      <c r="AF49" s="1371"/>
      <c r="AG49" s="1371"/>
      <c r="AH49" s="1371"/>
      <c r="AI49" s="1371"/>
      <c r="AJ49" s="1371"/>
      <c r="AK49" s="1371"/>
    </row>
    <row r="50" spans="1:37" s="1370" customFormat="1" ht="30">
      <c r="A50" s="2868" t="s">
        <v>2950</v>
      </c>
      <c r="B50" s="2872">
        <f>估价对象房地状况!C19</f>
        <v>0</v>
      </c>
      <c r="C50" s="2768"/>
      <c r="D50" s="1286">
        <f t="shared" si="9"/>
        <v>0</v>
      </c>
      <c r="E50" s="822"/>
      <c r="F50" s="2499"/>
      <c r="G50" s="1284"/>
      <c r="H50" s="1288" t="str">
        <f t="shared" si="10"/>
        <v>——</v>
      </c>
      <c r="I50" s="820">
        <v>0.05</v>
      </c>
      <c r="J50" s="1285">
        <f t="shared" si="11"/>
        <v>0</v>
      </c>
      <c r="K50" s="1285">
        <f t="shared" si="12"/>
        <v>0</v>
      </c>
      <c r="L50" s="1285">
        <v>0</v>
      </c>
      <c r="M50" s="1285">
        <f t="shared" si="13"/>
        <v>0</v>
      </c>
      <c r="N50" s="1285">
        <f t="shared" si="13"/>
        <v>0</v>
      </c>
      <c r="AA50" s="1371"/>
      <c r="AB50" s="1371"/>
      <c r="AC50" s="1371"/>
      <c r="AD50" s="1371"/>
      <c r="AE50" s="1371"/>
      <c r="AF50" s="1371"/>
      <c r="AG50" s="1371"/>
      <c r="AH50" s="1371"/>
      <c r="AI50" s="1371"/>
      <c r="AJ50" s="1371"/>
      <c r="AK50" s="1371"/>
    </row>
    <row r="51" spans="1:37" s="1370" customFormat="1" ht="60">
      <c r="A51" s="2868" t="s">
        <v>2951</v>
      </c>
      <c r="B51" s="2873" t="s">
        <v>2952</v>
      </c>
      <c r="C51" s="2768"/>
      <c r="D51" s="1286">
        <f t="shared" si="9"/>
        <v>0</v>
      </c>
      <c r="E51" s="822"/>
      <c r="F51" s="2499"/>
      <c r="G51" s="1284"/>
      <c r="H51" s="1288" t="str">
        <f t="shared" si="10"/>
        <v>——</v>
      </c>
      <c r="I51" s="820">
        <v>0.05</v>
      </c>
      <c r="J51" s="1285">
        <f t="shared" si="11"/>
        <v>0</v>
      </c>
      <c r="K51" s="1285">
        <f t="shared" si="12"/>
        <v>0</v>
      </c>
      <c r="L51" s="1285">
        <v>0</v>
      </c>
      <c r="M51" s="1285">
        <f t="shared" si="13"/>
        <v>0</v>
      </c>
      <c r="N51" s="1285">
        <f t="shared" si="13"/>
        <v>0</v>
      </c>
      <c r="AA51" s="1371"/>
      <c r="AB51" s="1371"/>
      <c r="AC51" s="1371"/>
      <c r="AD51" s="1371"/>
      <c r="AE51" s="1371"/>
      <c r="AF51" s="1371"/>
      <c r="AG51" s="1371"/>
      <c r="AH51" s="1371"/>
      <c r="AI51" s="1371"/>
      <c r="AJ51" s="1371"/>
      <c r="AK51" s="1371"/>
    </row>
    <row r="52" spans="1:37" s="1370" customFormat="1" ht="30">
      <c r="A52" s="2868" t="s">
        <v>2953</v>
      </c>
      <c r="B52" s="2872" t="str">
        <f>估价对象房地状况!C24</f>
        <v>城市次干道——兴海路</v>
      </c>
      <c r="C52" s="2768"/>
      <c r="D52" s="1286">
        <f t="shared" si="9"/>
        <v>0</v>
      </c>
      <c r="E52" s="822"/>
      <c r="F52" s="2499"/>
      <c r="G52" s="1284"/>
      <c r="H52" s="1288" t="str">
        <f t="shared" si="10"/>
        <v>——</v>
      </c>
      <c r="I52" s="820">
        <v>0.08</v>
      </c>
      <c r="J52" s="1285">
        <f t="shared" si="11"/>
        <v>0</v>
      </c>
      <c r="K52" s="1285">
        <f t="shared" si="12"/>
        <v>0</v>
      </c>
      <c r="L52" s="1285">
        <v>0</v>
      </c>
      <c r="M52" s="1285">
        <f t="shared" si="13"/>
        <v>0</v>
      </c>
      <c r="N52" s="1285">
        <f t="shared" si="13"/>
        <v>0</v>
      </c>
      <c r="AA52" s="1371"/>
      <c r="AB52" s="1371"/>
      <c r="AC52" s="1371"/>
      <c r="AD52" s="1371"/>
      <c r="AE52" s="1371"/>
      <c r="AF52" s="1371"/>
      <c r="AG52" s="1371"/>
      <c r="AH52" s="1371"/>
      <c r="AI52" s="1371"/>
      <c r="AJ52" s="1371"/>
      <c r="AK52" s="1371"/>
    </row>
    <row r="53" spans="1:37" s="1370" customFormat="1" ht="30">
      <c r="A53" s="2868" t="s">
        <v>2954</v>
      </c>
      <c r="B53" s="2874" t="s">
        <v>2955</v>
      </c>
      <c r="C53" s="2768"/>
      <c r="D53" s="1286">
        <f t="shared" si="9"/>
        <v>0</v>
      </c>
      <c r="E53" s="822"/>
      <c r="F53" s="2499"/>
      <c r="G53" s="1284"/>
      <c r="H53" s="1288" t="str">
        <f t="shared" si="10"/>
        <v>——</v>
      </c>
      <c r="I53" s="820">
        <v>0.03</v>
      </c>
      <c r="J53" s="1285">
        <f t="shared" si="11"/>
        <v>0</v>
      </c>
      <c r="K53" s="1285">
        <f t="shared" si="12"/>
        <v>0</v>
      </c>
      <c r="L53" s="1285">
        <v>0</v>
      </c>
      <c r="M53" s="1285">
        <f t="shared" si="13"/>
        <v>0</v>
      </c>
      <c r="N53" s="1285">
        <f t="shared" si="13"/>
        <v>0</v>
      </c>
      <c r="AA53" s="1371"/>
      <c r="AB53" s="1371"/>
      <c r="AC53" s="1371"/>
      <c r="AD53" s="1371"/>
      <c r="AE53" s="1371"/>
      <c r="AF53" s="1371"/>
      <c r="AG53" s="1371"/>
      <c r="AH53" s="1371"/>
      <c r="AI53" s="1371"/>
      <c r="AJ53" s="1371"/>
      <c r="AK53" s="1371"/>
    </row>
    <row r="54" spans="1:37" s="1370" customFormat="1" ht="30">
      <c r="A54" s="2875" t="s">
        <v>2956</v>
      </c>
      <c r="B54" s="1725" t="str">
        <f>估价对象房地状况!C21</f>
        <v>估价对象所在区域公共配套设施齐备情况一般</v>
      </c>
      <c r="C54" s="2768"/>
      <c r="D54" s="1286">
        <f t="shared" si="9"/>
        <v>0</v>
      </c>
      <c r="E54" s="822"/>
      <c r="F54" s="2499"/>
      <c r="G54" s="1284"/>
      <c r="H54" s="1288" t="str">
        <f t="shared" si="10"/>
        <v>——</v>
      </c>
      <c r="I54" s="820">
        <v>0.05</v>
      </c>
      <c r="J54" s="1285">
        <f t="shared" si="11"/>
        <v>0</v>
      </c>
      <c r="K54" s="1285">
        <f t="shared" si="12"/>
        <v>0</v>
      </c>
      <c r="L54" s="1285">
        <v>0</v>
      </c>
      <c r="M54" s="1285">
        <f t="shared" si="13"/>
        <v>0</v>
      </c>
      <c r="N54" s="1285">
        <f t="shared" si="13"/>
        <v>0</v>
      </c>
      <c r="AA54" s="1371"/>
      <c r="AB54" s="1371"/>
      <c r="AC54" s="1371"/>
      <c r="AD54" s="1371"/>
      <c r="AE54" s="1371"/>
      <c r="AF54" s="1371"/>
      <c r="AG54" s="1371"/>
      <c r="AH54" s="1371"/>
      <c r="AI54" s="1371"/>
      <c r="AJ54" s="1371"/>
      <c r="AK54" s="1371"/>
    </row>
    <row r="55" spans="1:37" s="1370" customFormat="1" ht="30">
      <c r="A55" s="2875" t="s">
        <v>2957</v>
      </c>
      <c r="B55" s="2872" t="str">
        <f>估价对象房地状况!C22</f>
        <v>七通</v>
      </c>
      <c r="C55" s="2768"/>
      <c r="D55" s="1286">
        <f t="shared" si="9"/>
        <v>0</v>
      </c>
      <c r="E55" s="822"/>
      <c r="F55" s="2499"/>
      <c r="G55" s="1284"/>
      <c r="H55" s="1288" t="str">
        <f t="shared" si="10"/>
        <v>——</v>
      </c>
      <c r="I55" s="820">
        <v>0.1</v>
      </c>
      <c r="J55" s="1285">
        <f t="shared" si="11"/>
        <v>0</v>
      </c>
      <c r="K55" s="1285">
        <f t="shared" si="12"/>
        <v>0</v>
      </c>
      <c r="L55" s="1285">
        <v>0</v>
      </c>
      <c r="M55" s="1285">
        <f t="shared" si="13"/>
        <v>0</v>
      </c>
      <c r="N55" s="1285">
        <f t="shared" si="13"/>
        <v>0</v>
      </c>
      <c r="AA55" s="1371"/>
      <c r="AB55" s="1371"/>
      <c r="AC55" s="1371"/>
      <c r="AD55" s="1371"/>
      <c r="AE55" s="1371"/>
      <c r="AF55" s="1371"/>
      <c r="AG55" s="1371"/>
      <c r="AH55" s="1371"/>
      <c r="AI55" s="1371"/>
      <c r="AJ55" s="1371"/>
      <c r="AK55" s="1371"/>
    </row>
    <row r="56" spans="1:37" s="1370" customFormat="1" ht="71" thickBot="1">
      <c r="A56" s="2876" t="s">
        <v>2958</v>
      </c>
      <c r="B56" s="2877" t="str">
        <f>估价对象房地状况!C20</f>
        <v>区域自然环境：体育公园、南海子公园、凉水河；人文环境：北京电子科技职业学院(亦庄校区)；综合评价环境状况一般</v>
      </c>
      <c r="C56" s="2768"/>
      <c r="D56" s="1286">
        <f t="shared" si="9"/>
        <v>0</v>
      </c>
      <c r="E56" s="825"/>
      <c r="F56" s="2499"/>
      <c r="G56" s="1284"/>
      <c r="H56" s="1288" t="str">
        <f t="shared" si="10"/>
        <v>——</v>
      </c>
      <c r="I56" s="824">
        <v>0.06</v>
      </c>
      <c r="J56" s="1285">
        <f t="shared" si="11"/>
        <v>0</v>
      </c>
      <c r="K56" s="1285">
        <f t="shared" si="12"/>
        <v>0</v>
      </c>
      <c r="L56" s="1285">
        <v>0</v>
      </c>
      <c r="M56" s="1285">
        <f t="shared" si="13"/>
        <v>0</v>
      </c>
      <c r="N56" s="1285">
        <f t="shared" si="13"/>
        <v>0</v>
      </c>
      <c r="AA56" s="1371"/>
      <c r="AB56" s="1371"/>
      <c r="AC56" s="1371"/>
      <c r="AD56" s="1371"/>
      <c r="AE56" s="1371"/>
      <c r="AF56" s="1371"/>
      <c r="AG56" s="1371"/>
      <c r="AH56" s="1371"/>
      <c r="AI56" s="1371"/>
      <c r="AJ56" s="1371"/>
      <c r="AK56" s="1371"/>
    </row>
    <row r="57" spans="1:37" s="1370" customFormat="1" ht="14">
      <c r="A57" s="2864" t="s">
        <v>2959</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30">
      <c r="A58" s="2868" t="s">
        <v>2940</v>
      </c>
      <c r="B58" s="1809"/>
      <c r="C58" s="1809" t="s">
        <v>2942</v>
      </c>
      <c r="D58" s="1809" t="s">
        <v>2943</v>
      </c>
      <c r="E58" s="819" t="s">
        <v>2944</v>
      </c>
      <c r="F58" s="2869" t="s">
        <v>2960</v>
      </c>
      <c r="G58" s="1809" t="s">
        <v>754</v>
      </c>
      <c r="H58" s="2870" t="s">
        <v>2946</v>
      </c>
      <c r="I58" s="1809" t="s">
        <v>2947</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56">
      <c r="A59" s="2868" t="s">
        <v>2961</v>
      </c>
      <c r="B59" s="2871" t="str">
        <f>估价对象房地状况!C17</f>
        <v>估价对象位于XX商圈，周边办公楼项目较多，入驻率高，办公集聚程度较好</v>
      </c>
      <c r="C59" s="2768"/>
      <c r="D59" s="1286">
        <f t="shared" ref="D59:D67" si="14">SUMIF($J$58:$N$58,C59,J59:N59)</f>
        <v>0</v>
      </c>
      <c r="E59" s="821">
        <f>ROUND(SUM(D59:D67),4)</f>
        <v>0</v>
      </c>
      <c r="F59" s="2499" t="str">
        <f>IF(E2="办公",SUMIF(L1:L12,G2,N1:N12),"——")</f>
        <v>——</v>
      </c>
      <c r="G59" s="1284"/>
      <c r="H59" s="1288" t="str">
        <f t="shared" ref="H59:H67" si="15">IFERROR(ROUNDDOWN($F$59*I59/2,4),"——")</f>
        <v>——</v>
      </c>
      <c r="I59" s="820">
        <v>0.24</v>
      </c>
      <c r="J59" s="1285">
        <f t="shared" ref="J59:J67" si="16">K59+$G59</f>
        <v>0</v>
      </c>
      <c r="K59" s="1285">
        <f t="shared" ref="K59:K67" si="17">$L59+$G59</f>
        <v>0</v>
      </c>
      <c r="L59" s="1285">
        <v>0</v>
      </c>
      <c r="M59" s="1285">
        <f t="shared" ref="M59:N67" si="18">L59-$G59</f>
        <v>0</v>
      </c>
      <c r="N59" s="1285">
        <f t="shared" si="18"/>
        <v>0</v>
      </c>
      <c r="AA59" s="1371"/>
      <c r="AB59" s="1371"/>
      <c r="AC59" s="1371"/>
      <c r="AD59" s="1371"/>
      <c r="AE59" s="1371"/>
      <c r="AF59" s="1371"/>
      <c r="AG59" s="1371"/>
      <c r="AH59" s="1371"/>
      <c r="AI59" s="1371"/>
      <c r="AJ59" s="1371"/>
      <c r="AK59" s="1371"/>
    </row>
    <row r="60" spans="1:37" s="1370" customFormat="1" ht="84">
      <c r="A60" s="2868" t="s">
        <v>2949</v>
      </c>
      <c r="B60" s="2872" t="str">
        <f>估价对象房地状况!C18</f>
        <v>估价对象周边有开发区3路、快速直达专线181路、578路多条公交线路，距地铁8号线（瀛海站）约4公里，综合评价交通便捷度一般。</v>
      </c>
      <c r="C60" s="2768"/>
      <c r="D60" s="1286">
        <f t="shared" si="14"/>
        <v>0</v>
      </c>
      <c r="E60" s="822"/>
      <c r="F60" s="2499"/>
      <c r="G60" s="1284"/>
      <c r="H60" s="1288" t="str">
        <f t="shared" si="15"/>
        <v>——</v>
      </c>
      <c r="I60" s="820">
        <v>0.3</v>
      </c>
      <c r="J60" s="1285">
        <f t="shared" si="16"/>
        <v>0</v>
      </c>
      <c r="K60" s="1285">
        <f t="shared" si="17"/>
        <v>0</v>
      </c>
      <c r="L60" s="1285">
        <v>0</v>
      </c>
      <c r="M60" s="1285">
        <f t="shared" si="18"/>
        <v>0</v>
      </c>
      <c r="N60" s="1285">
        <f t="shared" si="18"/>
        <v>0</v>
      </c>
      <c r="AA60" s="1371"/>
      <c r="AB60" s="1371"/>
      <c r="AC60" s="1371"/>
      <c r="AD60" s="1371"/>
      <c r="AE60" s="1371"/>
      <c r="AF60" s="1371"/>
      <c r="AG60" s="1371"/>
      <c r="AH60" s="1371"/>
      <c r="AI60" s="1371"/>
      <c r="AJ60" s="1371"/>
      <c r="AK60" s="1371"/>
    </row>
    <row r="61" spans="1:37" s="1370" customFormat="1" ht="30">
      <c r="A61" s="2868" t="s">
        <v>2950</v>
      </c>
      <c r="B61" s="2872">
        <f>估价对象房地状况!C19</f>
        <v>0</v>
      </c>
      <c r="C61" s="2768"/>
      <c r="D61" s="1286">
        <f t="shared" si="14"/>
        <v>0</v>
      </c>
      <c r="E61" s="822"/>
      <c r="F61" s="2499"/>
      <c r="G61" s="1284"/>
      <c r="H61" s="1288" t="str">
        <f t="shared" si="15"/>
        <v>——</v>
      </c>
      <c r="I61" s="820">
        <v>0.08</v>
      </c>
      <c r="J61" s="1285">
        <f t="shared" si="16"/>
        <v>0</v>
      </c>
      <c r="K61" s="1285">
        <f t="shared" si="17"/>
        <v>0</v>
      </c>
      <c r="L61" s="1285">
        <v>0</v>
      </c>
      <c r="M61" s="1285">
        <f t="shared" si="18"/>
        <v>0</v>
      </c>
      <c r="N61" s="1285">
        <f t="shared" si="18"/>
        <v>0</v>
      </c>
      <c r="AA61" s="1371"/>
      <c r="AB61" s="1371"/>
      <c r="AC61" s="1371"/>
      <c r="AD61" s="1371"/>
      <c r="AE61" s="1371"/>
      <c r="AF61" s="1371"/>
      <c r="AG61" s="1371"/>
      <c r="AH61" s="1371"/>
      <c r="AI61" s="1371"/>
      <c r="AJ61" s="1371"/>
      <c r="AK61" s="1371"/>
    </row>
    <row r="62" spans="1:37" s="1370" customFormat="1" ht="60">
      <c r="A62" s="2868" t="s">
        <v>2951</v>
      </c>
      <c r="B62" s="2873" t="s">
        <v>2952</v>
      </c>
      <c r="C62" s="2768"/>
      <c r="D62" s="1286">
        <f t="shared" si="14"/>
        <v>0</v>
      </c>
      <c r="E62" s="822"/>
      <c r="F62" s="2499"/>
      <c r="G62" s="1284"/>
      <c r="H62" s="1288" t="str">
        <f t="shared" si="15"/>
        <v>——</v>
      </c>
      <c r="I62" s="820">
        <v>0.04</v>
      </c>
      <c r="J62" s="1285">
        <f t="shared" si="16"/>
        <v>0</v>
      </c>
      <c r="K62" s="1285">
        <f t="shared" si="17"/>
        <v>0</v>
      </c>
      <c r="L62" s="1285">
        <v>0</v>
      </c>
      <c r="M62" s="1285">
        <f t="shared" si="18"/>
        <v>0</v>
      </c>
      <c r="N62" s="1285">
        <f t="shared" si="18"/>
        <v>0</v>
      </c>
      <c r="AA62" s="1371"/>
      <c r="AB62" s="1371"/>
      <c r="AC62" s="1371"/>
      <c r="AD62" s="1371"/>
      <c r="AE62" s="1371"/>
      <c r="AF62" s="1371"/>
      <c r="AG62" s="1371"/>
      <c r="AH62" s="1371"/>
      <c r="AI62" s="1371"/>
      <c r="AJ62" s="1371"/>
      <c r="AK62" s="1371"/>
    </row>
    <row r="63" spans="1:37" s="1370" customFormat="1" ht="30">
      <c r="A63" s="2868" t="s">
        <v>2953</v>
      </c>
      <c r="B63" s="2872" t="str">
        <f>估价对象房地状况!C24</f>
        <v>城市次干道——兴海路</v>
      </c>
      <c r="C63" s="2768"/>
      <c r="D63" s="1286">
        <f t="shared" si="14"/>
        <v>0</v>
      </c>
      <c r="E63" s="822"/>
      <c r="F63" s="2499"/>
      <c r="G63" s="1284"/>
      <c r="H63" s="1288" t="str">
        <f t="shared" si="15"/>
        <v>——</v>
      </c>
      <c r="I63" s="820">
        <v>0.05</v>
      </c>
      <c r="J63" s="1285">
        <f t="shared" si="16"/>
        <v>0</v>
      </c>
      <c r="K63" s="1285">
        <f t="shared" si="17"/>
        <v>0</v>
      </c>
      <c r="L63" s="1285">
        <v>0</v>
      </c>
      <c r="M63" s="1285">
        <f t="shared" si="18"/>
        <v>0</v>
      </c>
      <c r="N63" s="1285">
        <f t="shared" si="18"/>
        <v>0</v>
      </c>
      <c r="AA63" s="1371"/>
      <c r="AB63" s="1371"/>
      <c r="AC63" s="1371"/>
      <c r="AD63" s="1371"/>
      <c r="AE63" s="1371"/>
      <c r="AF63" s="1371"/>
      <c r="AG63" s="1371"/>
      <c r="AH63" s="1371"/>
      <c r="AI63" s="1371"/>
      <c r="AJ63" s="1371"/>
      <c r="AK63" s="1371"/>
    </row>
    <row r="64" spans="1:37" s="1370" customFormat="1" ht="30">
      <c r="A64" s="2868" t="s">
        <v>2954</v>
      </c>
      <c r="B64" s="2874" t="s">
        <v>2955</v>
      </c>
      <c r="C64" s="2768"/>
      <c r="D64" s="1286">
        <f t="shared" si="14"/>
        <v>0</v>
      </c>
      <c r="E64" s="822"/>
      <c r="F64" s="2499"/>
      <c r="G64" s="1284"/>
      <c r="H64" s="1288" t="str">
        <f t="shared" si="15"/>
        <v>——</v>
      </c>
      <c r="I64" s="820">
        <v>0.05</v>
      </c>
      <c r="J64" s="1285">
        <f t="shared" si="16"/>
        <v>0</v>
      </c>
      <c r="K64" s="1285">
        <f t="shared" si="17"/>
        <v>0</v>
      </c>
      <c r="L64" s="1285">
        <v>0</v>
      </c>
      <c r="M64" s="1285">
        <f t="shared" si="18"/>
        <v>0</v>
      </c>
      <c r="N64" s="1285">
        <f t="shared" si="18"/>
        <v>0</v>
      </c>
      <c r="AA64" s="1371"/>
      <c r="AB64" s="1371"/>
      <c r="AC64" s="1371"/>
      <c r="AD64" s="1371"/>
      <c r="AE64" s="1371"/>
      <c r="AF64" s="1371"/>
      <c r="AG64" s="1371"/>
      <c r="AH64" s="1371"/>
      <c r="AI64" s="1371"/>
      <c r="AJ64" s="1371"/>
      <c r="AK64" s="1371"/>
    </row>
    <row r="65" spans="1:37" s="1370" customFormat="1" ht="30">
      <c r="A65" s="2868" t="s">
        <v>2956</v>
      </c>
      <c r="B65" s="1725" t="str">
        <f>估价对象房地状况!C21</f>
        <v>估价对象所在区域公共配套设施齐备情况一般</v>
      </c>
      <c r="C65" s="2768"/>
      <c r="D65" s="1286">
        <f t="shared" si="14"/>
        <v>0</v>
      </c>
      <c r="E65" s="822"/>
      <c r="F65" s="2499"/>
      <c r="G65" s="1284"/>
      <c r="H65" s="1288" t="str">
        <f t="shared" si="15"/>
        <v>——</v>
      </c>
      <c r="I65" s="820">
        <v>0.06</v>
      </c>
      <c r="J65" s="1285">
        <f t="shared" si="16"/>
        <v>0</v>
      </c>
      <c r="K65" s="1285">
        <f t="shared" si="17"/>
        <v>0</v>
      </c>
      <c r="L65" s="1285">
        <v>0</v>
      </c>
      <c r="M65" s="1285">
        <f t="shared" si="18"/>
        <v>0</v>
      </c>
      <c r="N65" s="1285">
        <f t="shared" si="18"/>
        <v>0</v>
      </c>
      <c r="AA65" s="1371"/>
      <c r="AB65" s="1371"/>
      <c r="AC65" s="1371"/>
      <c r="AD65" s="1371"/>
      <c r="AE65" s="1371"/>
      <c r="AF65" s="1371"/>
      <c r="AG65" s="1371"/>
      <c r="AH65" s="1371"/>
      <c r="AI65" s="1371"/>
      <c r="AJ65" s="1371"/>
      <c r="AK65" s="1371"/>
    </row>
    <row r="66" spans="1:37" s="1370" customFormat="1" ht="30">
      <c r="A66" s="2868" t="s">
        <v>2957</v>
      </c>
      <c r="B66" s="1725" t="str">
        <f>估价对象房地状况!C22</f>
        <v>七通</v>
      </c>
      <c r="C66" s="2768"/>
      <c r="D66" s="1286">
        <f t="shared" si="14"/>
        <v>0</v>
      </c>
      <c r="E66" s="822"/>
      <c r="F66" s="2499"/>
      <c r="G66" s="1284"/>
      <c r="H66" s="1288" t="str">
        <f t="shared" si="15"/>
        <v>——</v>
      </c>
      <c r="I66" s="820">
        <v>0.12</v>
      </c>
      <c r="J66" s="1285">
        <f t="shared" si="16"/>
        <v>0</v>
      </c>
      <c r="K66" s="1285">
        <f t="shared" si="17"/>
        <v>0</v>
      </c>
      <c r="L66" s="1285">
        <v>0</v>
      </c>
      <c r="M66" s="1285">
        <f t="shared" si="18"/>
        <v>0</v>
      </c>
      <c r="N66" s="1285">
        <f t="shared" si="18"/>
        <v>0</v>
      </c>
      <c r="AA66" s="1371"/>
      <c r="AB66" s="1371"/>
      <c r="AC66" s="1371"/>
      <c r="AD66" s="1371"/>
      <c r="AE66" s="1371"/>
      <c r="AF66" s="1371"/>
      <c r="AG66" s="1371"/>
      <c r="AH66" s="1371"/>
      <c r="AI66" s="1371"/>
      <c r="AJ66" s="1371"/>
      <c r="AK66" s="1371"/>
    </row>
    <row r="67" spans="1:37" s="1370" customFormat="1" ht="71" thickBot="1">
      <c r="A67" s="2876" t="s">
        <v>2958</v>
      </c>
      <c r="B67" s="2878" t="str">
        <f>估价对象房地状况!C20</f>
        <v>区域自然环境：体育公园、南海子公园、凉水河；人文环境：北京电子科技职业学院(亦庄校区)；综合评价环境状况一般</v>
      </c>
      <c r="C67" s="2768"/>
      <c r="D67" s="1286">
        <f t="shared" si="14"/>
        <v>0</v>
      </c>
      <c r="E67" s="825"/>
      <c r="F67" s="2499"/>
      <c r="G67" s="1284"/>
      <c r="H67" s="1288" t="str">
        <f t="shared" si="15"/>
        <v>——</v>
      </c>
      <c r="I67" s="824">
        <v>0.06</v>
      </c>
      <c r="J67" s="1285">
        <f t="shared" si="16"/>
        <v>0</v>
      </c>
      <c r="K67" s="1285">
        <f t="shared" si="17"/>
        <v>0</v>
      </c>
      <c r="L67" s="1285">
        <v>0</v>
      </c>
      <c r="M67" s="1285">
        <f t="shared" si="18"/>
        <v>0</v>
      </c>
      <c r="N67" s="1285">
        <f t="shared" si="18"/>
        <v>0</v>
      </c>
      <c r="AA67" s="1371"/>
      <c r="AB67" s="1371"/>
      <c r="AC67" s="1371"/>
      <c r="AD67" s="1371"/>
      <c r="AE67" s="1371"/>
      <c r="AF67" s="1371"/>
      <c r="AG67" s="1371"/>
      <c r="AH67" s="1371"/>
      <c r="AI67" s="1371"/>
      <c r="AJ67" s="1371"/>
      <c r="AK67" s="1371"/>
    </row>
    <row r="68" spans="1:37" s="1370" customFormat="1" ht="14">
      <c r="A68" s="2864" t="s">
        <v>2962</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30">
      <c r="A69" s="2868" t="s">
        <v>2940</v>
      </c>
      <c r="B69" s="1809"/>
      <c r="C69" s="1809" t="s">
        <v>2942</v>
      </c>
      <c r="D69" s="1809" t="s">
        <v>2943</v>
      </c>
      <c r="E69" s="819" t="s">
        <v>2944</v>
      </c>
      <c r="F69" s="2869" t="s">
        <v>2960</v>
      </c>
      <c r="G69" s="1809" t="s">
        <v>754</v>
      </c>
      <c r="H69" s="2870" t="s">
        <v>2946</v>
      </c>
      <c r="I69" s="1809" t="s">
        <v>2947</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126">
      <c r="A70" s="2868" t="s">
        <v>2963</v>
      </c>
      <c r="B70" s="2871" t="str">
        <f>估价对象房地状况!C15</f>
        <v>估价对象周边居住用地比例较高、居住小区规模较大但大部分社区正在发展完善中，周边已建成项目有南海家园社区、金茂悦、海梓府等，在建项目有金隅学府、和悦华锦、中铁国际公馆等，综合评价居住社区成熟度较好。</v>
      </c>
      <c r="C70" s="2768"/>
      <c r="D70" s="1286">
        <f t="shared" ref="D70:D78" si="19">SUMIF($J$69:$N$69,C70,J70:N70)</f>
        <v>0</v>
      </c>
      <c r="E70" s="821">
        <f>ROUND(SUM(D70:D78),4)</f>
        <v>0</v>
      </c>
      <c r="F70" s="2499" t="str">
        <f>IF(E2="住宅",SUMIF(L1:L12,G2,N1:N12),"——")</f>
        <v>——</v>
      </c>
      <c r="G70" s="1284"/>
      <c r="H70" s="1288" t="str">
        <f t="shared" ref="H70:H78" si="20">IFERROR(ROUNDDOWN($F$70*I70/2,4),"——")</f>
        <v>——</v>
      </c>
      <c r="I70" s="820">
        <v>0.14000000000000001</v>
      </c>
      <c r="J70" s="1285">
        <f t="shared" ref="J70:J78" si="21">K70+$G70</f>
        <v>0</v>
      </c>
      <c r="K70" s="1285">
        <f t="shared" ref="K70:K78" si="22">$L70+$G70</f>
        <v>0</v>
      </c>
      <c r="L70" s="1285">
        <v>0</v>
      </c>
      <c r="M70" s="1285">
        <f t="shared" ref="M70:N78" si="23">L70-$G70</f>
        <v>0</v>
      </c>
      <c r="N70" s="1285">
        <f t="shared" si="23"/>
        <v>0</v>
      </c>
      <c r="AA70" s="1371"/>
      <c r="AB70" s="1371"/>
      <c r="AC70" s="1371"/>
      <c r="AD70" s="1371"/>
      <c r="AE70" s="1371"/>
      <c r="AF70" s="1371"/>
      <c r="AG70" s="1371"/>
      <c r="AH70" s="1371"/>
      <c r="AI70" s="1371"/>
      <c r="AJ70" s="1371"/>
      <c r="AK70" s="1371"/>
    </row>
    <row r="71" spans="1:37" s="1370" customFormat="1" ht="84">
      <c r="A71" s="2868" t="s">
        <v>2949</v>
      </c>
      <c r="B71" s="2872" t="str">
        <f>估价对象房地状况!C18</f>
        <v>估价对象周边有开发区3路、快速直达专线181路、578路多条公交线路，距地铁8号线（瀛海站）约4公里，综合评价交通便捷度一般。</v>
      </c>
      <c r="C71" s="2768"/>
      <c r="D71" s="1286">
        <f t="shared" si="19"/>
        <v>0</v>
      </c>
      <c r="E71" s="826"/>
      <c r="F71" s="2499"/>
      <c r="G71" s="1284"/>
      <c r="H71" s="1288" t="str">
        <f t="shared" si="20"/>
        <v>——</v>
      </c>
      <c r="I71" s="820">
        <v>0.3</v>
      </c>
      <c r="J71" s="1285">
        <f t="shared" si="21"/>
        <v>0</v>
      </c>
      <c r="K71" s="1285">
        <f t="shared" si="22"/>
        <v>0</v>
      </c>
      <c r="L71" s="1285">
        <v>0</v>
      </c>
      <c r="M71" s="1285">
        <f t="shared" si="23"/>
        <v>0</v>
      </c>
      <c r="N71" s="1285">
        <f t="shared" si="23"/>
        <v>0</v>
      </c>
      <c r="AA71" s="1371"/>
      <c r="AB71" s="1371"/>
      <c r="AC71" s="1371"/>
      <c r="AD71" s="1371"/>
      <c r="AE71" s="1371"/>
      <c r="AF71" s="1371"/>
      <c r="AG71" s="1371"/>
      <c r="AH71" s="1371"/>
      <c r="AI71" s="1371"/>
      <c r="AJ71" s="1371"/>
      <c r="AK71" s="1371"/>
    </row>
    <row r="72" spans="1:37" s="1370" customFormat="1" ht="30">
      <c r="A72" s="2868" t="s">
        <v>2950</v>
      </c>
      <c r="B72" s="2872">
        <f>估价对象房地状况!C19</f>
        <v>0</v>
      </c>
      <c r="C72" s="2768"/>
      <c r="D72" s="1286">
        <f t="shared" si="19"/>
        <v>0</v>
      </c>
      <c r="E72" s="826"/>
      <c r="F72" s="2499"/>
      <c r="G72" s="1284"/>
      <c r="H72" s="1288" t="str">
        <f t="shared" si="20"/>
        <v>——</v>
      </c>
      <c r="I72" s="820">
        <v>0.08</v>
      </c>
      <c r="J72" s="1285">
        <f t="shared" si="21"/>
        <v>0</v>
      </c>
      <c r="K72" s="1285">
        <f t="shared" si="22"/>
        <v>0</v>
      </c>
      <c r="L72" s="1285">
        <v>0</v>
      </c>
      <c r="M72" s="1285">
        <f t="shared" si="23"/>
        <v>0</v>
      </c>
      <c r="N72" s="1285">
        <f t="shared" si="23"/>
        <v>0</v>
      </c>
      <c r="AA72" s="1371"/>
      <c r="AB72" s="1371"/>
      <c r="AC72" s="1371"/>
      <c r="AD72" s="1371"/>
      <c r="AE72" s="1371"/>
      <c r="AF72" s="1371"/>
      <c r="AG72" s="1371"/>
      <c r="AH72" s="1371"/>
      <c r="AI72" s="1371"/>
      <c r="AJ72" s="1371"/>
      <c r="AK72" s="1371"/>
    </row>
    <row r="73" spans="1:37" s="1370" customFormat="1" ht="15">
      <c r="A73" s="2868" t="s">
        <v>2964</v>
      </c>
      <c r="B73" s="2872" t="str">
        <f>估价对象房地状况!C24</f>
        <v>城市次干道——兴海路</v>
      </c>
      <c r="C73" s="2768"/>
      <c r="D73" s="1286">
        <f t="shared" si="19"/>
        <v>0</v>
      </c>
      <c r="E73" s="826"/>
      <c r="F73" s="2499"/>
      <c r="G73" s="1284"/>
      <c r="H73" s="1288" t="str">
        <f t="shared" si="20"/>
        <v>——</v>
      </c>
      <c r="I73" s="820">
        <v>0.04</v>
      </c>
      <c r="J73" s="1285">
        <f t="shared" si="21"/>
        <v>0</v>
      </c>
      <c r="K73" s="1285">
        <f t="shared" si="22"/>
        <v>0</v>
      </c>
      <c r="L73" s="1285">
        <v>0</v>
      </c>
      <c r="M73" s="1285">
        <f t="shared" si="23"/>
        <v>0</v>
      </c>
      <c r="N73" s="1285">
        <f t="shared" si="23"/>
        <v>0</v>
      </c>
      <c r="AA73" s="1371"/>
      <c r="AB73" s="1371"/>
      <c r="AC73" s="1371"/>
      <c r="AD73" s="1371"/>
      <c r="AE73" s="1371"/>
      <c r="AF73" s="1371"/>
      <c r="AG73" s="1371"/>
      <c r="AH73" s="1371"/>
      <c r="AI73" s="1371"/>
      <c r="AJ73" s="1371"/>
      <c r="AK73" s="1371"/>
    </row>
    <row r="74" spans="1:37" s="1370" customFormat="1" ht="30">
      <c r="A74" s="2868" t="s">
        <v>2956</v>
      </c>
      <c r="B74" s="1725" t="str">
        <f>估价对象房地状况!C21</f>
        <v>估价对象所在区域公共配套设施齐备情况一般</v>
      </c>
      <c r="C74" s="2768"/>
      <c r="D74" s="1286">
        <f t="shared" si="19"/>
        <v>0</v>
      </c>
      <c r="E74" s="826"/>
      <c r="F74" s="2499"/>
      <c r="G74" s="1284"/>
      <c r="H74" s="1288" t="str">
        <f t="shared" si="20"/>
        <v>——</v>
      </c>
      <c r="I74" s="820">
        <v>0.08</v>
      </c>
      <c r="J74" s="1285">
        <f t="shared" si="21"/>
        <v>0</v>
      </c>
      <c r="K74" s="1285">
        <f t="shared" si="22"/>
        <v>0</v>
      </c>
      <c r="L74" s="1285">
        <v>0</v>
      </c>
      <c r="M74" s="1285">
        <f t="shared" si="23"/>
        <v>0</v>
      </c>
      <c r="N74" s="1285">
        <f t="shared" si="23"/>
        <v>0</v>
      </c>
      <c r="AA74" s="1371"/>
      <c r="AB74" s="1371"/>
      <c r="AC74" s="1371"/>
      <c r="AD74" s="1371"/>
      <c r="AE74" s="1371"/>
      <c r="AF74" s="1371"/>
      <c r="AG74" s="1371"/>
      <c r="AH74" s="1371"/>
      <c r="AI74" s="1371"/>
      <c r="AJ74" s="1371"/>
      <c r="AK74" s="1371"/>
    </row>
    <row r="75" spans="1:37" s="1370" customFormat="1" ht="30">
      <c r="A75" s="2868" t="s">
        <v>2957</v>
      </c>
      <c r="B75" s="1725" t="str">
        <f>估价对象房地状况!C22</f>
        <v>七通</v>
      </c>
      <c r="C75" s="2768"/>
      <c r="D75" s="1286">
        <f t="shared" si="19"/>
        <v>0</v>
      </c>
      <c r="E75" s="826"/>
      <c r="F75" s="2499"/>
      <c r="G75" s="1284"/>
      <c r="H75" s="1288" t="str">
        <f t="shared" si="20"/>
        <v>——</v>
      </c>
      <c r="I75" s="820">
        <v>0.12</v>
      </c>
      <c r="J75" s="1285">
        <f t="shared" si="21"/>
        <v>0</v>
      </c>
      <c r="K75" s="1285">
        <f t="shared" si="22"/>
        <v>0</v>
      </c>
      <c r="L75" s="1285">
        <v>0</v>
      </c>
      <c r="M75" s="1285">
        <f t="shared" si="23"/>
        <v>0</v>
      </c>
      <c r="N75" s="1285">
        <f t="shared" si="23"/>
        <v>0</v>
      </c>
      <c r="AA75" s="1371"/>
      <c r="AB75" s="1371"/>
      <c r="AC75" s="1371"/>
      <c r="AD75" s="1371"/>
      <c r="AE75" s="1371"/>
      <c r="AF75" s="1371"/>
      <c r="AG75" s="1371"/>
      <c r="AH75" s="1371"/>
      <c r="AI75" s="1371"/>
      <c r="AJ75" s="1371"/>
      <c r="AK75" s="1371"/>
    </row>
    <row r="76" spans="1:37" s="2717" customFormat="1" ht="30">
      <c r="A76" s="2868" t="s">
        <v>2954</v>
      </c>
      <c r="B76" s="2874" t="s">
        <v>2955</v>
      </c>
      <c r="C76" s="2768"/>
      <c r="D76" s="1286">
        <f t="shared" si="19"/>
        <v>0</v>
      </c>
      <c r="E76" s="826"/>
      <c r="F76" s="2499"/>
      <c r="G76" s="1284"/>
      <c r="H76" s="1288" t="str">
        <f t="shared" si="20"/>
        <v>——</v>
      </c>
      <c r="I76" s="820">
        <v>0.05</v>
      </c>
      <c r="J76" s="1285">
        <f t="shared" si="21"/>
        <v>0</v>
      </c>
      <c r="K76" s="1285">
        <f t="shared" si="22"/>
        <v>0</v>
      </c>
      <c r="L76" s="1285">
        <v>0</v>
      </c>
      <c r="M76" s="1285">
        <f t="shared" si="23"/>
        <v>0</v>
      </c>
      <c r="N76" s="1285">
        <f t="shared" si="23"/>
        <v>0</v>
      </c>
      <c r="AA76" s="2879"/>
      <c r="AB76" s="1371"/>
      <c r="AC76" s="1371"/>
      <c r="AD76" s="1371"/>
      <c r="AE76" s="1371"/>
      <c r="AF76" s="1371"/>
      <c r="AG76" s="1371"/>
      <c r="AH76" s="2879"/>
      <c r="AI76" s="2879"/>
      <c r="AJ76" s="2879"/>
      <c r="AK76" s="2879"/>
    </row>
    <row r="77" spans="1:37" ht="70">
      <c r="A77" s="2868" t="s">
        <v>2958</v>
      </c>
      <c r="B77" s="2871" t="str">
        <f>估价对象房地状况!C20</f>
        <v>区域自然环境：体育公园、南海子公园、凉水河；人文环境：北京电子科技职业学院(亦庄校区)；综合评价环境状况一般</v>
      </c>
      <c r="C77" s="2768"/>
      <c r="D77" s="1286">
        <f t="shared" si="19"/>
        <v>0</v>
      </c>
      <c r="E77" s="826"/>
      <c r="F77" s="2499"/>
      <c r="G77" s="1284"/>
      <c r="H77" s="1288" t="str">
        <f t="shared" si="20"/>
        <v>——</v>
      </c>
      <c r="I77" s="820">
        <v>0.15</v>
      </c>
      <c r="J77" s="1285">
        <f t="shared" si="21"/>
        <v>0</v>
      </c>
      <c r="K77" s="1285">
        <f t="shared" si="22"/>
        <v>0</v>
      </c>
      <c r="L77" s="1285">
        <v>0</v>
      </c>
      <c r="M77" s="1285">
        <f t="shared" si="23"/>
        <v>0</v>
      </c>
      <c r="N77" s="1285">
        <f t="shared" si="23"/>
        <v>0</v>
      </c>
      <c r="Z77" s="2718"/>
      <c r="AA77" s="2786"/>
      <c r="AG77" s="1372"/>
      <c r="AK77" s="2786"/>
    </row>
    <row r="78" spans="1:37" ht="31" thickBot="1">
      <c r="A78" s="2876" t="s">
        <v>2965</v>
      </c>
      <c r="B78" s="2880"/>
      <c r="C78" s="2768"/>
      <c r="D78" s="1286">
        <f t="shared" si="19"/>
        <v>0</v>
      </c>
      <c r="E78" s="827"/>
      <c r="F78" s="2499"/>
      <c r="G78" s="1284"/>
      <c r="H78" s="1288" t="str">
        <f t="shared" si="20"/>
        <v>——</v>
      </c>
      <c r="I78" s="824">
        <v>0.04</v>
      </c>
      <c r="J78" s="1285">
        <f t="shared" si="21"/>
        <v>0</v>
      </c>
      <c r="K78" s="1285">
        <f t="shared" si="22"/>
        <v>0</v>
      </c>
      <c r="L78" s="1285">
        <v>0</v>
      </c>
      <c r="M78" s="1285">
        <f t="shared" si="23"/>
        <v>0</v>
      </c>
      <c r="N78" s="1285">
        <f t="shared" si="23"/>
        <v>0</v>
      </c>
      <c r="Z78" s="2718"/>
      <c r="AA78" s="2786"/>
      <c r="AG78" s="1372"/>
      <c r="AK78" s="2786"/>
    </row>
    <row r="79" spans="1:37" ht="14">
      <c r="A79" s="2864" t="s">
        <v>2966</v>
      </c>
      <c r="B79" s="2865">
        <f>1+E81</f>
        <v>1</v>
      </c>
      <c r="C79" s="814"/>
      <c r="D79" s="814"/>
      <c r="E79" s="815"/>
      <c r="F79" s="2867"/>
      <c r="G79" s="6"/>
      <c r="H79" s="6"/>
      <c r="I79" s="6"/>
      <c r="J79" s="7"/>
      <c r="K79" s="7"/>
      <c r="L79" s="7"/>
      <c r="M79" s="7"/>
      <c r="N79" s="7"/>
      <c r="Z79" s="2718"/>
      <c r="AA79" s="2786"/>
      <c r="AG79" s="1372"/>
      <c r="AK79" s="2786"/>
    </row>
    <row r="80" spans="1:37" ht="30">
      <c r="A80" s="2868" t="s">
        <v>2940</v>
      </c>
      <c r="B80" s="1809"/>
      <c r="C80" s="1809" t="s">
        <v>2942</v>
      </c>
      <c r="D80" s="1809" t="s">
        <v>2943</v>
      </c>
      <c r="E80" s="819" t="s">
        <v>2944</v>
      </c>
      <c r="F80" s="2869" t="s">
        <v>2960</v>
      </c>
      <c r="G80" s="1809" t="s">
        <v>754</v>
      </c>
      <c r="H80" s="2870" t="s">
        <v>2946</v>
      </c>
      <c r="I80" s="1809" t="s">
        <v>2947</v>
      </c>
      <c r="J80" s="603" t="s">
        <v>2595</v>
      </c>
      <c r="K80" s="603" t="s">
        <v>2596</v>
      </c>
      <c r="L80" s="603" t="s">
        <v>2597</v>
      </c>
      <c r="M80" s="603" t="s">
        <v>2598</v>
      </c>
      <c r="N80" s="603" t="s">
        <v>2599</v>
      </c>
      <c r="Z80" s="2718"/>
      <c r="AA80" s="2786"/>
      <c r="AG80" s="1372"/>
      <c r="AK80" s="2786"/>
    </row>
    <row r="81" spans="1:37" ht="42">
      <c r="A81" s="2868" t="s">
        <v>2967</v>
      </c>
      <c r="B81" s="2872" t="str">
        <f>估价对象房地状况!G15</f>
        <v>估价对象位于XX开发区，园区建设成熟度XX，产业集聚程度XX</v>
      </c>
      <c r="C81" s="2768"/>
      <c r="D81" s="1286">
        <f t="shared" ref="D81:D88" si="24">SUMIF($J$80:$N$80,C81,J81:N81)</f>
        <v>0</v>
      </c>
      <c r="E81" s="821">
        <f>ROUND(SUM(D81:D88),4)</f>
        <v>0</v>
      </c>
      <c r="F81" s="2499" t="str">
        <f>IF(E2="工业",SUMIF(L1:L12,G2,N1:N12),"——")</f>
        <v>——</v>
      </c>
      <c r="G81" s="1284"/>
      <c r="H81" s="1288" t="str">
        <f t="shared" ref="H81:H88" si="25">IFERROR(ROUNDDOWN($F$81*I81/2,4),"——")</f>
        <v>——</v>
      </c>
      <c r="I81" s="820">
        <v>0.26</v>
      </c>
      <c r="J81" s="1285">
        <f t="shared" ref="J81:J88" si="26">K81+$G81</f>
        <v>0</v>
      </c>
      <c r="K81" s="1285">
        <f t="shared" ref="K81:K88" si="27">$L81+$G81</f>
        <v>0</v>
      </c>
      <c r="L81" s="1285">
        <v>0</v>
      </c>
      <c r="M81" s="1285">
        <f t="shared" ref="M81:N88" si="28">L81-$G81</f>
        <v>0</v>
      </c>
      <c r="N81" s="1285">
        <f t="shared" si="28"/>
        <v>0</v>
      </c>
      <c r="Z81" s="2718"/>
      <c r="AA81" s="2786"/>
      <c r="AG81" s="1372"/>
      <c r="AK81" s="2786"/>
    </row>
    <row r="82" spans="1:37" ht="56">
      <c r="A82" s="2868" t="s">
        <v>2949</v>
      </c>
      <c r="B82" s="2872" t="str">
        <f>估价对象房地状况!G16</f>
        <v>估价对象周边道路状况、公共交通通达情况、停车便捷程度，综合评价交通便捷度较好</v>
      </c>
      <c r="C82" s="2768"/>
      <c r="D82" s="1286">
        <f t="shared" si="24"/>
        <v>0</v>
      </c>
      <c r="E82" s="826"/>
      <c r="F82" s="2499"/>
      <c r="G82" s="1284"/>
      <c r="H82" s="1288" t="str">
        <f t="shared" si="25"/>
        <v>——</v>
      </c>
      <c r="I82" s="820">
        <v>0.33</v>
      </c>
      <c r="J82" s="1285">
        <f t="shared" si="26"/>
        <v>0</v>
      </c>
      <c r="K82" s="1285">
        <f t="shared" si="27"/>
        <v>0</v>
      </c>
      <c r="L82" s="1285">
        <v>0</v>
      </c>
      <c r="M82" s="1285">
        <f t="shared" si="28"/>
        <v>0</v>
      </c>
      <c r="N82" s="1285">
        <f t="shared" si="28"/>
        <v>0</v>
      </c>
      <c r="Z82" s="2718"/>
      <c r="AA82" s="2786"/>
      <c r="AG82" s="1372"/>
      <c r="AK82" s="2786"/>
    </row>
    <row r="83" spans="1:37" ht="30">
      <c r="A83" s="2868" t="s">
        <v>2950</v>
      </c>
      <c r="B83" s="2872">
        <f>估价对象房地状况!G17</f>
        <v>0</v>
      </c>
      <c r="C83" s="2768"/>
      <c r="D83" s="1286">
        <f t="shared" si="24"/>
        <v>0</v>
      </c>
      <c r="E83" s="826"/>
      <c r="F83" s="2499"/>
      <c r="G83" s="1284"/>
      <c r="H83" s="1288" t="str">
        <f t="shared" si="25"/>
        <v>——</v>
      </c>
      <c r="I83" s="820">
        <v>0.05</v>
      </c>
      <c r="J83" s="1285">
        <f t="shared" si="26"/>
        <v>0</v>
      </c>
      <c r="K83" s="1285">
        <f t="shared" si="27"/>
        <v>0</v>
      </c>
      <c r="L83" s="1285">
        <v>0</v>
      </c>
      <c r="M83" s="1285">
        <f t="shared" si="28"/>
        <v>0</v>
      </c>
      <c r="N83" s="1285">
        <f t="shared" si="28"/>
        <v>0</v>
      </c>
      <c r="Z83" s="2718"/>
      <c r="AA83" s="2786"/>
      <c r="AG83" s="1372"/>
      <c r="AK83" s="2786"/>
    </row>
    <row r="84" spans="1:37" ht="15">
      <c r="A84" s="2868" t="s">
        <v>2964</v>
      </c>
      <c r="B84" s="2872">
        <f>估价对象房地状况!G22</f>
        <v>0</v>
      </c>
      <c r="C84" s="2768"/>
      <c r="D84" s="1286">
        <f t="shared" si="24"/>
        <v>0</v>
      </c>
      <c r="E84" s="826"/>
      <c r="F84" s="2499"/>
      <c r="G84" s="1284"/>
      <c r="H84" s="1288" t="str">
        <f t="shared" si="25"/>
        <v>——</v>
      </c>
      <c r="I84" s="820">
        <v>0.04</v>
      </c>
      <c r="J84" s="1285">
        <f t="shared" si="26"/>
        <v>0</v>
      </c>
      <c r="K84" s="1285">
        <f t="shared" si="27"/>
        <v>0</v>
      </c>
      <c r="L84" s="1285">
        <v>0</v>
      </c>
      <c r="M84" s="1285">
        <f t="shared" si="28"/>
        <v>0</v>
      </c>
      <c r="N84" s="1285">
        <f t="shared" si="28"/>
        <v>0</v>
      </c>
      <c r="Z84" s="2718"/>
      <c r="AA84" s="2786"/>
      <c r="AG84" s="1372"/>
      <c r="AK84" s="2786"/>
    </row>
    <row r="85" spans="1:37" ht="30">
      <c r="A85" s="2868" t="s">
        <v>2956</v>
      </c>
      <c r="B85" s="1725" t="str">
        <f>估价对象房地状况!G19</f>
        <v>估价对象所在区域公共配套设施齐备情况</v>
      </c>
      <c r="C85" s="2768"/>
      <c r="D85" s="1286">
        <f t="shared" si="24"/>
        <v>0</v>
      </c>
      <c r="E85" s="826"/>
      <c r="F85" s="2499"/>
      <c r="G85" s="1284"/>
      <c r="H85" s="1288" t="str">
        <f t="shared" si="25"/>
        <v>——</v>
      </c>
      <c r="I85" s="820">
        <v>0.06</v>
      </c>
      <c r="J85" s="1285">
        <f t="shared" si="26"/>
        <v>0</v>
      </c>
      <c r="K85" s="1285">
        <f t="shared" si="27"/>
        <v>0</v>
      </c>
      <c r="L85" s="1285">
        <v>0</v>
      </c>
      <c r="M85" s="1285">
        <f t="shared" si="28"/>
        <v>0</v>
      </c>
      <c r="N85" s="1285">
        <f t="shared" si="28"/>
        <v>0</v>
      </c>
      <c r="Z85" s="2718"/>
      <c r="AA85" s="2786"/>
      <c r="AG85" s="1372"/>
      <c r="AK85" s="2786"/>
    </row>
    <row r="86" spans="1:37" ht="30">
      <c r="A86" s="2868" t="s">
        <v>2957</v>
      </c>
      <c r="B86" s="1725" t="str">
        <f>估价对象房地状况!G20</f>
        <v>估价对象所在区域基础设施水平</v>
      </c>
      <c r="C86" s="2768"/>
      <c r="D86" s="1286">
        <f t="shared" si="24"/>
        <v>0</v>
      </c>
      <c r="E86" s="826"/>
      <c r="F86" s="2499"/>
      <c r="G86" s="1284"/>
      <c r="H86" s="1288" t="str">
        <f t="shared" si="25"/>
        <v>——</v>
      </c>
      <c r="I86" s="820">
        <v>0.15</v>
      </c>
      <c r="J86" s="1285">
        <f t="shared" si="26"/>
        <v>0</v>
      </c>
      <c r="K86" s="1285">
        <f t="shared" si="27"/>
        <v>0</v>
      </c>
      <c r="L86" s="1285">
        <v>0</v>
      </c>
      <c r="M86" s="1285">
        <f t="shared" si="28"/>
        <v>0</v>
      </c>
      <c r="N86" s="1285">
        <f t="shared" si="28"/>
        <v>0</v>
      </c>
      <c r="Z86" s="2718"/>
      <c r="AA86" s="2786"/>
      <c r="AG86" s="1372"/>
      <c r="AK86" s="2786"/>
    </row>
    <row r="87" spans="1:37" ht="30">
      <c r="A87" s="2868" t="s">
        <v>2954</v>
      </c>
      <c r="B87" s="2874" t="s">
        <v>2968</v>
      </c>
      <c r="C87" s="2768"/>
      <c r="D87" s="1286">
        <f t="shared" si="24"/>
        <v>0</v>
      </c>
      <c r="E87" s="826"/>
      <c r="F87" s="2499"/>
      <c r="G87" s="1284"/>
      <c r="H87" s="1288" t="str">
        <f t="shared" si="25"/>
        <v>——</v>
      </c>
      <c r="I87" s="820">
        <v>0.05</v>
      </c>
      <c r="J87" s="1285">
        <f t="shared" si="26"/>
        <v>0</v>
      </c>
      <c r="K87" s="1285">
        <f t="shared" si="27"/>
        <v>0</v>
      </c>
      <c r="L87" s="1285">
        <v>0</v>
      </c>
      <c r="M87" s="1285">
        <f t="shared" si="28"/>
        <v>0</v>
      </c>
      <c r="N87" s="1285">
        <f t="shared" si="28"/>
        <v>0</v>
      </c>
      <c r="Z87" s="2718"/>
      <c r="AA87" s="2786"/>
      <c r="AG87" s="1372"/>
      <c r="AK87" s="2786"/>
    </row>
    <row r="88" spans="1:37" ht="43" thickBot="1">
      <c r="A88" s="2876" t="s">
        <v>2969</v>
      </c>
      <c r="B88" s="2881" t="str">
        <f>估价对象房地状况!G18</f>
        <v>该园区内是否有污染型企业，绿化情况，卫生条件，整体环境状况判断</v>
      </c>
      <c r="C88" s="2768"/>
      <c r="D88" s="1286">
        <f t="shared" si="24"/>
        <v>0</v>
      </c>
      <c r="E88" s="827"/>
      <c r="F88" s="2499"/>
      <c r="G88" s="1284"/>
      <c r="H88" s="1288" t="str">
        <f t="shared" si="25"/>
        <v>——</v>
      </c>
      <c r="I88" s="824">
        <v>0.06</v>
      </c>
      <c r="J88" s="1285">
        <f t="shared" si="26"/>
        <v>0</v>
      </c>
      <c r="K88" s="1285">
        <f t="shared" si="27"/>
        <v>0</v>
      </c>
      <c r="L88" s="1285">
        <v>0</v>
      </c>
      <c r="M88" s="1285">
        <f t="shared" si="28"/>
        <v>0</v>
      </c>
      <c r="N88" s="1285">
        <f t="shared" si="28"/>
        <v>0</v>
      </c>
      <c r="Z88" s="2718"/>
      <c r="AA88" s="2786"/>
      <c r="AG88" s="1372"/>
      <c r="AK88" s="2786"/>
    </row>
    <row r="90" spans="1:37" ht="14">
      <c r="A90" s="3301" t="s">
        <v>2970</v>
      </c>
      <c r="B90" s="3301"/>
      <c r="C90" s="3301"/>
      <c r="D90" s="3301"/>
      <c r="E90" s="3301"/>
      <c r="F90" s="3301"/>
      <c r="G90" s="3301"/>
      <c r="H90" s="3301"/>
      <c r="I90" s="3301"/>
      <c r="J90" s="3301"/>
      <c r="K90" s="2882"/>
      <c r="L90" s="2882"/>
      <c r="M90" s="2882"/>
      <c r="N90" s="2882"/>
    </row>
    <row r="91" spans="1:37" ht="14">
      <c r="A91" s="3303" t="s">
        <v>2971</v>
      </c>
      <c r="B91" s="3303" t="s">
        <v>2972</v>
      </c>
      <c r="C91" s="2836" t="s">
        <v>2973</v>
      </c>
      <c r="D91" s="2837"/>
      <c r="E91" s="2837"/>
      <c r="F91" s="2837"/>
      <c r="G91" s="2837"/>
      <c r="H91" s="2837"/>
      <c r="I91" s="2837"/>
      <c r="J91" s="2883"/>
      <c r="K91" s="2884"/>
      <c r="L91" s="2884"/>
      <c r="M91" s="2884"/>
      <c r="N91" s="2884"/>
    </row>
    <row r="92" spans="1:37" ht="14">
      <c r="A92" s="3303"/>
      <c r="B92" s="3303"/>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304" t="s">
        <v>2974</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05"/>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05"/>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05"/>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05"/>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05"/>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ht="14">
      <c r="A99" s="3305"/>
      <c r="B99" s="2885" t="s">
        <v>2855</v>
      </c>
      <c r="C99" s="2887">
        <f>$I$3</f>
        <v>0</v>
      </c>
      <c r="D99" s="2887">
        <f t="shared" ref="D99:M99" si="29">$I$3</f>
        <v>0</v>
      </c>
      <c r="E99" s="2887">
        <f t="shared" si="29"/>
        <v>0</v>
      </c>
      <c r="F99" s="2887">
        <f t="shared" si="29"/>
        <v>0</v>
      </c>
      <c r="G99" s="2887">
        <f t="shared" si="29"/>
        <v>0</v>
      </c>
      <c r="H99" s="2887">
        <f t="shared" si="29"/>
        <v>0</v>
      </c>
      <c r="I99" s="2887">
        <f t="shared" si="29"/>
        <v>0</v>
      </c>
      <c r="J99" s="2887">
        <f t="shared" si="29"/>
        <v>0</v>
      </c>
      <c r="K99" s="2887">
        <f t="shared" si="29"/>
        <v>0</v>
      </c>
      <c r="L99" s="2887">
        <f t="shared" si="29"/>
        <v>0</v>
      </c>
      <c r="M99" s="2887">
        <f t="shared" si="29"/>
        <v>0</v>
      </c>
      <c r="N99" s="2887">
        <f>$I$3</f>
        <v>0</v>
      </c>
    </row>
    <row r="100" spans="1:14">
      <c r="A100" s="3306"/>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ht="15">
      <c r="A101" s="3304" t="s">
        <v>2975</v>
      </c>
      <c r="B101" s="2889" t="s">
        <v>2976</v>
      </c>
      <c r="C101" s="2890">
        <f>$G$3</f>
        <v>1.99</v>
      </c>
      <c r="D101" s="2890">
        <f t="shared" ref="D101:N101" si="30">$G$3</f>
        <v>1.99</v>
      </c>
      <c r="E101" s="2890">
        <f t="shared" si="30"/>
        <v>1.99</v>
      </c>
      <c r="F101" s="2890">
        <f t="shared" si="30"/>
        <v>1.99</v>
      </c>
      <c r="G101" s="2890">
        <f t="shared" si="30"/>
        <v>1.99</v>
      </c>
      <c r="H101" s="2890">
        <f t="shared" si="30"/>
        <v>1.99</v>
      </c>
      <c r="I101" s="2890">
        <f t="shared" si="30"/>
        <v>1.99</v>
      </c>
      <c r="J101" s="2890">
        <f t="shared" si="30"/>
        <v>1.99</v>
      </c>
      <c r="K101" s="2890">
        <f t="shared" si="30"/>
        <v>1.99</v>
      </c>
      <c r="L101" s="2890">
        <f t="shared" si="30"/>
        <v>1.99</v>
      </c>
      <c r="M101" s="2890">
        <f t="shared" si="30"/>
        <v>1.99</v>
      </c>
      <c r="N101" s="2890">
        <f t="shared" si="30"/>
        <v>1.99</v>
      </c>
    </row>
    <row r="102" spans="1:14">
      <c r="A102" s="3305"/>
      <c r="B102" s="2885">
        <v>1</v>
      </c>
      <c r="C102" s="2886">
        <f>1.9362/C101</f>
        <v>0.97296482412060303</v>
      </c>
      <c r="D102" s="2886">
        <f>1.9362/D101</f>
        <v>0.97296482412060303</v>
      </c>
      <c r="E102" s="2886">
        <f>1.8629/E101</f>
        <v>0.93613065326633171</v>
      </c>
      <c r="F102" s="2886">
        <f>1.8629/F101</f>
        <v>0.93613065326633171</v>
      </c>
      <c r="G102" s="2886">
        <f>1.8629/G101</f>
        <v>0.93613065326633171</v>
      </c>
      <c r="H102" s="2886">
        <f>1.8629/H101</f>
        <v>0.93613065326633171</v>
      </c>
      <c r="I102" s="2886">
        <f>1.8629/I101</f>
        <v>0.93613065326633171</v>
      </c>
      <c r="J102" s="2886">
        <f>1.942/J101</f>
        <v>0.97587939698492465</v>
      </c>
      <c r="K102" s="2886">
        <f>1.942/K101</f>
        <v>0.97587939698492465</v>
      </c>
      <c r="L102" s="2886">
        <f>1.942/L101</f>
        <v>0.97587939698492465</v>
      </c>
      <c r="M102" s="2886">
        <f>1.942/M101</f>
        <v>0.97587939698492465</v>
      </c>
      <c r="N102" s="2886">
        <f>1.942/N101</f>
        <v>0.97587939698492465</v>
      </c>
    </row>
    <row r="103" spans="1:14">
      <c r="A103" s="3305"/>
      <c r="B103" s="2885">
        <v>2</v>
      </c>
      <c r="C103" s="2886">
        <f>1.4198/C101</f>
        <v>0.71346733668341711</v>
      </c>
      <c r="D103" s="2886">
        <f>1.4198/D101</f>
        <v>0.71346733668341711</v>
      </c>
      <c r="E103" s="2886">
        <f>1.3372/E101</f>
        <v>0.67195979899497482</v>
      </c>
      <c r="F103" s="2886">
        <f>1.3372/F101</f>
        <v>0.67195979899497482</v>
      </c>
      <c r="G103" s="2886">
        <f>1.3372/G101</f>
        <v>0.67195979899497482</v>
      </c>
      <c r="H103" s="2886">
        <f>1.3372/H101</f>
        <v>0.67195979899497482</v>
      </c>
      <c r="I103" s="2886">
        <f>1.3372/I101</f>
        <v>0.67195979899497482</v>
      </c>
      <c r="J103" s="2886">
        <f>1.2799/J101</f>
        <v>0.64316582914572862</v>
      </c>
      <c r="K103" s="2886">
        <f>1.2799/K101</f>
        <v>0.64316582914572862</v>
      </c>
      <c r="L103" s="2886">
        <f>1.2799/L101</f>
        <v>0.64316582914572862</v>
      </c>
      <c r="M103" s="2886">
        <f>1.2799/M101</f>
        <v>0.64316582914572862</v>
      </c>
      <c r="N103" s="2886">
        <f>1.2799/N101</f>
        <v>0.64316582914572862</v>
      </c>
    </row>
    <row r="104" spans="1:14">
      <c r="A104" s="3305"/>
      <c r="B104" s="2885">
        <v>3</v>
      </c>
      <c r="C104" s="2886">
        <f>1.1594/C101</f>
        <v>0.58261306532663315</v>
      </c>
      <c r="D104" s="2886">
        <f>1.1594/D101</f>
        <v>0.58261306532663315</v>
      </c>
      <c r="E104" s="2886">
        <f>1.0788/E101</f>
        <v>0.54211055276381914</v>
      </c>
      <c r="F104" s="2886">
        <f>1.0788/F101</f>
        <v>0.54211055276381914</v>
      </c>
      <c r="G104" s="2886">
        <f>1.0788/G101</f>
        <v>0.54211055276381914</v>
      </c>
      <c r="H104" s="2886">
        <f>1.0788/H101</f>
        <v>0.54211055276381914</v>
      </c>
      <c r="I104" s="2886">
        <f>1.0788/I101</f>
        <v>0.54211055276381914</v>
      </c>
      <c r="J104" s="2886">
        <f>1.0072/J101</f>
        <v>0.50613065326633166</v>
      </c>
      <c r="K104" s="2886">
        <f>1.0072/K101</f>
        <v>0.50613065326633166</v>
      </c>
      <c r="L104" s="2886">
        <f>1.0072/L101</f>
        <v>0.50613065326633166</v>
      </c>
      <c r="M104" s="2886">
        <f>1.0072/M101</f>
        <v>0.50613065326633166</v>
      </c>
      <c r="N104" s="2886">
        <f>1.0072/N101</f>
        <v>0.50613065326633166</v>
      </c>
    </row>
    <row r="105" spans="1:14">
      <c r="A105" s="3305"/>
      <c r="B105" s="2885">
        <v>4</v>
      </c>
      <c r="C105" s="2886">
        <f>0.9622/C101</f>
        <v>0.48351758793969851</v>
      </c>
      <c r="D105" s="2886">
        <f>0.9622/D101</f>
        <v>0.48351758793969851</v>
      </c>
      <c r="E105" s="2886">
        <f>0.8656/E101</f>
        <v>0.43497487437185933</v>
      </c>
      <c r="F105" s="2886">
        <f>0.8656/F101</f>
        <v>0.43497487437185933</v>
      </c>
      <c r="G105" s="2886">
        <f>0.8656/G101</f>
        <v>0.43497487437185933</v>
      </c>
      <c r="H105" s="2886">
        <f>0.8656/H101</f>
        <v>0.43497487437185933</v>
      </c>
      <c r="I105" s="2886">
        <f>0.8656/I101</f>
        <v>0.43497487437185933</v>
      </c>
      <c r="J105" s="2886">
        <f>0.7525/J101</f>
        <v>0.37814070351758794</v>
      </c>
      <c r="K105" s="2886">
        <f>0.7525/K101</f>
        <v>0.37814070351758794</v>
      </c>
      <c r="L105" s="2886">
        <f>0.7525/L101</f>
        <v>0.37814070351758794</v>
      </c>
      <c r="M105" s="2886">
        <f>0.7525/M101</f>
        <v>0.37814070351758794</v>
      </c>
      <c r="N105" s="2886">
        <f>0.7525/N101</f>
        <v>0.37814070351758794</v>
      </c>
    </row>
    <row r="106" spans="1:14">
      <c r="A106" s="3305"/>
      <c r="B106" s="2885">
        <v>5</v>
      </c>
      <c r="C106" s="2886">
        <f>0.8417/C101</f>
        <v>0.42296482412060304</v>
      </c>
      <c r="D106" s="2886">
        <f>0.8417/D101</f>
        <v>0.42296482412060304</v>
      </c>
      <c r="E106" s="2886">
        <f>0.7371/E101</f>
        <v>0.37040201005025125</v>
      </c>
      <c r="F106" s="2886">
        <f>0.7371/F101</f>
        <v>0.37040201005025125</v>
      </c>
      <c r="G106" s="2886">
        <f>0.7371/G101</f>
        <v>0.37040201005025125</v>
      </c>
      <c r="H106" s="2886">
        <f>0.7371/H101</f>
        <v>0.37040201005025125</v>
      </c>
      <c r="I106" s="2886">
        <f>0.7371/I101</f>
        <v>0.37040201005025125</v>
      </c>
      <c r="J106" s="2886">
        <f>0.5659/J101</f>
        <v>0.2843718592964824</v>
      </c>
      <c r="K106" s="2886">
        <f>0.5659/K101</f>
        <v>0.2843718592964824</v>
      </c>
      <c r="L106" s="2886">
        <f>0.5659/L101</f>
        <v>0.2843718592964824</v>
      </c>
      <c r="M106" s="2886">
        <f>0.5659/M101</f>
        <v>0.2843718592964824</v>
      </c>
      <c r="N106" s="2886">
        <f>0.5659/N101</f>
        <v>0.2843718592964824</v>
      </c>
    </row>
    <row r="107" spans="1:14">
      <c r="A107" s="3305"/>
      <c r="B107" s="2885">
        <v>6</v>
      </c>
      <c r="C107" s="2886">
        <f>0.7608/C101</f>
        <v>0.38231155778894477</v>
      </c>
      <c r="D107" s="2886">
        <f>0.7608/D101</f>
        <v>0.38231155778894477</v>
      </c>
      <c r="E107" s="2886">
        <f>0.6482/E101</f>
        <v>0.32572864321608042</v>
      </c>
      <c r="F107" s="2886">
        <f>0.6482/F101</f>
        <v>0.32572864321608042</v>
      </c>
      <c r="G107" s="2886">
        <f>0.6482/G101</f>
        <v>0.32572864321608042</v>
      </c>
      <c r="H107" s="2886">
        <f>0.6482/H101</f>
        <v>0.32572864321608042</v>
      </c>
      <c r="I107" s="2886">
        <f>0.6482/I101</f>
        <v>0.32572864321608042</v>
      </c>
      <c r="J107" s="2886">
        <f>0.4525/J101</f>
        <v>0.22738693467336685</v>
      </c>
      <c r="K107" s="2886">
        <f>0.4525/K101</f>
        <v>0.22738693467336685</v>
      </c>
      <c r="L107" s="2886">
        <f>0.4525/L101</f>
        <v>0.22738693467336685</v>
      </c>
      <c r="M107" s="2886">
        <f>0.4525/M101</f>
        <v>0.22738693467336685</v>
      </c>
      <c r="N107" s="2886">
        <f>0.4525/N101</f>
        <v>0.22738693467336685</v>
      </c>
    </row>
    <row r="108" spans="1:14">
      <c r="A108" s="3305"/>
      <c r="B108" s="3152" t="s">
        <v>2977</v>
      </c>
      <c r="C108" s="2887">
        <f>C99</f>
        <v>0</v>
      </c>
      <c r="D108" s="2887">
        <f t="shared" ref="D108:N108" si="31">D99</f>
        <v>0</v>
      </c>
      <c r="E108" s="2887">
        <f t="shared" si="31"/>
        <v>0</v>
      </c>
      <c r="F108" s="2887">
        <f t="shared" si="31"/>
        <v>0</v>
      </c>
      <c r="G108" s="2887">
        <f t="shared" si="31"/>
        <v>0</v>
      </c>
      <c r="H108" s="2887">
        <f t="shared" si="31"/>
        <v>0</v>
      </c>
      <c r="I108" s="2887">
        <f t="shared" si="31"/>
        <v>0</v>
      </c>
      <c r="J108" s="2887">
        <f t="shared" si="31"/>
        <v>0</v>
      </c>
      <c r="K108" s="2887">
        <f t="shared" si="31"/>
        <v>0</v>
      </c>
      <c r="L108" s="2887">
        <f t="shared" si="31"/>
        <v>0</v>
      </c>
      <c r="M108" s="2887">
        <f t="shared" si="31"/>
        <v>0</v>
      </c>
      <c r="N108" s="2887">
        <f t="shared" si="31"/>
        <v>0</v>
      </c>
    </row>
    <row r="109" spans="1:14">
      <c r="A109" s="3306"/>
      <c r="B109" s="3153"/>
      <c r="C109" s="2888">
        <f>(-0.163*(C108^2)-0.59*C108+7617)*(10^(-4))/C101</f>
        <v>0.38276381909547741</v>
      </c>
      <c r="D109" s="2888">
        <f>(-0.163*(D108^2)-0.59*D108+7617)*(10^(-4))/D101</f>
        <v>0.38276381909547741</v>
      </c>
      <c r="E109" s="2888">
        <f>(-0.161*(E108^2)-7.509*E108+6533)*(10^(-4))/E101</f>
        <v>0.32829145728643216</v>
      </c>
      <c r="F109" s="2888">
        <f>(-0.161*(F108^2)-7.509*F108+6533)*(10^(-4))/F101</f>
        <v>0.32829145728643216</v>
      </c>
      <c r="G109" s="2888">
        <f>(-0.161*(G108^2)-7.509*G108+6533)*(10^(-4))/G101</f>
        <v>0.32829145728643216</v>
      </c>
      <c r="H109" s="2888">
        <f>(-0.161*(H108^2)-7.509*H108+6533)*(10^(-4))/H101</f>
        <v>0.32829145728643216</v>
      </c>
      <c r="I109" s="2888">
        <f>(-0.161*(I108^2)-7.509*I108+6533)*(10^(-4))/I101</f>
        <v>0.32829145728643216</v>
      </c>
      <c r="J109" s="2888">
        <f>(-0.214*(J108^2)-21.991*J108+4665)*(10^(-4))/J101</f>
        <v>0.23442211055276382</v>
      </c>
      <c r="K109" s="2888">
        <f>(-0.214*(K108^2)-21.991*K108+4665)*(10^(-4))/K101</f>
        <v>0.23442211055276382</v>
      </c>
      <c r="L109" s="2888">
        <f>(-0.214*(L108^2)-21.991*L108+4665)*(10^(-4))/L101</f>
        <v>0.23442211055276382</v>
      </c>
      <c r="M109" s="2888">
        <f>(-0.214*(M108^2)-21.991*M108+4665)*(10^(-4))/M101</f>
        <v>0.23442211055276382</v>
      </c>
      <c r="N109" s="2888">
        <f>(-0.214*(N108^2)-21.991*N108+4665)*(10^(-4))/N101</f>
        <v>0.23442211055276382</v>
      </c>
    </row>
    <row r="110" spans="1:14" ht="14">
      <c r="A110" s="3302" t="s">
        <v>2978</v>
      </c>
      <c r="B110" s="3302"/>
      <c r="C110" s="3302"/>
      <c r="D110" s="3302"/>
      <c r="E110" s="3302"/>
      <c r="F110" s="3302"/>
      <c r="G110" s="3302"/>
      <c r="H110" s="3302"/>
      <c r="I110" s="3302"/>
      <c r="J110" s="3302"/>
      <c r="K110" s="2891"/>
      <c r="L110" s="2891"/>
      <c r="M110" s="2891"/>
      <c r="N110" s="2891"/>
    </row>
    <row r="112" spans="1:14" ht="14" thickBot="1"/>
    <row r="113" spans="1:13" ht="30" thickBot="1">
      <c r="A113" s="903" t="s">
        <v>2979</v>
      </c>
      <c r="B113" s="1287">
        <f>G3</f>
        <v>1.99</v>
      </c>
      <c r="C113" s="904" t="s">
        <v>2980</v>
      </c>
      <c r="D113" s="905">
        <f>SUMPRODUCT((A115:A118=F113)*(B114:M114=H113)*B115:M118)</f>
        <v>0</v>
      </c>
      <c r="E113" s="2722" t="s">
        <v>2812</v>
      </c>
      <c r="F113" s="2893">
        <f>E2</f>
        <v>0</v>
      </c>
      <c r="G113" s="2722" t="s">
        <v>2813</v>
      </c>
      <c r="H113" s="2893">
        <f>G2</f>
        <v>0</v>
      </c>
      <c r="I113" s="2722"/>
      <c r="J113" s="2894"/>
      <c r="K113" s="2894"/>
      <c r="L113" s="2894"/>
      <c r="M113" s="2894"/>
    </row>
    <row r="114" spans="1:13" ht="15">
      <c r="A114" s="908"/>
      <c r="B114" s="2895" t="s">
        <v>2981</v>
      </c>
      <c r="C114" s="2895" t="s">
        <v>2982</v>
      </c>
      <c r="D114" s="2895" t="s">
        <v>2983</v>
      </c>
      <c r="E114" s="2896" t="s">
        <v>2984</v>
      </c>
      <c r="F114" s="2896" t="s">
        <v>2985</v>
      </c>
      <c r="G114" s="2896" t="s">
        <v>2986</v>
      </c>
      <c r="H114" s="2897" t="s">
        <v>2987</v>
      </c>
      <c r="I114" s="2897" t="s">
        <v>2988</v>
      </c>
      <c r="J114" s="2898" t="s">
        <v>2989</v>
      </c>
      <c r="K114" s="2898" t="s">
        <v>2990</v>
      </c>
      <c r="L114" s="2898" t="s">
        <v>2991</v>
      </c>
      <c r="M114" s="2899" t="s">
        <v>2992</v>
      </c>
    </row>
    <row r="115" spans="1:13" ht="15">
      <c r="A115" s="909" t="s">
        <v>2877</v>
      </c>
      <c r="B115" s="910">
        <f>ROUND(0.9335-0.0094*B113,4)</f>
        <v>0.91479999999999995</v>
      </c>
      <c r="C115" s="910">
        <f>B115</f>
        <v>0.91479999999999995</v>
      </c>
      <c r="D115" s="910">
        <f>ROUND(0.8331-0.0109*B113,4)</f>
        <v>0.81140000000000001</v>
      </c>
      <c r="E115" s="910">
        <f>D115</f>
        <v>0.81140000000000001</v>
      </c>
      <c r="F115" s="910">
        <f>E115</f>
        <v>0.81140000000000001</v>
      </c>
      <c r="G115" s="910">
        <f>F115</f>
        <v>0.81140000000000001</v>
      </c>
      <c r="H115" s="910">
        <f>G115</f>
        <v>0.81140000000000001</v>
      </c>
      <c r="I115" s="910">
        <f>ROUND(0.689-0.0155*B113,4)</f>
        <v>0.65820000000000001</v>
      </c>
      <c r="J115" s="910">
        <f t="shared" ref="J115:M118" si="32">I115</f>
        <v>0.65820000000000001</v>
      </c>
      <c r="K115" s="910">
        <f t="shared" si="32"/>
        <v>0.65820000000000001</v>
      </c>
      <c r="L115" s="910">
        <f t="shared" si="32"/>
        <v>0.65820000000000001</v>
      </c>
      <c r="M115" s="911">
        <f t="shared" si="32"/>
        <v>0.65820000000000001</v>
      </c>
    </row>
    <row r="116" spans="1:13" ht="15">
      <c r="A116" s="909" t="s">
        <v>2878</v>
      </c>
      <c r="B116" s="910">
        <f>ROUND(0.949-0.012*B113,4)</f>
        <v>0.92510000000000003</v>
      </c>
      <c r="C116" s="910">
        <f>B116</f>
        <v>0.92510000000000003</v>
      </c>
      <c r="D116" s="910">
        <f>ROUND(0.8567-0.013*B113,4)</f>
        <v>0.83079999999999998</v>
      </c>
      <c r="E116" s="910">
        <f t="shared" ref="E116:H117" si="33">D116</f>
        <v>0.83079999999999998</v>
      </c>
      <c r="F116" s="910">
        <f t="shared" si="33"/>
        <v>0.83079999999999998</v>
      </c>
      <c r="G116" s="910">
        <f t="shared" si="33"/>
        <v>0.83079999999999998</v>
      </c>
      <c r="H116" s="910">
        <f t="shared" si="33"/>
        <v>0.83079999999999998</v>
      </c>
      <c r="I116" s="910">
        <f>ROUND(0.7694-0.014*B113,4)</f>
        <v>0.74150000000000005</v>
      </c>
      <c r="J116" s="910">
        <f t="shared" si="32"/>
        <v>0.74150000000000005</v>
      </c>
      <c r="K116" s="910">
        <f t="shared" si="32"/>
        <v>0.74150000000000005</v>
      </c>
      <c r="L116" s="910">
        <f t="shared" si="32"/>
        <v>0.74150000000000005</v>
      </c>
      <c r="M116" s="911">
        <f t="shared" si="32"/>
        <v>0.74150000000000005</v>
      </c>
    </row>
    <row r="117" spans="1:13" ht="15">
      <c r="A117" s="909" t="s">
        <v>2879</v>
      </c>
      <c r="B117" s="910">
        <f>ROUND(0.8808-0.006*B113,4)</f>
        <v>0.86890000000000001</v>
      </c>
      <c r="C117" s="910">
        <f>B117</f>
        <v>0.86890000000000001</v>
      </c>
      <c r="D117" s="910">
        <f>ROUND(0.8748-0.008*B113,4)</f>
        <v>0.8589</v>
      </c>
      <c r="E117" s="910">
        <f t="shared" si="33"/>
        <v>0.8589</v>
      </c>
      <c r="F117" s="910">
        <f t="shared" si="33"/>
        <v>0.8589</v>
      </c>
      <c r="G117" s="910">
        <f t="shared" si="33"/>
        <v>0.8589</v>
      </c>
      <c r="H117" s="910">
        <f t="shared" si="33"/>
        <v>0.8589</v>
      </c>
      <c r="I117" s="910">
        <f>ROUND(0.7412-0.0095*B113,4)</f>
        <v>0.72230000000000005</v>
      </c>
      <c r="J117" s="910">
        <f t="shared" si="32"/>
        <v>0.72230000000000005</v>
      </c>
      <c r="K117" s="910">
        <f t="shared" si="32"/>
        <v>0.72230000000000005</v>
      </c>
      <c r="L117" s="910">
        <f t="shared" si="32"/>
        <v>0.72230000000000005</v>
      </c>
      <c r="M117" s="911">
        <f t="shared" si="32"/>
        <v>0.72230000000000005</v>
      </c>
    </row>
    <row r="118" spans="1:13" ht="16" thickBot="1">
      <c r="A118" s="714" t="s">
        <v>2880</v>
      </c>
      <c r="B118" s="912">
        <f>ROUND(0.7275-0.01*B113,4)</f>
        <v>0.70760000000000001</v>
      </c>
      <c r="C118" s="912">
        <f>B118</f>
        <v>0.70760000000000001</v>
      </c>
      <c r="D118" s="912">
        <f>ROUND(0.7043-0.012*B113,4)</f>
        <v>0.6804</v>
      </c>
      <c r="E118" s="912">
        <f>D118</f>
        <v>0.6804</v>
      </c>
      <c r="F118" s="912">
        <f>E118</f>
        <v>0.6804</v>
      </c>
      <c r="G118" s="912">
        <f>ROUND(0.6299-0.0122*B113,4)</f>
        <v>0.60560000000000003</v>
      </c>
      <c r="H118" s="912">
        <f>G118</f>
        <v>0.60560000000000003</v>
      </c>
      <c r="I118" s="912">
        <f>ROUND(0.5667-0.0136*B113,4)</f>
        <v>0.53959999999999997</v>
      </c>
      <c r="J118" s="912">
        <f t="shared" si="32"/>
        <v>0.53959999999999997</v>
      </c>
      <c r="K118" s="912">
        <f t="shared" si="32"/>
        <v>0.53959999999999997</v>
      </c>
      <c r="L118" s="912">
        <f t="shared" si="32"/>
        <v>0.53959999999999997</v>
      </c>
      <c r="M118" s="913">
        <f t="shared" si="32"/>
        <v>0.53959999999999997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baseColWidth="10" defaultColWidth="8.1640625" defaultRowHeight="19.5" customHeight="1"/>
  <cols>
    <col min="1" max="1" width="13.6640625" style="816" customWidth="1"/>
    <col min="2" max="9" width="8.1640625" style="878" customWidth="1"/>
    <col min="10" max="13" width="8.1640625" style="816"/>
    <col min="14" max="14" width="10" style="816" customWidth="1"/>
    <col min="15" max="16" width="8.1640625" style="816"/>
    <col min="17" max="17" width="34.1640625" style="816" customWidth="1"/>
    <col min="18" max="18" width="8.1640625" style="816" customWidth="1"/>
    <col min="19" max="19" width="8.1640625" style="816"/>
    <col min="20" max="20" width="11.6640625" style="816" customWidth="1"/>
    <col min="21" max="16384" width="8.16406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SUM(J6:J10,J13)</f>
        <v>155</v>
      </c>
      <c r="K15" s="875">
        <f>SUM(K6:K10,K13)</f>
        <v>155</v>
      </c>
      <c r="L15" s="875">
        <f>SUM(L6:L10,L13)</f>
        <v>155</v>
      </c>
      <c r="M15" s="875">
        <f>SUM(M6:M10,M13)</f>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12" t="s">
        <v>183</v>
      </c>
      <c r="B18" s="882" t="s">
        <v>560</v>
      </c>
      <c r="C18" s="883" t="s">
        <v>561</v>
      </c>
      <c r="D18" s="884"/>
      <c r="E18" s="882">
        <v>1</v>
      </c>
      <c r="F18" s="885" t="s">
        <v>562</v>
      </c>
      <c r="G18" s="886"/>
      <c r="H18" s="878"/>
      <c r="I18" s="878"/>
    </row>
    <row r="19" spans="1:9" s="887" customFormat="1" ht="19.5" customHeight="1">
      <c r="A19" s="3312"/>
      <c r="B19" s="3312" t="s">
        <v>563</v>
      </c>
      <c r="C19" s="883" t="s">
        <v>564</v>
      </c>
      <c r="D19" s="884"/>
      <c r="E19" s="882">
        <v>0.9</v>
      </c>
      <c r="F19" s="885" t="s">
        <v>565</v>
      </c>
      <c r="G19" s="886"/>
      <c r="H19" s="878"/>
      <c r="I19" s="878"/>
    </row>
    <row r="20" spans="1:9" s="887" customFormat="1" ht="19.5" customHeight="1">
      <c r="A20" s="3312"/>
      <c r="B20" s="3312"/>
      <c r="C20" s="883" t="s">
        <v>566</v>
      </c>
      <c r="D20" s="884"/>
      <c r="E20" s="882">
        <v>1.1000000000000001</v>
      </c>
      <c r="F20" s="885" t="s">
        <v>567</v>
      </c>
      <c r="G20" s="886"/>
      <c r="H20" s="878"/>
      <c r="I20" s="878"/>
    </row>
    <row r="21" spans="1:9" s="887" customFormat="1" ht="19.5" customHeight="1">
      <c r="A21" s="3312"/>
      <c r="B21" s="3312"/>
      <c r="C21" s="883" t="s">
        <v>568</v>
      </c>
      <c r="D21" s="884"/>
      <c r="E21" s="882">
        <v>0.8</v>
      </c>
      <c r="F21" s="885" t="s">
        <v>569</v>
      </c>
      <c r="G21" s="886"/>
      <c r="H21" s="878"/>
      <c r="I21" s="878"/>
    </row>
    <row r="22" spans="1:9" s="887" customFormat="1" ht="19.5" customHeight="1">
      <c r="A22" s="3312"/>
      <c r="B22" s="3312"/>
      <c r="C22" s="883" t="s">
        <v>570</v>
      </c>
      <c r="D22" s="884"/>
      <c r="E22" s="882">
        <v>0.5</v>
      </c>
      <c r="F22" s="885"/>
      <c r="G22" s="886"/>
      <c r="H22" s="878"/>
      <c r="I22" s="878"/>
    </row>
    <row r="23" spans="1:9" s="887" customFormat="1" ht="19.5" customHeight="1">
      <c r="A23" s="3312" t="s">
        <v>184</v>
      </c>
      <c r="B23" s="882" t="s">
        <v>560</v>
      </c>
      <c r="C23" s="883" t="s">
        <v>571</v>
      </c>
      <c r="D23" s="884"/>
      <c r="E23" s="882">
        <v>1</v>
      </c>
      <c r="F23" s="885" t="s">
        <v>572</v>
      </c>
      <c r="G23" s="886"/>
      <c r="H23" s="878"/>
      <c r="I23" s="878"/>
    </row>
    <row r="24" spans="1:9" s="887" customFormat="1" ht="19.5" customHeight="1">
      <c r="A24" s="3312"/>
      <c r="B24" s="3312" t="s">
        <v>563</v>
      </c>
      <c r="C24" s="883" t="s">
        <v>573</v>
      </c>
      <c r="D24" s="884"/>
      <c r="E24" s="882">
        <v>0.5</v>
      </c>
      <c r="F24" s="885"/>
      <c r="G24" s="886"/>
      <c r="H24" s="878"/>
      <c r="I24" s="878"/>
    </row>
    <row r="25" spans="1:9" s="887" customFormat="1" ht="19.5" customHeight="1">
      <c r="A25" s="3312"/>
      <c r="B25" s="3312"/>
      <c r="C25" s="883" t="s">
        <v>574</v>
      </c>
      <c r="D25" s="884"/>
      <c r="E25" s="882">
        <v>1.1000000000000001</v>
      </c>
      <c r="F25" s="885"/>
      <c r="G25" s="886"/>
      <c r="H25" s="878"/>
      <c r="I25" s="878"/>
    </row>
    <row r="26" spans="1:9" s="887" customFormat="1" ht="19.5" customHeight="1">
      <c r="A26" s="3312"/>
      <c r="B26" s="3312"/>
      <c r="C26" s="883" t="s">
        <v>575</v>
      </c>
      <c r="D26" s="884"/>
      <c r="E26" s="882">
        <v>1.1000000000000001</v>
      </c>
      <c r="F26" s="885"/>
      <c r="G26" s="886"/>
      <c r="H26" s="878"/>
      <c r="I26" s="878"/>
    </row>
    <row r="27" spans="1:9" s="887" customFormat="1" ht="19.5" customHeight="1">
      <c r="A27" s="3312"/>
      <c r="B27" s="3312"/>
      <c r="C27" s="883" t="s">
        <v>576</v>
      </c>
      <c r="D27" s="884"/>
      <c r="E27" s="882">
        <v>0.9</v>
      </c>
      <c r="F27" s="885" t="s">
        <v>577</v>
      </c>
      <c r="G27" s="886"/>
      <c r="H27" s="878"/>
      <c r="I27" s="878"/>
    </row>
    <row r="28" spans="1:9" s="887" customFormat="1" ht="19.5" customHeight="1">
      <c r="A28" s="3312"/>
      <c r="B28" s="3312"/>
      <c r="C28" s="883" t="s">
        <v>578</v>
      </c>
      <c r="D28" s="884"/>
      <c r="E28" s="882">
        <v>0.9</v>
      </c>
      <c r="F28" s="885" t="s">
        <v>579</v>
      </c>
      <c r="G28" s="886"/>
      <c r="H28" s="878"/>
      <c r="I28" s="878"/>
    </row>
    <row r="29" spans="1:9" s="887" customFormat="1" ht="19.5" customHeight="1">
      <c r="A29" s="3312"/>
      <c r="B29" s="3312"/>
      <c r="C29" s="883" t="s">
        <v>580</v>
      </c>
      <c r="D29" s="884"/>
      <c r="E29" s="882">
        <v>0.9</v>
      </c>
      <c r="F29" s="885" t="s">
        <v>581</v>
      </c>
      <c r="G29" s="886"/>
      <c r="H29" s="878"/>
      <c r="I29" s="878"/>
    </row>
    <row r="30" spans="1:9" s="887" customFormat="1" ht="19.5" customHeight="1">
      <c r="A30" s="3312"/>
      <c r="B30" s="3312"/>
      <c r="C30" s="883" t="s">
        <v>582</v>
      </c>
      <c r="D30" s="884"/>
      <c r="E30" s="882">
        <v>0.9</v>
      </c>
      <c r="F30" s="885" t="s">
        <v>583</v>
      </c>
      <c r="G30" s="886"/>
      <c r="H30" s="878"/>
      <c r="I30" s="878"/>
    </row>
    <row r="31" spans="1:9" s="887" customFormat="1" ht="19.5" customHeight="1">
      <c r="A31" s="3312"/>
      <c r="B31" s="3312"/>
      <c r="C31" s="883" t="s">
        <v>584</v>
      </c>
      <c r="D31" s="884"/>
      <c r="E31" s="882">
        <v>0.8</v>
      </c>
      <c r="F31" s="885" t="s">
        <v>585</v>
      </c>
      <c r="G31" s="886"/>
      <c r="H31" s="878"/>
      <c r="I31" s="878"/>
    </row>
    <row r="32" spans="1:9" s="887" customFormat="1" ht="19.5" customHeight="1">
      <c r="A32" s="3312"/>
      <c r="B32" s="3312"/>
      <c r="C32" s="883" t="s">
        <v>586</v>
      </c>
      <c r="D32" s="884"/>
      <c r="E32" s="882">
        <v>0.8</v>
      </c>
      <c r="F32" s="885" t="s">
        <v>587</v>
      </c>
      <c r="G32" s="886"/>
      <c r="H32" s="878"/>
      <c r="I32" s="878"/>
    </row>
    <row r="33" spans="1:9" s="887" customFormat="1" ht="19.5" customHeight="1">
      <c r="A33" s="3312" t="s">
        <v>185</v>
      </c>
      <c r="B33" s="882" t="s">
        <v>560</v>
      </c>
      <c r="C33" s="883" t="s">
        <v>588</v>
      </c>
      <c r="D33" s="884"/>
      <c r="E33" s="882">
        <v>1</v>
      </c>
      <c r="F33" s="885" t="s">
        <v>589</v>
      </c>
      <c r="G33" s="886"/>
      <c r="H33" s="878"/>
      <c r="I33" s="878"/>
    </row>
    <row r="34" spans="1:9" s="887" customFormat="1" ht="19.5" customHeight="1">
      <c r="A34" s="3312"/>
      <c r="B34" s="882" t="s">
        <v>563</v>
      </c>
      <c r="C34" s="883" t="s">
        <v>590</v>
      </c>
      <c r="D34" s="884"/>
      <c r="E34" s="882">
        <v>1.5</v>
      </c>
      <c r="F34" s="885" t="s">
        <v>591</v>
      </c>
      <c r="G34" s="886"/>
      <c r="H34" s="878"/>
      <c r="I34" s="878"/>
    </row>
    <row r="35" spans="1:9" s="887" customFormat="1" ht="19.5" customHeight="1">
      <c r="A35" s="3312" t="s">
        <v>186</v>
      </c>
      <c r="B35" s="882" t="s">
        <v>560</v>
      </c>
      <c r="C35" s="883" t="s">
        <v>592</v>
      </c>
      <c r="D35" s="884"/>
      <c r="E35" s="882">
        <v>1</v>
      </c>
      <c r="F35" s="885" t="s">
        <v>593</v>
      </c>
      <c r="G35" s="886"/>
      <c r="H35" s="878"/>
      <c r="I35" s="878"/>
    </row>
    <row r="36" spans="1:9" s="887" customFormat="1" ht="19.5" customHeight="1">
      <c r="A36" s="3312"/>
      <c r="B36" s="3312" t="s">
        <v>563</v>
      </c>
      <c r="C36" s="883" t="s">
        <v>594</v>
      </c>
      <c r="D36" s="884"/>
      <c r="E36" s="882">
        <v>1</v>
      </c>
      <c r="F36" s="885" t="s">
        <v>595</v>
      </c>
      <c r="G36" s="886"/>
      <c r="H36" s="878"/>
      <c r="I36" s="878"/>
    </row>
    <row r="37" spans="1:9" s="887" customFormat="1" ht="19.5" customHeight="1">
      <c r="A37" s="3312"/>
      <c r="B37" s="3312"/>
      <c r="C37" s="883" t="s">
        <v>596</v>
      </c>
      <c r="D37" s="884"/>
      <c r="E37" s="882">
        <v>1.5</v>
      </c>
      <c r="F37" s="885" t="s">
        <v>597</v>
      </c>
      <c r="G37" s="886"/>
      <c r="H37" s="878"/>
      <c r="I37" s="878"/>
    </row>
    <row r="38" spans="1:9" s="887" customFormat="1" ht="19.5" customHeight="1">
      <c r="A38" s="3312"/>
      <c r="B38" s="3312"/>
      <c r="C38" s="883" t="s">
        <v>598</v>
      </c>
      <c r="D38" s="884"/>
      <c r="E38" s="882">
        <v>1</v>
      </c>
      <c r="F38" s="885" t="s">
        <v>599</v>
      </c>
      <c r="G38" s="886"/>
      <c r="H38" s="878"/>
      <c r="I38" s="878"/>
    </row>
    <row r="39" spans="1:9" s="887" customFormat="1" ht="19.5" customHeight="1">
      <c r="A39" s="3312"/>
      <c r="B39" s="331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
      <c r="A60" s="940"/>
      <c r="B60" s="940"/>
      <c r="C60" s="940" t="s">
        <v>745</v>
      </c>
      <c r="D60" s="940"/>
      <c r="E60" s="895" t="s">
        <v>1</v>
      </c>
      <c r="F60" s="940" t="s">
        <v>1</v>
      </c>
    </row>
    <row r="61" spans="1:8" s="878" customFormat="1" ht="30">
      <c r="A61" s="882">
        <v>1</v>
      </c>
      <c r="B61" s="3312" t="s">
        <v>614</v>
      </c>
      <c r="C61" s="818" t="s">
        <v>615</v>
      </c>
      <c r="D61" s="818" t="s">
        <v>616</v>
      </c>
      <c r="E61" s="895">
        <v>0.5</v>
      </c>
      <c r="F61" s="882">
        <v>80</v>
      </c>
    </row>
    <row r="62" spans="1:8" s="878" customFormat="1" ht="30">
      <c r="A62" s="882">
        <v>2</v>
      </c>
      <c r="B62" s="3312"/>
      <c r="C62" s="818" t="s">
        <v>617</v>
      </c>
      <c r="D62" s="818" t="s">
        <v>618</v>
      </c>
      <c r="E62" s="895">
        <v>0.5</v>
      </c>
      <c r="F62" s="882">
        <v>80</v>
      </c>
    </row>
    <row r="63" spans="1:8" s="878" customFormat="1" ht="45">
      <c r="A63" s="882">
        <v>3</v>
      </c>
      <c r="B63" s="3312"/>
      <c r="C63" s="818" t="s">
        <v>619</v>
      </c>
      <c r="D63" s="818" t="s">
        <v>620</v>
      </c>
      <c r="E63" s="895">
        <v>0.5</v>
      </c>
      <c r="F63" s="882">
        <v>80</v>
      </c>
    </row>
    <row r="64" spans="1:8" s="878" customFormat="1" ht="45">
      <c r="A64" s="882">
        <v>4</v>
      </c>
      <c r="B64" s="3312"/>
      <c r="C64" s="818" t="s">
        <v>621</v>
      </c>
      <c r="D64" s="818" t="s">
        <v>622</v>
      </c>
      <c r="E64" s="895">
        <v>0.4</v>
      </c>
      <c r="F64" s="882">
        <v>60</v>
      </c>
    </row>
    <row r="65" spans="1:6" s="878" customFormat="1" ht="45">
      <c r="A65" s="882">
        <v>5</v>
      </c>
      <c r="B65" s="3312"/>
      <c r="C65" s="818" t="s">
        <v>623</v>
      </c>
      <c r="D65" s="818" t="s">
        <v>624</v>
      </c>
      <c r="E65" s="895">
        <v>0.2</v>
      </c>
      <c r="F65" s="882">
        <v>30</v>
      </c>
    </row>
    <row r="66" spans="1:6" s="878" customFormat="1" ht="45">
      <c r="A66" s="882">
        <v>6</v>
      </c>
      <c r="B66" s="3312"/>
      <c r="C66" s="818" t="s">
        <v>625</v>
      </c>
      <c r="D66" s="818" t="s">
        <v>626</v>
      </c>
      <c r="E66" s="895">
        <v>0.3</v>
      </c>
      <c r="F66" s="882">
        <v>50</v>
      </c>
    </row>
    <row r="67" spans="1:6" s="878" customFormat="1" ht="45">
      <c r="A67" s="882">
        <v>7</v>
      </c>
      <c r="B67" s="3312"/>
      <c r="C67" s="818" t="s">
        <v>627</v>
      </c>
      <c r="D67" s="818" t="s">
        <v>628</v>
      </c>
      <c r="E67" s="895">
        <v>0.2</v>
      </c>
      <c r="F67" s="882">
        <v>30</v>
      </c>
    </row>
    <row r="68" spans="1:6" s="878" customFormat="1" ht="45">
      <c r="A68" s="882">
        <v>8</v>
      </c>
      <c r="B68" s="3312"/>
      <c r="C68" s="818" t="s">
        <v>629</v>
      </c>
      <c r="D68" s="818" t="s">
        <v>630</v>
      </c>
      <c r="E68" s="895">
        <v>0.2</v>
      </c>
      <c r="F68" s="882">
        <v>30</v>
      </c>
    </row>
    <row r="69" spans="1:6" s="878" customFormat="1" ht="45">
      <c r="A69" s="882">
        <v>9</v>
      </c>
      <c r="B69" s="3312"/>
      <c r="C69" s="818" t="s">
        <v>631</v>
      </c>
      <c r="D69" s="818" t="s">
        <v>632</v>
      </c>
      <c r="E69" s="895">
        <v>0.2</v>
      </c>
      <c r="F69" s="882">
        <v>30</v>
      </c>
    </row>
    <row r="70" spans="1:6" s="878" customFormat="1" ht="60">
      <c r="A70" s="882">
        <v>10</v>
      </c>
      <c r="B70" s="3312"/>
      <c r="C70" s="818" t="s">
        <v>633</v>
      </c>
      <c r="D70" s="818" t="s">
        <v>634</v>
      </c>
      <c r="E70" s="895">
        <v>0.2</v>
      </c>
      <c r="F70" s="882">
        <v>30</v>
      </c>
    </row>
    <row r="71" spans="1:6" s="878" customFormat="1" ht="60">
      <c r="A71" s="882">
        <v>11</v>
      </c>
      <c r="B71" s="3312"/>
      <c r="C71" s="818" t="s">
        <v>635</v>
      </c>
      <c r="D71" s="818" t="s">
        <v>636</v>
      </c>
      <c r="E71" s="895">
        <v>0.2</v>
      </c>
      <c r="F71" s="882">
        <v>30</v>
      </c>
    </row>
    <row r="72" spans="1:6" s="878" customFormat="1" ht="45">
      <c r="A72" s="882">
        <v>12</v>
      </c>
      <c r="B72" s="3312"/>
      <c r="C72" s="818" t="s">
        <v>637</v>
      </c>
      <c r="D72" s="818" t="s">
        <v>638</v>
      </c>
      <c r="E72" s="895">
        <v>0.5</v>
      </c>
      <c r="F72" s="882">
        <v>80</v>
      </c>
    </row>
    <row r="73" spans="1:6" s="878" customFormat="1" ht="30">
      <c r="A73" s="882">
        <v>13</v>
      </c>
      <c r="B73" s="3312"/>
      <c r="C73" s="818" t="s">
        <v>639</v>
      </c>
      <c r="D73" s="818" t="s">
        <v>640</v>
      </c>
      <c r="E73" s="895">
        <v>0.4</v>
      </c>
      <c r="F73" s="882">
        <v>60</v>
      </c>
    </row>
    <row r="74" spans="1:6" s="878" customFormat="1" ht="30">
      <c r="A74" s="882">
        <v>14</v>
      </c>
      <c r="B74" s="3312"/>
      <c r="C74" s="818" t="s">
        <v>641</v>
      </c>
      <c r="D74" s="818" t="s">
        <v>642</v>
      </c>
      <c r="E74" s="895">
        <v>0.2</v>
      </c>
      <c r="F74" s="882">
        <v>30</v>
      </c>
    </row>
    <row r="75" spans="1:6" s="878" customFormat="1" ht="30">
      <c r="A75" s="882">
        <v>15</v>
      </c>
      <c r="B75" s="3312"/>
      <c r="C75" s="818" t="s">
        <v>643</v>
      </c>
      <c r="D75" s="818" t="s">
        <v>644</v>
      </c>
      <c r="E75" s="895">
        <v>0.2</v>
      </c>
      <c r="F75" s="882">
        <v>30</v>
      </c>
    </row>
    <row r="76" spans="1:6" s="878" customFormat="1" ht="30">
      <c r="A76" s="882">
        <v>16</v>
      </c>
      <c r="B76" s="3312" t="s">
        <v>645</v>
      </c>
      <c r="C76" s="818" t="s">
        <v>646</v>
      </c>
      <c r="D76" s="818" t="s">
        <v>647</v>
      </c>
      <c r="E76" s="895">
        <v>0.5</v>
      </c>
      <c r="F76" s="882">
        <v>80</v>
      </c>
    </row>
    <row r="77" spans="1:6" s="878" customFormat="1" ht="30">
      <c r="A77" s="882">
        <v>17</v>
      </c>
      <c r="B77" s="3312"/>
      <c r="C77" s="818" t="s">
        <v>648</v>
      </c>
      <c r="D77" s="818" t="s">
        <v>649</v>
      </c>
      <c r="E77" s="895">
        <v>0.5</v>
      </c>
      <c r="F77" s="882">
        <v>80</v>
      </c>
    </row>
    <row r="78" spans="1:6" s="878" customFormat="1" ht="30">
      <c r="A78" s="882">
        <v>18</v>
      </c>
      <c r="B78" s="3312"/>
      <c r="C78" s="818" t="s">
        <v>650</v>
      </c>
      <c r="D78" s="818" t="s">
        <v>651</v>
      </c>
      <c r="E78" s="895">
        <v>0.2</v>
      </c>
      <c r="F78" s="882">
        <v>30</v>
      </c>
    </row>
    <row r="79" spans="1:6" s="878" customFormat="1" ht="30">
      <c r="A79" s="882">
        <v>19</v>
      </c>
      <c r="B79" s="3312"/>
      <c r="C79" s="818" t="s">
        <v>652</v>
      </c>
      <c r="D79" s="818" t="s">
        <v>653</v>
      </c>
      <c r="E79" s="895">
        <v>0.5</v>
      </c>
      <c r="F79" s="882">
        <v>80</v>
      </c>
    </row>
    <row r="80" spans="1:6" s="878" customFormat="1" ht="45">
      <c r="A80" s="882">
        <v>20</v>
      </c>
      <c r="B80" s="3312"/>
      <c r="C80" s="818" t="s">
        <v>654</v>
      </c>
      <c r="D80" s="818" t="s">
        <v>655</v>
      </c>
      <c r="E80" s="895">
        <v>0.2</v>
      </c>
      <c r="F80" s="882">
        <v>30</v>
      </c>
    </row>
    <row r="81" spans="1:6" s="878" customFormat="1" ht="45">
      <c r="A81" s="882">
        <v>21</v>
      </c>
      <c r="B81" s="3312"/>
      <c r="C81" s="818" t="s">
        <v>656</v>
      </c>
      <c r="D81" s="818" t="s">
        <v>657</v>
      </c>
      <c r="E81" s="895">
        <v>0.2</v>
      </c>
      <c r="F81" s="882">
        <v>30</v>
      </c>
    </row>
    <row r="82" spans="1:6" s="878" customFormat="1" ht="60">
      <c r="A82" s="882">
        <v>22</v>
      </c>
      <c r="B82" s="3312"/>
      <c r="C82" s="818" t="s">
        <v>658</v>
      </c>
      <c r="D82" s="818" t="s">
        <v>659</v>
      </c>
      <c r="E82" s="895">
        <v>0.2</v>
      </c>
      <c r="F82" s="882">
        <v>30</v>
      </c>
    </row>
    <row r="83" spans="1:6" s="878" customFormat="1" ht="60">
      <c r="A83" s="882">
        <v>23</v>
      </c>
      <c r="B83" s="3312"/>
      <c r="C83" s="818" t="s">
        <v>660</v>
      </c>
      <c r="D83" s="818" t="s">
        <v>661</v>
      </c>
      <c r="E83" s="895">
        <v>0.2</v>
      </c>
      <c r="F83" s="882">
        <v>30</v>
      </c>
    </row>
    <row r="84" spans="1:6" s="878" customFormat="1" ht="45">
      <c r="A84" s="882">
        <v>24</v>
      </c>
      <c r="B84" s="3312"/>
      <c r="C84" s="818" t="s">
        <v>662</v>
      </c>
      <c r="D84" s="818" t="s">
        <v>663</v>
      </c>
      <c r="E84" s="895">
        <v>0.2</v>
      </c>
      <c r="F84" s="882">
        <v>30</v>
      </c>
    </row>
    <row r="85" spans="1:6" s="878" customFormat="1" ht="45">
      <c r="A85" s="882">
        <v>25</v>
      </c>
      <c r="B85" s="3312"/>
      <c r="C85" s="818" t="s">
        <v>664</v>
      </c>
      <c r="D85" s="818" t="s">
        <v>665</v>
      </c>
      <c r="E85" s="895">
        <v>0.5</v>
      </c>
      <c r="F85" s="882">
        <v>80</v>
      </c>
    </row>
    <row r="86" spans="1:6" s="878" customFormat="1" ht="45">
      <c r="A86" s="882">
        <v>26</v>
      </c>
      <c r="B86" s="3312"/>
      <c r="C86" s="818" t="s">
        <v>666</v>
      </c>
      <c r="D86" s="818" t="s">
        <v>667</v>
      </c>
      <c r="E86" s="895">
        <v>0.2</v>
      </c>
      <c r="F86" s="882">
        <v>30</v>
      </c>
    </row>
    <row r="87" spans="1:6" s="878" customFormat="1" ht="45">
      <c r="A87" s="882">
        <v>27</v>
      </c>
      <c r="B87" s="3312"/>
      <c r="C87" s="818" t="s">
        <v>668</v>
      </c>
      <c r="D87" s="818" t="s">
        <v>669</v>
      </c>
      <c r="E87" s="895">
        <v>0.2</v>
      </c>
      <c r="F87" s="882">
        <v>30</v>
      </c>
    </row>
    <row r="88" spans="1:6" s="878" customFormat="1" ht="45">
      <c r="A88" s="882">
        <v>28</v>
      </c>
      <c r="B88" s="3312"/>
      <c r="C88" s="818" t="s">
        <v>670</v>
      </c>
      <c r="D88" s="818" t="s">
        <v>671</v>
      </c>
      <c r="E88" s="895">
        <v>0.2</v>
      </c>
      <c r="F88" s="882">
        <v>30</v>
      </c>
    </row>
    <row r="89" spans="1:6" s="878" customFormat="1" ht="30">
      <c r="A89" s="882">
        <v>29</v>
      </c>
      <c r="B89" s="3312"/>
      <c r="C89" s="818" t="s">
        <v>672</v>
      </c>
      <c r="D89" s="818" t="s">
        <v>673</v>
      </c>
      <c r="E89" s="895">
        <v>0.2</v>
      </c>
      <c r="F89" s="882">
        <v>30</v>
      </c>
    </row>
    <row r="90" spans="1:6" s="878" customFormat="1" ht="30">
      <c r="A90" s="882">
        <v>30</v>
      </c>
      <c r="B90" s="3312"/>
      <c r="C90" s="818" t="s">
        <v>674</v>
      </c>
      <c r="D90" s="818" t="s">
        <v>675</v>
      </c>
      <c r="E90" s="895">
        <v>0.2</v>
      </c>
      <c r="F90" s="882">
        <v>30</v>
      </c>
    </row>
    <row r="91" spans="1:6" s="878" customFormat="1" ht="45">
      <c r="A91" s="882">
        <v>31</v>
      </c>
      <c r="B91" s="3312"/>
      <c r="C91" s="818" t="s">
        <v>676</v>
      </c>
      <c r="D91" s="818" t="s">
        <v>677</v>
      </c>
      <c r="E91" s="895">
        <v>0.2</v>
      </c>
      <c r="F91" s="882">
        <v>30</v>
      </c>
    </row>
    <row r="92" spans="1:6" s="878" customFormat="1" ht="30">
      <c r="A92" s="882">
        <v>32</v>
      </c>
      <c r="B92" s="3312" t="s">
        <v>678</v>
      </c>
      <c r="C92" s="882" t="s">
        <v>679</v>
      </c>
      <c r="D92" s="818" t="s">
        <v>680</v>
      </c>
      <c r="E92" s="895">
        <v>0.2</v>
      </c>
      <c r="F92" s="882">
        <v>30</v>
      </c>
    </row>
    <row r="93" spans="1:6" s="878" customFormat="1" ht="45">
      <c r="A93" s="882">
        <v>33</v>
      </c>
      <c r="B93" s="3312"/>
      <c r="C93" s="882" t="s">
        <v>681</v>
      </c>
      <c r="D93" s="818" t="s">
        <v>682</v>
      </c>
      <c r="E93" s="895">
        <v>0.2</v>
      </c>
      <c r="F93" s="882">
        <v>30</v>
      </c>
    </row>
    <row r="94" spans="1:6" s="878" customFormat="1" ht="60">
      <c r="A94" s="882">
        <v>34</v>
      </c>
      <c r="B94" s="3312"/>
      <c r="C94" s="882" t="s">
        <v>683</v>
      </c>
      <c r="D94" s="818" t="s">
        <v>684</v>
      </c>
      <c r="E94" s="895">
        <v>0.2</v>
      </c>
      <c r="F94" s="882">
        <v>30</v>
      </c>
    </row>
    <row r="95" spans="1:6" s="878" customFormat="1" ht="45">
      <c r="A95" s="882">
        <v>35</v>
      </c>
      <c r="B95" s="3312"/>
      <c r="C95" s="882" t="s">
        <v>685</v>
      </c>
      <c r="D95" s="818" t="s">
        <v>686</v>
      </c>
      <c r="E95" s="895">
        <v>0.2</v>
      </c>
      <c r="F95" s="882">
        <v>30</v>
      </c>
    </row>
    <row r="96" spans="1:6" s="878" customFormat="1" ht="60">
      <c r="A96" s="882">
        <v>36</v>
      </c>
      <c r="B96" s="3312"/>
      <c r="C96" s="818" t="s">
        <v>687</v>
      </c>
      <c r="D96" s="818" t="s">
        <v>688</v>
      </c>
      <c r="E96" s="895">
        <v>0.2</v>
      </c>
      <c r="F96" s="882">
        <v>30</v>
      </c>
    </row>
    <row r="97" spans="1:6" s="878" customFormat="1" ht="45">
      <c r="A97" s="882">
        <v>37</v>
      </c>
      <c r="B97" s="3312"/>
      <c r="C97" s="882" t="s">
        <v>689</v>
      </c>
      <c r="D97" s="818" t="s">
        <v>690</v>
      </c>
      <c r="E97" s="895">
        <v>0.2</v>
      </c>
      <c r="F97" s="882">
        <v>30</v>
      </c>
    </row>
    <row r="98" spans="1:6" s="878" customFormat="1" ht="45">
      <c r="A98" s="882">
        <v>38</v>
      </c>
      <c r="B98" s="3312"/>
      <c r="C98" s="882" t="s">
        <v>691</v>
      </c>
      <c r="D98" s="818" t="s">
        <v>692</v>
      </c>
      <c r="E98" s="895">
        <v>0.2</v>
      </c>
      <c r="F98" s="882">
        <v>30</v>
      </c>
    </row>
    <row r="99" spans="1:6" s="878" customFormat="1" ht="45">
      <c r="A99" s="882">
        <v>39</v>
      </c>
      <c r="B99" s="3312" t="s">
        <v>693</v>
      </c>
      <c r="C99" s="882" t="s">
        <v>694</v>
      </c>
      <c r="D99" s="818" t="s">
        <v>695</v>
      </c>
      <c r="E99" s="895">
        <v>0.3</v>
      </c>
      <c r="F99" s="882">
        <v>50</v>
      </c>
    </row>
    <row r="100" spans="1:6" s="878" customFormat="1" ht="30">
      <c r="A100" s="882">
        <v>40</v>
      </c>
      <c r="B100" s="3312"/>
      <c r="C100" s="882" t="s">
        <v>696</v>
      </c>
      <c r="D100" s="818" t="s">
        <v>697</v>
      </c>
      <c r="E100" s="895">
        <v>0.2</v>
      </c>
      <c r="F100" s="882">
        <v>30</v>
      </c>
    </row>
    <row r="101" spans="1:6" s="878" customFormat="1" ht="45">
      <c r="A101" s="882">
        <v>41</v>
      </c>
      <c r="B101" s="3312"/>
      <c r="C101" s="882" t="s">
        <v>698</v>
      </c>
      <c r="D101" s="818" t="s">
        <v>695</v>
      </c>
      <c r="E101" s="895">
        <v>0.2</v>
      </c>
      <c r="F101" s="882">
        <v>30</v>
      </c>
    </row>
    <row r="102" spans="1:6" s="878" customFormat="1" ht="60">
      <c r="A102" s="882">
        <v>42</v>
      </c>
      <c r="B102" s="882" t="s">
        <v>699</v>
      </c>
      <c r="C102" s="818" t="s">
        <v>700</v>
      </c>
      <c r="D102" s="818" t="s">
        <v>701</v>
      </c>
      <c r="E102" s="895">
        <v>0.2</v>
      </c>
      <c r="F102" s="882">
        <v>30</v>
      </c>
    </row>
    <row r="103" spans="1:6" s="878" customFormat="1" ht="30">
      <c r="A103" s="882">
        <v>43</v>
      </c>
      <c r="B103" s="882" t="s">
        <v>702</v>
      </c>
      <c r="C103" s="882" t="s">
        <v>703</v>
      </c>
      <c r="D103" s="818" t="s">
        <v>704</v>
      </c>
      <c r="E103" s="895">
        <v>0.2</v>
      </c>
      <c r="F103" s="882">
        <v>30</v>
      </c>
    </row>
    <row r="104" spans="1:6" s="878" customFormat="1" ht="45">
      <c r="A104" s="882">
        <v>44</v>
      </c>
      <c r="B104" s="882" t="s">
        <v>705</v>
      </c>
      <c r="C104" s="882" t="s">
        <v>706</v>
      </c>
      <c r="D104" s="818" t="s">
        <v>707</v>
      </c>
      <c r="E104" s="895">
        <v>0.2</v>
      </c>
      <c r="F104" s="882">
        <v>30</v>
      </c>
    </row>
    <row r="105" spans="1:6" s="878" customFormat="1" ht="45">
      <c r="A105" s="882">
        <v>45</v>
      </c>
      <c r="B105" s="3312" t="s">
        <v>708</v>
      </c>
      <c r="C105" s="882" t="s">
        <v>709</v>
      </c>
      <c r="D105" s="818" t="s">
        <v>710</v>
      </c>
      <c r="E105" s="895">
        <v>0.2</v>
      </c>
      <c r="F105" s="882">
        <v>30</v>
      </c>
    </row>
    <row r="106" spans="1:6" s="878" customFormat="1" ht="45">
      <c r="A106" s="882">
        <v>46</v>
      </c>
      <c r="B106" s="3312"/>
      <c r="C106" s="882" t="s">
        <v>711</v>
      </c>
      <c r="D106" s="818" t="s">
        <v>712</v>
      </c>
      <c r="E106" s="895">
        <v>0.2</v>
      </c>
      <c r="F106" s="882">
        <v>30</v>
      </c>
    </row>
    <row r="107" spans="1:6" s="878" customFormat="1" ht="45">
      <c r="A107" s="882">
        <v>47</v>
      </c>
      <c r="B107" s="3312" t="s">
        <v>713</v>
      </c>
      <c r="C107" s="882" t="s">
        <v>714</v>
      </c>
      <c r="D107" s="818" t="s">
        <v>715</v>
      </c>
      <c r="E107" s="895">
        <v>0.3</v>
      </c>
      <c r="F107" s="882">
        <v>50</v>
      </c>
    </row>
    <row r="108" spans="1:6" s="878" customFormat="1" ht="45">
      <c r="A108" s="882">
        <v>48</v>
      </c>
      <c r="B108" s="3312"/>
      <c r="C108" s="882" t="s">
        <v>716</v>
      </c>
      <c r="D108" s="818" t="s">
        <v>717</v>
      </c>
      <c r="E108" s="895">
        <v>0.2</v>
      </c>
      <c r="F108" s="882">
        <v>30</v>
      </c>
    </row>
    <row r="109" spans="1:6" s="878" customFormat="1" ht="45">
      <c r="A109" s="882">
        <v>49</v>
      </c>
      <c r="B109" s="882" t="s">
        <v>718</v>
      </c>
      <c r="C109" s="882" t="s">
        <v>719</v>
      </c>
      <c r="D109" s="818" t="s">
        <v>720</v>
      </c>
      <c r="E109" s="895">
        <v>0.2</v>
      </c>
      <c r="F109" s="882">
        <v>30</v>
      </c>
    </row>
    <row r="110" spans="1:6" s="878" customFormat="1" ht="45">
      <c r="A110" s="882">
        <v>50</v>
      </c>
      <c r="B110" s="882" t="s">
        <v>721</v>
      </c>
      <c r="C110" s="882" t="s">
        <v>722</v>
      </c>
      <c r="D110" s="818" t="s">
        <v>723</v>
      </c>
      <c r="E110" s="895">
        <v>0.2</v>
      </c>
      <c r="F110" s="882">
        <v>30</v>
      </c>
    </row>
    <row r="111" spans="1:6" s="878" customFormat="1" ht="45">
      <c r="A111" s="882">
        <v>51</v>
      </c>
      <c r="B111" s="3312" t="s">
        <v>724</v>
      </c>
      <c r="C111" s="882" t="s">
        <v>725</v>
      </c>
      <c r="D111" s="818" t="s">
        <v>726</v>
      </c>
      <c r="E111" s="895">
        <v>0.2</v>
      </c>
      <c r="F111" s="882">
        <v>30</v>
      </c>
    </row>
    <row r="112" spans="1:6" s="878" customFormat="1" ht="30">
      <c r="A112" s="882">
        <v>52</v>
      </c>
      <c r="B112" s="3312"/>
      <c r="C112" s="882" t="s">
        <v>727</v>
      </c>
      <c r="D112" s="818" t="s">
        <v>728</v>
      </c>
      <c r="E112" s="895">
        <v>0.2</v>
      </c>
      <c r="F112" s="882">
        <v>30</v>
      </c>
    </row>
    <row r="113" spans="1:6" s="878" customFormat="1" ht="30">
      <c r="A113" s="882">
        <v>53</v>
      </c>
      <c r="B113" s="3312"/>
      <c r="C113" s="882" t="s">
        <v>729</v>
      </c>
      <c r="D113" s="818" t="s">
        <v>730</v>
      </c>
      <c r="E113" s="895">
        <v>0.2</v>
      </c>
      <c r="F113" s="882">
        <v>30</v>
      </c>
    </row>
    <row r="114" spans="1:6" ht="45">
      <c r="A114" s="882">
        <v>54</v>
      </c>
      <c r="B114" s="882" t="s">
        <v>731</v>
      </c>
      <c r="C114" s="882" t="s">
        <v>732</v>
      </c>
      <c r="D114" s="818" t="s">
        <v>733</v>
      </c>
      <c r="E114" s="895">
        <v>0.2</v>
      </c>
      <c r="F114" s="882">
        <v>30</v>
      </c>
    </row>
    <row r="115" spans="1:6" ht="30">
      <c r="A115" s="882">
        <v>55</v>
      </c>
      <c r="B115" s="882" t="s">
        <v>734</v>
      </c>
      <c r="C115" s="882" t="s">
        <v>735</v>
      </c>
      <c r="D115" s="818" t="s">
        <v>736</v>
      </c>
      <c r="E115" s="895">
        <v>0.2</v>
      </c>
      <c r="F115" s="882">
        <v>30</v>
      </c>
    </row>
    <row r="116" spans="1:6" ht="30">
      <c r="A116" s="882">
        <v>56</v>
      </c>
      <c r="B116" s="3312" t="s">
        <v>737</v>
      </c>
      <c r="C116" s="882" t="s">
        <v>738</v>
      </c>
      <c r="D116" s="818" t="s">
        <v>739</v>
      </c>
      <c r="E116" s="895">
        <v>0.2</v>
      </c>
      <c r="F116" s="882">
        <v>30</v>
      </c>
    </row>
    <row r="117" spans="1:6" ht="45">
      <c r="A117" s="882">
        <v>57</v>
      </c>
      <c r="B117" s="3312"/>
      <c r="C117" s="882" t="s">
        <v>740</v>
      </c>
      <c r="D117" s="818" t="s">
        <v>741</v>
      </c>
      <c r="E117" s="895">
        <v>0.2</v>
      </c>
      <c r="F117" s="882">
        <v>30</v>
      </c>
    </row>
    <row r="118" spans="1:6" ht="45">
      <c r="A118" s="882">
        <v>58</v>
      </c>
      <c r="B118" s="882" t="s">
        <v>742</v>
      </c>
      <c r="C118" s="882" t="s">
        <v>743</v>
      </c>
      <c r="D118" s="818" t="s">
        <v>744</v>
      </c>
      <c r="E118" s="895">
        <v>0.2</v>
      </c>
      <c r="F118" s="882">
        <v>30</v>
      </c>
    </row>
    <row r="119" spans="1:6" ht="1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baseColWidth="10" defaultColWidth="9" defaultRowHeight="14"/>
  <cols>
    <col min="1" max="1" width="9" style="915"/>
    <col min="2" max="16384" width="9" style="898"/>
  </cols>
  <sheetData>
    <row r="1" spans="1:14" ht="15">
      <c r="A1" s="896" t="s">
        <v>747</v>
      </c>
      <c r="B1" s="897"/>
      <c r="C1" s="897"/>
      <c r="D1" s="897"/>
      <c r="E1" s="897"/>
      <c r="F1" s="897"/>
      <c r="G1" s="897"/>
      <c r="H1" s="897"/>
      <c r="I1" s="897"/>
      <c r="J1" s="897"/>
      <c r="K1" s="897"/>
      <c r="L1" s="897"/>
      <c r="M1" s="897"/>
      <c r="N1" s="897"/>
    </row>
    <row r="2" spans="1:14" ht="15">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
      <c r="A103" s="896" t="s">
        <v>748</v>
      </c>
      <c r="B103" s="897"/>
      <c r="C103" s="897"/>
      <c r="D103" s="897"/>
      <c r="E103" s="897"/>
      <c r="F103" s="897"/>
      <c r="G103" s="897"/>
      <c r="H103" s="897"/>
      <c r="I103" s="897"/>
      <c r="J103" s="897"/>
      <c r="K103" s="897"/>
      <c r="L103" s="897"/>
      <c r="M103" s="897"/>
      <c r="N103" s="897"/>
    </row>
    <row r="104" spans="1:14" ht="1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
      <c r="A205" s="896" t="s">
        <v>749</v>
      </c>
      <c r="B205" s="897"/>
      <c r="C205" s="897"/>
      <c r="D205" s="897"/>
      <c r="E205" s="897"/>
      <c r="F205" s="897"/>
      <c r="G205" s="897"/>
      <c r="H205" s="897"/>
      <c r="I205" s="897"/>
      <c r="J205" s="897"/>
      <c r="K205" s="897"/>
      <c r="L205" s="897"/>
      <c r="M205" s="897"/>
    </row>
    <row r="206" spans="1:13" ht="15">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
      <c r="A307" s="896" t="s">
        <v>750</v>
      </c>
      <c r="B307" s="897"/>
      <c r="C307" s="897"/>
      <c r="D307" s="897"/>
      <c r="E307" s="897"/>
      <c r="F307" s="897"/>
      <c r="G307" s="897"/>
      <c r="H307" s="897"/>
      <c r="I307" s="897"/>
      <c r="J307" s="897"/>
      <c r="K307" s="897"/>
      <c r="L307" s="897"/>
      <c r="M307" s="897"/>
    </row>
    <row r="308" spans="1:13" ht="15">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E13"/>
  <sheetViews>
    <sheetView workbookViewId="0">
      <selection sqref="A1:XFD1048576"/>
    </sheetView>
  </sheetViews>
  <sheetFormatPr baseColWidth="10" defaultColWidth="9" defaultRowHeight="14"/>
  <cols>
    <col min="1" max="1" width="23.33203125" style="1944" customWidth="1"/>
    <col min="2" max="2" width="12.5" style="1944" customWidth="1"/>
    <col min="3" max="3" width="12.1640625" style="1944" customWidth="1"/>
    <col min="4" max="4" width="14.1640625" style="1944" customWidth="1"/>
    <col min="5" max="5" width="12.5" style="1944" customWidth="1"/>
    <col min="6" max="16384" width="9" style="1944"/>
  </cols>
  <sheetData>
    <row r="1" spans="1:5" ht="20">
      <c r="A1" s="2559" t="s">
        <v>3001</v>
      </c>
    </row>
    <row r="2" spans="1:5" ht="16">
      <c r="A2" s="2900" t="s">
        <v>2993</v>
      </c>
      <c r="B2" s="2901" t="e">
        <f ca="1">SUMIF(B6:B13,"&lt;&gt;#ref!",B6:B13)</f>
        <v>#DIV/0!</v>
      </c>
      <c r="C2" s="2900" t="s">
        <v>2994</v>
      </c>
      <c r="D2" s="2900" t="s">
        <v>2995</v>
      </c>
      <c r="E2" s="2901">
        <f ca="1">SUMIF(E6:E13,"&lt;&gt;#ref!",E6:E13)</f>
        <v>0</v>
      </c>
    </row>
    <row r="3" spans="1:5" ht="16">
      <c r="A3" s="2900" t="s">
        <v>2996</v>
      </c>
      <c r="B3" s="2901" t="e">
        <f ca="1">ROUND(B2*10000/E2,0)</f>
        <v>#DIV/0!</v>
      </c>
      <c r="C3" s="2900" t="s">
        <v>3002</v>
      </c>
      <c r="D3" s="2902"/>
      <c r="E3" s="2902"/>
    </row>
    <row r="4" spans="1:5" ht="16">
      <c r="A4" s="2903"/>
      <c r="B4" s="2902"/>
      <c r="C4" s="2902"/>
      <c r="D4" s="2902"/>
      <c r="E4" s="2902"/>
    </row>
    <row r="5" spans="1:5" ht="32">
      <c r="A5" s="2904" t="s">
        <v>2997</v>
      </c>
      <c r="B5" s="2900" t="s">
        <v>2998</v>
      </c>
      <c r="C5" s="2901"/>
      <c r="D5" s="2902"/>
      <c r="E5" s="2900" t="s">
        <v>2999</v>
      </c>
    </row>
    <row r="6" spans="1:5" ht="16">
      <c r="A6" s="2905" t="s">
        <v>3000</v>
      </c>
      <c r="B6" s="2901" t="e">
        <f ca="1">SUMIF(INDIRECT("'"&amp;A6&amp;"'"&amp;"!A:A"),"总价",INDIRECT("'"&amp;A6&amp;"'"&amp;"!B:B"))</f>
        <v>#DIV/0!</v>
      </c>
      <c r="C6" s="2900" t="s">
        <v>2994</v>
      </c>
      <c r="D6" s="2902"/>
      <c r="E6" s="2573">
        <f ca="1">SUMIF(INDIRECT("'"&amp;A6&amp;"'"&amp;"!C:C"),"建筑面积",INDIRECT("'"&amp;A6&amp;"'"&amp;"!D:D"))</f>
        <v>0</v>
      </c>
    </row>
    <row r="7" spans="1:5" ht="16">
      <c r="A7" s="2905"/>
      <c r="B7" s="2901" t="e">
        <f ca="1">SUMIF(INDIRECT("'"&amp;A7&amp;"'"&amp;"!A:A"),"总价",INDIRECT("'"&amp;A7&amp;"'"&amp;"!B:B"))</f>
        <v>#REF!</v>
      </c>
      <c r="C7" s="2900" t="s">
        <v>2994</v>
      </c>
      <c r="D7" s="2902"/>
      <c r="E7" s="2573" t="e">
        <f t="shared" ref="E7:E13" ca="1" si="0">SUMIF(INDIRECT("'"&amp;A7&amp;"'"&amp;"!C:C"),"建筑面积",INDIRECT("'"&amp;A7&amp;"'"&amp;"!D:D"))</f>
        <v>#REF!</v>
      </c>
    </row>
    <row r="8" spans="1:5" ht="16">
      <c r="A8" s="2905"/>
      <c r="B8" s="2901" t="e">
        <f t="shared" ref="B8:B13" ca="1" si="1">SUMIF(INDIRECT("'"&amp;A8&amp;"'"&amp;"!A:A"),"总价",INDIRECT("'"&amp;A8&amp;"'"&amp;"!B:B"))</f>
        <v>#REF!</v>
      </c>
      <c r="C8" s="2900" t="s">
        <v>2994</v>
      </c>
      <c r="D8" s="2902"/>
      <c r="E8" s="2573" t="e">
        <f t="shared" ca="1" si="0"/>
        <v>#REF!</v>
      </c>
    </row>
    <row r="9" spans="1:5" ht="16">
      <c r="A9" s="2905"/>
      <c r="B9" s="2901" t="e">
        <f t="shared" ca="1" si="1"/>
        <v>#REF!</v>
      </c>
      <c r="C9" s="2900" t="s">
        <v>2994</v>
      </c>
      <c r="D9" s="2902"/>
      <c r="E9" s="2573" t="e">
        <f t="shared" ca="1" si="0"/>
        <v>#REF!</v>
      </c>
    </row>
    <row r="10" spans="1:5" ht="16">
      <c r="A10" s="2905"/>
      <c r="B10" s="2901" t="e">
        <f t="shared" ca="1" si="1"/>
        <v>#REF!</v>
      </c>
      <c r="C10" s="2900" t="s">
        <v>2994</v>
      </c>
      <c r="D10" s="2902"/>
      <c r="E10" s="2573" t="e">
        <f t="shared" ca="1" si="0"/>
        <v>#REF!</v>
      </c>
    </row>
    <row r="11" spans="1:5" ht="16">
      <c r="A11" s="2905"/>
      <c r="B11" s="2901" t="e">
        <f t="shared" ca="1" si="1"/>
        <v>#REF!</v>
      </c>
      <c r="C11" s="2900" t="s">
        <v>2994</v>
      </c>
      <c r="D11" s="2902"/>
      <c r="E11" s="2573" t="e">
        <f t="shared" ca="1" si="0"/>
        <v>#REF!</v>
      </c>
    </row>
    <row r="12" spans="1:5" ht="16">
      <c r="A12" s="2905"/>
      <c r="B12" s="2901" t="e">
        <f t="shared" ca="1" si="1"/>
        <v>#REF!</v>
      </c>
      <c r="C12" s="2900" t="s">
        <v>2994</v>
      </c>
      <c r="D12" s="2902"/>
      <c r="E12" s="2573" t="e">
        <f t="shared" ca="1" si="0"/>
        <v>#REF!</v>
      </c>
    </row>
    <row r="13" spans="1:5" ht="16">
      <c r="A13" s="2905"/>
      <c r="B13" s="2901" t="e">
        <f t="shared" ca="1" si="1"/>
        <v>#REF!</v>
      </c>
      <c r="C13" s="2900" t="s">
        <v>2994</v>
      </c>
      <c r="D13" s="2902"/>
      <c r="E13" s="2573" t="e">
        <f t="shared" ca="1" si="0"/>
        <v>#REF!</v>
      </c>
    </row>
  </sheetData>
  <sheetProtection password="C66D" sheet="1" objects="1" scenarios="1" formatCells="0"/>
  <phoneticPr fontId="14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2"/>
  <sheetViews>
    <sheetView zoomScale="80" zoomScaleNormal="80" workbookViewId="0">
      <selection sqref="A1:XFD1048576"/>
    </sheetView>
  </sheetViews>
  <sheetFormatPr baseColWidth="10" defaultColWidth="9" defaultRowHeight="13"/>
  <cols>
    <col min="1" max="1" width="9" style="1471"/>
    <col min="2" max="6" width="9" style="1471" customWidth="1"/>
    <col min="7" max="7" width="9" style="1486"/>
    <col min="8" max="8" width="9" style="1471"/>
    <col min="9" max="12" width="9" style="1471" customWidth="1"/>
    <col min="13" max="13" width="2.1640625" style="1471" customWidth="1"/>
    <col min="14" max="14" width="9" style="1486" customWidth="1"/>
    <col min="15" max="17" width="9" style="1471" customWidth="1"/>
    <col min="18" max="18" width="2.33203125" style="1471" customWidth="1"/>
    <col min="19" max="19" width="7.1640625" style="1486" customWidth="1"/>
    <col min="20" max="22" width="7.1640625" style="1471" customWidth="1"/>
    <col min="23" max="23" width="24.1640625" style="1471" customWidth="1"/>
    <col min="24" max="25" width="9" style="1471"/>
    <col min="26" max="27" width="11.6640625" style="1471" customWidth="1"/>
    <col min="28" max="28" width="9" style="1471"/>
    <col min="29" max="29" width="2" style="1471" customWidth="1"/>
    <col min="30" max="16384" width="9" style="1471"/>
  </cols>
  <sheetData>
    <row r="1" spans="1:34" s="1445" customFormat="1" ht="14">
      <c r="B1" s="3318" t="s">
        <v>1145</v>
      </c>
      <c r="C1" s="3318"/>
      <c r="D1" s="3318"/>
      <c r="E1" s="3318"/>
      <c r="F1" s="3318"/>
      <c r="G1" s="3317" t="s">
        <v>1146</v>
      </c>
      <c r="H1" s="3317"/>
      <c r="I1" s="3317"/>
      <c r="J1" s="3317"/>
      <c r="K1" s="3317"/>
      <c r="L1" s="3317"/>
      <c r="N1" s="3317" t="s">
        <v>1147</v>
      </c>
      <c r="O1" s="3317"/>
      <c r="P1" s="3317"/>
      <c r="Q1" s="3317"/>
      <c r="R1" s="1446"/>
      <c r="S1" s="3317" t="s">
        <v>1148</v>
      </c>
      <c r="T1" s="3317"/>
      <c r="U1" s="3317"/>
      <c r="V1" s="3317"/>
      <c r="X1" s="3316" t="s">
        <v>1149</v>
      </c>
      <c r="Y1" s="3317"/>
      <c r="Z1" s="3317"/>
      <c r="AA1" s="3317"/>
      <c r="AB1" s="3317"/>
      <c r="AD1" s="3316" t="s">
        <v>1150</v>
      </c>
      <c r="AE1" s="3317"/>
      <c r="AF1" s="3317"/>
      <c r="AG1" s="3317"/>
      <c r="AH1" s="3317"/>
    </row>
    <row r="2" spans="1:34" s="1447" customFormat="1" ht="1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6" customFormat="1" ht="14">
      <c r="A3" s="2925" t="s">
        <v>3036</v>
      </c>
      <c r="B3" s="2917"/>
      <c r="C3" s="2917"/>
      <c r="D3" s="2918"/>
      <c r="E3" s="2918"/>
      <c r="F3" s="2917"/>
      <c r="G3" s="2919"/>
      <c r="H3" s="2920"/>
      <c r="I3" s="2921">
        <f>ROUND(AVERAGE($I4:$I29),2)</f>
        <v>1.9</v>
      </c>
      <c r="J3" s="2921">
        <f>ROUND(AVERAGE($J4:$J29),2)</f>
        <v>1.35</v>
      </c>
      <c r="K3" s="2921">
        <f>ROUND(AVERAGE($K4:$K29),2)</f>
        <v>2.08</v>
      </c>
      <c r="L3" s="2921">
        <f>ROUND(AVERAGE($L4:$L29),2)</f>
        <v>1.33</v>
      </c>
      <c r="N3" s="2919"/>
      <c r="O3" s="2922"/>
      <c r="P3" s="2922"/>
      <c r="Q3" s="2922"/>
      <c r="R3" s="2922"/>
      <c r="S3" s="2919"/>
      <c r="T3" s="2922"/>
      <c r="U3" s="2922"/>
      <c r="V3" s="2922"/>
      <c r="W3" s="2914"/>
      <c r="X3" s="2923">
        <f>ROUND(SUMPRODUCT(PRODUCT(1+N3:N$28)),4)</f>
        <v>1.5516000000000001</v>
      </c>
      <c r="Y3" s="2923">
        <f>ROUND(SUMPRODUCT(PRODUCT(1+O3:O$28)),4)</f>
        <v>1.3649</v>
      </c>
      <c r="Z3" s="2923">
        <f t="shared" ref="Z3:Z26" si="0">Y3</f>
        <v>1.3649</v>
      </c>
      <c r="AA3" s="2923">
        <f>ROUND(SUMPRODUCT(PRODUCT(1+P3:P$28)),4)</f>
        <v>1.6133999999999999</v>
      </c>
      <c r="AB3" s="2923">
        <f>ROUND(SUMPRODUCT(PRODUCT(1+Q3:Q$28)),4)</f>
        <v>1.3713</v>
      </c>
      <c r="AD3" s="2924">
        <f>ROUND(AVERAGE(I3:I$29)/100,4)</f>
        <v>1.9E-2</v>
      </c>
      <c r="AE3" s="2924">
        <f>ROUND(AVERAGE(J3:J$29)/100,4)</f>
        <v>1.35E-2</v>
      </c>
      <c r="AF3" s="2924">
        <f t="shared" ref="AF3:AF27" si="1">AE3</f>
        <v>1.35E-2</v>
      </c>
      <c r="AG3" s="2924">
        <f>ROUND(AVERAGE(K3:K$29)/100,4)</f>
        <v>2.0799999999999999E-2</v>
      </c>
      <c r="AH3" s="2924">
        <f>ROUND(AVERAGE(L3:L$29)/100,4)</f>
        <v>1.3299999999999999E-2</v>
      </c>
    </row>
    <row r="4" spans="1:34" s="1453" customFormat="1" ht="14">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ht="14">
      <c r="A5" s="1729" t="s">
        <v>3055</v>
      </c>
      <c r="B5" s="1791">
        <f t="shared" ref="B5:B13" si="2">B6*(1+N5)</f>
        <v>477.19997390765138</v>
      </c>
      <c r="C5" s="1791">
        <f t="shared" ref="C5:C13" si="3">C6*(1+O5)</f>
        <v>351.84874729536665</v>
      </c>
      <c r="D5" s="1791">
        <f t="shared" ref="D5:D18" si="4">C5</f>
        <v>351.84874729536665</v>
      </c>
      <c r="E5" s="1791">
        <f t="shared" ref="E5:E13" si="5">E6*(1+P5)</f>
        <v>682.29768951465201</v>
      </c>
      <c r="F5" s="1791">
        <f t="shared" ref="F5:F13" si="6">F6*(1+Q5)</f>
        <v>315.26985675409043</v>
      </c>
      <c r="G5" s="2950">
        <v>2020</v>
      </c>
      <c r="H5" s="1730">
        <v>1</v>
      </c>
      <c r="I5" s="2912">
        <v>0</v>
      </c>
      <c r="J5" s="2912">
        <v>0</v>
      </c>
      <c r="K5" s="2912">
        <v>0</v>
      </c>
      <c r="L5" s="2912">
        <v>0</v>
      </c>
      <c r="N5" s="1467">
        <f>I5/100</f>
        <v>0</v>
      </c>
      <c r="O5" s="1467">
        <f>J5/100</f>
        <v>0</v>
      </c>
      <c r="P5" s="1467">
        <f>K5/100</f>
        <v>0</v>
      </c>
      <c r="Q5" s="1467">
        <f>L5/100</f>
        <v>0</v>
      </c>
      <c r="R5" s="1732"/>
      <c r="S5" s="1733"/>
      <c r="T5" s="1732"/>
      <c r="U5" s="1732"/>
      <c r="V5" s="1732"/>
      <c r="W5" s="2915" t="s">
        <v>3037</v>
      </c>
      <c r="X5" s="1726">
        <f>ROUND(IF(项目基本情况!B8="出让",SUMPRODUCT(PRODUCT(1+N5:N$29)),SUMPRODUCT(PRODUCT(1+N5:N$28))),4)</f>
        <v>1.5516000000000001</v>
      </c>
      <c r="Y5" s="1726">
        <f>ROUND(IF(项目基本情况!B8="出让",SUMPRODUCT(PRODUCT(1+O5:O$29)),SUMPRODUCT(PRODUCT(1+O5:O$28))),4)</f>
        <v>1.3649</v>
      </c>
      <c r="Z5" s="1726">
        <f t="shared" ref="Z5:Z13" si="7">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AF13" si="8">AE5</f>
        <v>1.35E-2</v>
      </c>
      <c r="AG5" s="1468">
        <f>ROUND(AVERAGE(K5:K$29)/100,4)</f>
        <v>2.0799999999999999E-2</v>
      </c>
      <c r="AH5" s="1468">
        <f>ROUND(AVERAGE(L5:L$29)/100,4)</f>
        <v>1.3299999999999999E-2</v>
      </c>
    </row>
    <row r="6" spans="1:34" s="1466" customFormat="1" ht="14">
      <c r="A6" s="1461" t="s">
        <v>3054</v>
      </c>
      <c r="B6" s="1477">
        <f t="shared" si="2"/>
        <v>477.19997390765138</v>
      </c>
      <c r="C6" s="1477">
        <f t="shared" si="3"/>
        <v>351.84874729536665</v>
      </c>
      <c r="D6" s="1477">
        <f t="shared" si="4"/>
        <v>351.84874729536665</v>
      </c>
      <c r="E6" s="1477">
        <f t="shared" si="5"/>
        <v>682.29768951465201</v>
      </c>
      <c r="F6" s="1477">
        <f t="shared" si="6"/>
        <v>315.26985675409043</v>
      </c>
      <c r="G6" s="2950">
        <v>2019</v>
      </c>
      <c r="H6" s="1464">
        <v>4</v>
      </c>
      <c r="I6" s="1464">
        <v>0</v>
      </c>
      <c r="J6" s="1464">
        <v>0</v>
      </c>
      <c r="K6" s="1464">
        <v>0</v>
      </c>
      <c r="L6" s="1478">
        <v>0</v>
      </c>
      <c r="M6" s="1471"/>
      <c r="N6" s="1472">
        <f t="shared" ref="N6:N11" si="9">I6/100</f>
        <v>0</v>
      </c>
      <c r="O6" s="1473">
        <f t="shared" ref="O6:O16" si="10">J6/100</f>
        <v>0</v>
      </c>
      <c r="P6" s="1473">
        <f t="shared" ref="P6:P16" si="11">K6/100</f>
        <v>0</v>
      </c>
      <c r="Q6" s="1473">
        <f t="shared" ref="Q6:Q16" si="12">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si="7"/>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si="8"/>
        <v>1.41E-2</v>
      </c>
      <c r="AG6" s="1789">
        <f>ROUND(AVERAGE(K6:K$29)/100,4)</f>
        <v>2.1600000000000001E-2</v>
      </c>
      <c r="AH6" s="1789">
        <f>ROUND(AVERAGE(L6:L$29)/100,4)</f>
        <v>1.38E-2</v>
      </c>
    </row>
    <row r="7" spans="1:34" s="1466" customFormat="1" ht="15" thickBot="1">
      <c r="A7" s="1461" t="s">
        <v>3050</v>
      </c>
      <c r="B7" s="1477">
        <f t="shared" si="2"/>
        <v>477.19997390765138</v>
      </c>
      <c r="C7" s="1477">
        <f t="shared" si="3"/>
        <v>351.84874729536665</v>
      </c>
      <c r="D7" s="1477">
        <f t="shared" si="4"/>
        <v>351.84874729536665</v>
      </c>
      <c r="E7" s="1477">
        <f t="shared" si="5"/>
        <v>682.29768951465201</v>
      </c>
      <c r="F7" s="1477">
        <f t="shared" si="6"/>
        <v>315.26985675409043</v>
      </c>
      <c r="G7" s="2949">
        <v>2019</v>
      </c>
      <c r="H7" s="1464">
        <v>3</v>
      </c>
      <c r="I7" s="1464">
        <v>0.61</v>
      </c>
      <c r="J7" s="1464">
        <v>0.67</v>
      </c>
      <c r="K7" s="1464">
        <v>0.6</v>
      </c>
      <c r="L7" s="1478">
        <v>1.03</v>
      </c>
      <c r="M7" s="1471"/>
      <c r="N7" s="1472">
        <f t="shared" si="9"/>
        <v>6.0999999999999995E-3</v>
      </c>
      <c r="O7" s="1473">
        <f t="shared" si="10"/>
        <v>6.7000000000000002E-3</v>
      </c>
      <c r="P7" s="1473">
        <f t="shared" si="11"/>
        <v>6.0000000000000001E-3</v>
      </c>
      <c r="Q7" s="1473">
        <f t="shared" si="12"/>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si="7"/>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si="8"/>
        <v>1.47E-2</v>
      </c>
      <c r="AG7" s="1789">
        <f>ROUND(AVERAGE(K7:K$29)/100,4)</f>
        <v>2.2599999999999999E-2</v>
      </c>
      <c r="AH7" s="1789">
        <f>ROUND(AVERAGE(L7:L$29)/100,4)</f>
        <v>1.44E-2</v>
      </c>
    </row>
    <row r="8" spans="1:34" s="1466" customFormat="1" ht="14">
      <c r="A8" s="1461" t="s">
        <v>3048</v>
      </c>
      <c r="B8" s="1477">
        <f t="shared" si="2"/>
        <v>474.30670301923408</v>
      </c>
      <c r="C8" s="1477">
        <f t="shared" si="3"/>
        <v>349.50705005996491</v>
      </c>
      <c r="D8" s="1477">
        <f t="shared" si="4"/>
        <v>349.50705005996491</v>
      </c>
      <c r="E8" s="1477">
        <f t="shared" si="5"/>
        <v>678.22831959706957</v>
      </c>
      <c r="F8" s="1477">
        <f t="shared" si="6"/>
        <v>312.0556832169558</v>
      </c>
      <c r="G8" s="2945">
        <v>2019</v>
      </c>
      <c r="H8" s="1462">
        <v>2</v>
      </c>
      <c r="I8" s="1462">
        <v>1.53</v>
      </c>
      <c r="J8" s="1462">
        <v>1.01</v>
      </c>
      <c r="K8" s="1462">
        <v>1.62</v>
      </c>
      <c r="L8" s="1463">
        <v>1.25</v>
      </c>
      <c r="M8" s="1471"/>
      <c r="N8" s="1472">
        <f t="shared" si="9"/>
        <v>1.5300000000000001E-2</v>
      </c>
      <c r="O8" s="1473">
        <f t="shared" si="10"/>
        <v>1.01E-2</v>
      </c>
      <c r="P8" s="1473">
        <f t="shared" si="11"/>
        <v>1.6200000000000003E-2</v>
      </c>
      <c r="Q8" s="1473">
        <f t="shared" si="12"/>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si="7"/>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si="8"/>
        <v>1.4999999999999999E-2</v>
      </c>
      <c r="AG8" s="1789">
        <f>ROUND(AVERAGE(K8:K$29)/100,4)</f>
        <v>2.3300000000000001E-2</v>
      </c>
      <c r="AH8" s="1789">
        <f>ROUND(AVERAGE(L8:L$29)/100,4)</f>
        <v>1.46E-2</v>
      </c>
    </row>
    <row r="9" spans="1:34" s="1466" customFormat="1" ht="15" thickBot="1">
      <c r="A9" s="1461" t="s">
        <v>3046</v>
      </c>
      <c r="B9" s="1477">
        <f t="shared" si="2"/>
        <v>467.15916775261894</v>
      </c>
      <c r="C9" s="1477">
        <f t="shared" si="3"/>
        <v>346.01232557169084</v>
      </c>
      <c r="D9" s="1477">
        <f t="shared" si="4"/>
        <v>346.01232557169084</v>
      </c>
      <c r="E9" s="1477">
        <f t="shared" si="5"/>
        <v>667.41617752122568</v>
      </c>
      <c r="F9" s="1477">
        <f t="shared" si="6"/>
        <v>308.20314391798104</v>
      </c>
      <c r="G9" s="2929">
        <v>2019</v>
      </c>
      <c r="H9" s="1464">
        <v>1</v>
      </c>
      <c r="I9" s="1464">
        <v>0.6</v>
      </c>
      <c r="J9" s="1464">
        <v>0.37</v>
      </c>
      <c r="K9" s="1464">
        <v>0.63</v>
      </c>
      <c r="L9" s="1478">
        <v>1.1299999999999999</v>
      </c>
      <c r="M9" s="1471"/>
      <c r="N9" s="1472">
        <f t="shared" si="9"/>
        <v>6.0000000000000001E-3</v>
      </c>
      <c r="O9" s="1473">
        <f t="shared" si="10"/>
        <v>3.7000000000000002E-3</v>
      </c>
      <c r="P9" s="1473">
        <f t="shared" si="11"/>
        <v>6.3E-3</v>
      </c>
      <c r="Q9" s="1473">
        <f t="shared" si="12"/>
        <v>1.1299999999999999E-2</v>
      </c>
      <c r="R9" s="1474"/>
      <c r="S9" s="1472">
        <f>B9/B10-1</f>
        <v>6.0000000000000053E-3</v>
      </c>
      <c r="T9" s="1473">
        <f>C9/C10-1</f>
        <v>3.7000000000000366E-3</v>
      </c>
      <c r="U9" s="1473">
        <f>D9/D10-1</f>
        <v>3.7000000000000366E-3</v>
      </c>
      <c r="V9" s="1473">
        <f>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si="7"/>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si="8"/>
        <v>1.5299999999999999E-2</v>
      </c>
      <c r="AG9" s="1789">
        <f>ROUND(AVERAGE(K9:K$29)/100,4)</f>
        <v>2.3699999999999999E-2</v>
      </c>
      <c r="AH9" s="1789">
        <f>ROUND(AVERAGE(L9:L$29)/100,4)</f>
        <v>1.47E-2</v>
      </c>
    </row>
    <row r="10" spans="1:34" s="1466" customFormat="1" ht="14">
      <c r="A10" s="1461" t="s">
        <v>3049</v>
      </c>
      <c r="B10" s="2946">
        <f t="shared" si="2"/>
        <v>464.37293017158942</v>
      </c>
      <c r="C10" s="2946">
        <f t="shared" si="3"/>
        <v>344.73679941385956</v>
      </c>
      <c r="D10" s="2946">
        <f t="shared" si="4"/>
        <v>344.73679941385956</v>
      </c>
      <c r="E10" s="2946">
        <f t="shared" si="5"/>
        <v>663.2377795103107</v>
      </c>
      <c r="F10" s="2947">
        <f t="shared" si="6"/>
        <v>304.75936311478398</v>
      </c>
      <c r="G10" s="3314">
        <v>2018</v>
      </c>
      <c r="H10" s="1462">
        <v>4</v>
      </c>
      <c r="I10" s="1462">
        <v>0.96</v>
      </c>
      <c r="J10" s="1462">
        <v>1.03</v>
      </c>
      <c r="K10" s="1462">
        <v>0.92</v>
      </c>
      <c r="L10" s="1463">
        <v>1.29</v>
      </c>
      <c r="M10" s="1471"/>
      <c r="N10" s="1472">
        <f t="shared" si="9"/>
        <v>9.5999999999999992E-3</v>
      </c>
      <c r="O10" s="1473">
        <f t="shared" si="10"/>
        <v>1.03E-2</v>
      </c>
      <c r="P10" s="1473">
        <f t="shared" si="11"/>
        <v>9.1999999999999998E-3</v>
      </c>
      <c r="Q10" s="1473">
        <f t="shared" si="12"/>
        <v>1.29E-2</v>
      </c>
      <c r="R10" s="1474"/>
      <c r="S10" s="1472"/>
      <c r="T10" s="1473"/>
      <c r="U10" s="1473"/>
      <c r="V10" s="1473"/>
      <c r="W10" s="1790"/>
      <c r="X10" s="1788">
        <f>ROUND(SUMPRODUCT(PRODUCT(1+N10:N$28)),4)</f>
        <v>1.5099</v>
      </c>
      <c r="Y10" s="1788">
        <f>ROUND(SUMPRODUCT(PRODUCT(1+O10:O$28)),4)</f>
        <v>1.3372999999999999</v>
      </c>
      <c r="Z10" s="1788">
        <f t="shared" si="7"/>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si="8"/>
        <v>1.5800000000000002E-2</v>
      </c>
      <c r="AG10" s="1789">
        <f>ROUND(AVERAGE(K10:K$29)/100,4)</f>
        <v>2.4500000000000001E-2</v>
      </c>
      <c r="AH10" s="1789">
        <f>ROUND(AVERAGE(L10:L$29)/100,4)</f>
        <v>1.49E-2</v>
      </c>
    </row>
    <row r="11" spans="1:34" s="1466" customFormat="1" ht="14.5" customHeight="1">
      <c r="A11" s="1461" t="s">
        <v>3043</v>
      </c>
      <c r="B11" s="1477">
        <f t="shared" si="2"/>
        <v>459.95733971036987</v>
      </c>
      <c r="C11" s="1477">
        <f t="shared" si="3"/>
        <v>341.22221064422405</v>
      </c>
      <c r="D11" s="1477">
        <f t="shared" si="4"/>
        <v>341.22221064422405</v>
      </c>
      <c r="E11" s="1477">
        <f t="shared" si="5"/>
        <v>657.19161663724799</v>
      </c>
      <c r="F11" s="1477">
        <f t="shared" si="6"/>
        <v>300.87803644464805</v>
      </c>
      <c r="G11" s="3314"/>
      <c r="H11" s="1464">
        <v>3</v>
      </c>
      <c r="I11" s="1464">
        <v>1.51</v>
      </c>
      <c r="J11" s="1464">
        <v>1.41</v>
      </c>
      <c r="K11" s="1464">
        <v>1.52</v>
      </c>
      <c r="L11" s="1478">
        <v>1.74</v>
      </c>
      <c r="M11" s="1471"/>
      <c r="N11" s="1472">
        <f t="shared" si="9"/>
        <v>1.5100000000000001E-2</v>
      </c>
      <c r="O11" s="1473">
        <f t="shared" si="10"/>
        <v>1.41E-2</v>
      </c>
      <c r="P11" s="1473">
        <f t="shared" si="11"/>
        <v>1.52E-2</v>
      </c>
      <c r="Q11" s="1473">
        <f t="shared" si="12"/>
        <v>1.7399999999999999E-2</v>
      </c>
      <c r="R11" s="1474"/>
      <c r="S11" s="1472"/>
      <c r="T11" s="1473"/>
      <c r="U11" s="1473"/>
      <c r="V11" s="1473"/>
      <c r="W11" s="1790"/>
      <c r="X11" s="1788">
        <f>ROUND(SUMPRODUCT(PRODUCT(1+N11:N$28)),4)</f>
        <v>1.4956</v>
      </c>
      <c r="Y11" s="1788">
        <f>ROUND(SUMPRODUCT(PRODUCT(1+O11:O$28)),4)</f>
        <v>1.3237000000000001</v>
      </c>
      <c r="Z11" s="1788">
        <f t="shared" si="7"/>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si="8"/>
        <v>1.61E-2</v>
      </c>
      <c r="AG11" s="1789">
        <f>ROUND(AVERAGE(K11:K$29)/100,4)</f>
        <v>2.53E-2</v>
      </c>
      <c r="AH11" s="1789">
        <f>ROUND(AVERAGE(L11:L$29)/100,4)</f>
        <v>1.4999999999999999E-2</v>
      </c>
    </row>
    <row r="12" spans="1:34" s="1466" customFormat="1" ht="14.5" customHeight="1">
      <c r="A12" s="1461" t="s">
        <v>3042</v>
      </c>
      <c r="B12" s="1477">
        <f t="shared" si="2"/>
        <v>453.11529869999993</v>
      </c>
      <c r="C12" s="1477">
        <f t="shared" si="3"/>
        <v>336.47787264000004</v>
      </c>
      <c r="D12" s="1477">
        <f t="shared" si="4"/>
        <v>336.47787264000004</v>
      </c>
      <c r="E12" s="1477">
        <f t="shared" si="5"/>
        <v>647.35186823999993</v>
      </c>
      <c r="F12" s="1477">
        <f t="shared" si="6"/>
        <v>295.73229452000004</v>
      </c>
      <c r="G12" s="3314"/>
      <c r="H12" s="1465">
        <v>2</v>
      </c>
      <c r="I12" s="1465">
        <v>1.49</v>
      </c>
      <c r="J12" s="1465">
        <v>0.96</v>
      </c>
      <c r="K12" s="1465">
        <v>1.58</v>
      </c>
      <c r="L12" s="1479">
        <v>2.44</v>
      </c>
      <c r="M12" s="1471"/>
      <c r="N12" s="1472">
        <f>I12/100</f>
        <v>1.49E-2</v>
      </c>
      <c r="O12" s="1473">
        <f t="shared" si="10"/>
        <v>9.5999999999999992E-3</v>
      </c>
      <c r="P12" s="1473">
        <f t="shared" si="11"/>
        <v>1.5800000000000002E-2</v>
      </c>
      <c r="Q12" s="1473">
        <f t="shared" si="12"/>
        <v>2.4399999999999998E-2</v>
      </c>
      <c r="R12" s="1474"/>
      <c r="S12" s="1472"/>
      <c r="T12" s="1473"/>
      <c r="U12" s="1473"/>
      <c r="V12" s="1473"/>
      <c r="W12" s="1790"/>
      <c r="X12" s="1788">
        <f>ROUND(SUMPRODUCT(PRODUCT(1+N12:N$28)),4)</f>
        <v>1.4733000000000001</v>
      </c>
      <c r="Y12" s="1788">
        <f>ROUND(SUMPRODUCT(PRODUCT(1+O12:O$28)),4)</f>
        <v>1.3052999999999999</v>
      </c>
      <c r="Z12" s="1788">
        <f t="shared" si="7"/>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si="8"/>
        <v>1.6199999999999999E-2</v>
      </c>
      <c r="AG12" s="1789">
        <f>ROUND(AVERAGE(K12:K$29)/100,4)</f>
        <v>2.5899999999999999E-2</v>
      </c>
      <c r="AH12" s="1789">
        <f>ROUND(AVERAGE(L12:L$29)/100,4)</f>
        <v>1.49E-2</v>
      </c>
    </row>
    <row r="13" spans="1:34" s="1466" customFormat="1" ht="15" customHeight="1" thickBot="1">
      <c r="A13" s="1461" t="s">
        <v>3035</v>
      </c>
      <c r="B13" s="1477">
        <f t="shared" si="2"/>
        <v>446.46299999999997</v>
      </c>
      <c r="C13" s="1477">
        <f t="shared" si="3"/>
        <v>333.27840000000003</v>
      </c>
      <c r="D13" s="1477">
        <f t="shared" si="4"/>
        <v>333.27840000000003</v>
      </c>
      <c r="E13" s="1477">
        <f t="shared" si="5"/>
        <v>637.28279999999995</v>
      </c>
      <c r="F13" s="1477">
        <f t="shared" si="6"/>
        <v>288.68830000000003</v>
      </c>
      <c r="G13" s="3323"/>
      <c r="H13" s="1464">
        <v>1</v>
      </c>
      <c r="I13" s="1464">
        <v>1.7</v>
      </c>
      <c r="J13" s="1464">
        <v>1.92</v>
      </c>
      <c r="K13" s="1464">
        <v>1.64</v>
      </c>
      <c r="L13" s="1478">
        <v>2.0099999999999998</v>
      </c>
      <c r="M13" s="1471"/>
      <c r="N13" s="1472">
        <f t="shared" ref="N13:N18" si="13">I13/100</f>
        <v>1.7000000000000001E-2</v>
      </c>
      <c r="O13" s="1473">
        <f t="shared" si="10"/>
        <v>1.9199999999999998E-2</v>
      </c>
      <c r="P13" s="1473">
        <f t="shared" si="11"/>
        <v>1.6399999999999998E-2</v>
      </c>
      <c r="Q13" s="1473">
        <f t="shared" si="12"/>
        <v>2.0099999999999996E-2</v>
      </c>
      <c r="R13" s="1474"/>
      <c r="S13" s="1472">
        <f>B13/B14-1</f>
        <v>1.6999999999999904E-2</v>
      </c>
      <c r="T13" s="1473">
        <f>C13/C14-1</f>
        <v>1.9200000000000106E-2</v>
      </c>
      <c r="U13" s="1473">
        <f>D13/D14-1</f>
        <v>1.9200000000000106E-2</v>
      </c>
      <c r="V13" s="1473">
        <f>E13/E14-1</f>
        <v>1.639999999999997E-2</v>
      </c>
      <c r="W13" s="1790"/>
      <c r="X13" s="1788">
        <f>ROUND(SUMPRODUCT(PRODUCT(1+N13:N$28)),4)</f>
        <v>1.4517</v>
      </c>
      <c r="Y13" s="1788">
        <f>ROUND(SUMPRODUCT(PRODUCT(1+O13:O$28)),4)</f>
        <v>1.2928999999999999</v>
      </c>
      <c r="Z13" s="1788">
        <f t="shared" si="7"/>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si="8"/>
        <v>1.66E-2</v>
      </c>
      <c r="AG13" s="1789">
        <f>ROUND(AVERAGE(K13:K$29)/100,4)</f>
        <v>2.6499999999999999E-2</v>
      </c>
      <c r="AH13" s="1789">
        <f>ROUND(AVERAGE(L13:L$29)/100,4)</f>
        <v>1.43E-2</v>
      </c>
    </row>
    <row r="14" spans="1:34" ht="14">
      <c r="A14" s="1461" t="s">
        <v>3032</v>
      </c>
      <c r="B14" s="1469">
        <v>439</v>
      </c>
      <c r="C14" s="1469">
        <v>327</v>
      </c>
      <c r="D14" s="1469">
        <f t="shared" si="4"/>
        <v>327</v>
      </c>
      <c r="E14" s="1469">
        <v>627</v>
      </c>
      <c r="F14" s="1470">
        <v>283</v>
      </c>
      <c r="G14" s="3319">
        <v>2017</v>
      </c>
      <c r="H14" s="1462">
        <v>4</v>
      </c>
      <c r="I14" s="1462">
        <v>1.71</v>
      </c>
      <c r="J14" s="1462">
        <v>1.78</v>
      </c>
      <c r="K14" s="1462">
        <v>1.71</v>
      </c>
      <c r="L14" s="1463">
        <v>1.43</v>
      </c>
      <c r="N14" s="1472">
        <f t="shared" si="13"/>
        <v>1.7100000000000001E-2</v>
      </c>
      <c r="O14" s="1473">
        <f t="shared" si="10"/>
        <v>1.78E-2</v>
      </c>
      <c r="P14" s="1473">
        <f t="shared" si="11"/>
        <v>1.7100000000000001E-2</v>
      </c>
      <c r="Q14" s="1473">
        <f t="shared" si="12"/>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5" customHeight="1">
      <c r="A15" s="1461" t="s">
        <v>3033</v>
      </c>
      <c r="B15" s="1477">
        <f t="shared" ref="B15:C17" si="14">B16*(1+N15)</f>
        <v>431.80730811680002</v>
      </c>
      <c r="C15" s="1477">
        <f t="shared" si="14"/>
        <v>320.57880516480003</v>
      </c>
      <c r="D15" s="1477">
        <f t="shared" si="4"/>
        <v>320.57880516480003</v>
      </c>
      <c r="E15" s="1477">
        <f t="shared" ref="E15:F17" si="15">E16*(1+P15)</f>
        <v>615.96110553196797</v>
      </c>
      <c r="F15" s="1477">
        <f t="shared" si="15"/>
        <v>279.46777300108801</v>
      </c>
      <c r="G15" s="3314"/>
      <c r="H15" s="1464">
        <v>3</v>
      </c>
      <c r="I15" s="1464">
        <v>2.98</v>
      </c>
      <c r="J15" s="1464">
        <v>2.11</v>
      </c>
      <c r="K15" s="1464">
        <v>3.24</v>
      </c>
      <c r="L15" s="1478">
        <v>1.72</v>
      </c>
      <c r="M15" s="1471"/>
      <c r="N15" s="1472">
        <f t="shared" si="13"/>
        <v>2.98E-2</v>
      </c>
      <c r="O15" s="1473">
        <f t="shared" si="10"/>
        <v>2.1099999999999997E-2</v>
      </c>
      <c r="P15" s="1473">
        <f t="shared" si="11"/>
        <v>3.2400000000000005E-2</v>
      </c>
      <c r="Q15" s="1473">
        <f t="shared" si="12"/>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5" customHeight="1">
      <c r="A16" s="1461" t="s">
        <v>1380</v>
      </c>
      <c r="B16" s="1477">
        <f t="shared" si="14"/>
        <v>419.31181600000002</v>
      </c>
      <c r="C16" s="1477">
        <f t="shared" si="14"/>
        <v>313.95436800000004</v>
      </c>
      <c r="D16" s="1477">
        <f t="shared" si="4"/>
        <v>313.95436800000004</v>
      </c>
      <c r="E16" s="1477">
        <f t="shared" si="15"/>
        <v>596.63028431999999</v>
      </c>
      <c r="F16" s="1477">
        <f t="shared" si="15"/>
        <v>274.74220703999998</v>
      </c>
      <c r="G16" s="3314"/>
      <c r="H16" s="1465">
        <v>2</v>
      </c>
      <c r="I16" s="1465">
        <v>3.4</v>
      </c>
      <c r="J16" s="1465">
        <v>2</v>
      </c>
      <c r="K16" s="1465">
        <v>3.82</v>
      </c>
      <c r="L16" s="1479">
        <v>1.68</v>
      </c>
      <c r="M16" s="1471"/>
      <c r="N16" s="1472">
        <f t="shared" si="13"/>
        <v>3.4000000000000002E-2</v>
      </c>
      <c r="O16" s="1473">
        <f t="shared" si="10"/>
        <v>0.02</v>
      </c>
      <c r="P16" s="1473">
        <f t="shared" si="11"/>
        <v>3.8199999999999998E-2</v>
      </c>
      <c r="Q16" s="1473">
        <f t="shared" si="12"/>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 t="shared" si="14"/>
        <v>405.524</v>
      </c>
      <c r="C17" s="1477">
        <f t="shared" si="14"/>
        <v>307.79840000000002</v>
      </c>
      <c r="D17" s="1477">
        <f t="shared" si="4"/>
        <v>307.79840000000002</v>
      </c>
      <c r="E17" s="1477">
        <f t="shared" si="15"/>
        <v>574.67759999999998</v>
      </c>
      <c r="F17" s="1477">
        <f t="shared" si="15"/>
        <v>270.20280000000002</v>
      </c>
      <c r="G17" s="3323"/>
      <c r="H17" s="1464">
        <v>1</v>
      </c>
      <c r="I17" s="1464">
        <v>3.45</v>
      </c>
      <c r="J17" s="1464">
        <v>1.92</v>
      </c>
      <c r="K17" s="1464">
        <v>3.92</v>
      </c>
      <c r="L17" s="1478">
        <v>1.58</v>
      </c>
      <c r="M17" s="1471"/>
      <c r="N17" s="1472">
        <f t="shared" si="13"/>
        <v>3.4500000000000003E-2</v>
      </c>
      <c r="O17" s="1473">
        <f t="shared" ref="O17:Q32" si="16">J17/100</f>
        <v>1.9199999999999998E-2</v>
      </c>
      <c r="P17" s="1473">
        <f t="shared" si="16"/>
        <v>3.9199999999999999E-2</v>
      </c>
      <c r="Q17" s="1473">
        <f t="shared" si="16"/>
        <v>1.5800000000000002E-2</v>
      </c>
      <c r="R17" s="1474"/>
      <c r="S17" s="1472">
        <f>B17/B18-1</f>
        <v>3.4499999999999975E-2</v>
      </c>
      <c r="T17" s="1473">
        <f>C17/C18-1</f>
        <v>1.9200000000000106E-2</v>
      </c>
      <c r="U17" s="1473">
        <f>D17/D18-1</f>
        <v>1.9200000000000106E-2</v>
      </c>
      <c r="V17" s="1473">
        <f>E17/E18-1</f>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ht="14">
      <c r="A18" s="1461" t="s">
        <v>154</v>
      </c>
      <c r="B18" s="1469">
        <v>392</v>
      </c>
      <c r="C18" s="1469">
        <v>302</v>
      </c>
      <c r="D18" s="1469">
        <f t="shared" si="4"/>
        <v>302</v>
      </c>
      <c r="E18" s="1469">
        <v>553</v>
      </c>
      <c r="F18" s="1470">
        <v>266</v>
      </c>
      <c r="G18" s="3319">
        <v>2016</v>
      </c>
      <c r="H18" s="1462">
        <v>4</v>
      </c>
      <c r="I18" s="1462">
        <v>4.5599999999999996</v>
      </c>
      <c r="J18" s="1462">
        <v>2.15</v>
      </c>
      <c r="K18" s="1462">
        <v>5.32</v>
      </c>
      <c r="L18" s="1463">
        <v>1.57</v>
      </c>
      <c r="N18" s="1472">
        <f t="shared" si="13"/>
        <v>4.5599999999999995E-2</v>
      </c>
      <c r="O18" s="1473">
        <f t="shared" si="16"/>
        <v>2.1499999999999998E-2</v>
      </c>
      <c r="P18" s="1473">
        <f t="shared" si="16"/>
        <v>5.3200000000000004E-2</v>
      </c>
      <c r="Q18" s="1473">
        <f t="shared" si="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ht="14">
      <c r="A19" s="1461" t="s">
        <v>153</v>
      </c>
      <c r="B19" s="1477">
        <f t="shared" ref="B19:C21" si="17">B18/(1+N18)</f>
        <v>374.90436113236416</v>
      </c>
      <c r="C19" s="1477">
        <f t="shared" si="17"/>
        <v>295.64366128242779</v>
      </c>
      <c r="D19" s="1477">
        <f t="shared" ref="D19:D78" si="18">C19</f>
        <v>295.64366128242779</v>
      </c>
      <c r="E19" s="1477">
        <f t="shared" ref="E19:F21" si="19">E18/(1+P18)</f>
        <v>525.06646410938095</v>
      </c>
      <c r="F19" s="1477">
        <f t="shared" si="19"/>
        <v>261.88835286009646</v>
      </c>
      <c r="G19" s="3314"/>
      <c r="H19" s="1464">
        <v>3</v>
      </c>
      <c r="I19" s="1464">
        <v>4.12</v>
      </c>
      <c r="J19" s="1464">
        <v>2</v>
      </c>
      <c r="K19" s="1464">
        <v>4.79</v>
      </c>
      <c r="L19" s="1478">
        <v>1.97</v>
      </c>
      <c r="N19" s="1472">
        <f t="shared" ref="N19:Q53" si="20">I19/100</f>
        <v>4.1200000000000001E-2</v>
      </c>
      <c r="O19" s="1473">
        <f t="shared" si="16"/>
        <v>0.02</v>
      </c>
      <c r="P19" s="1473">
        <f t="shared" si="16"/>
        <v>4.7899999999999998E-2</v>
      </c>
      <c r="Q19" s="1473">
        <f t="shared" si="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ht="14">
      <c r="A20" s="1461" t="s">
        <v>143</v>
      </c>
      <c r="B20" s="1477">
        <f t="shared" si="17"/>
        <v>360.06949782209392</v>
      </c>
      <c r="C20" s="1477">
        <f t="shared" si="17"/>
        <v>289.84672674747821</v>
      </c>
      <c r="D20" s="1477">
        <f t="shared" si="18"/>
        <v>289.84672674747821</v>
      </c>
      <c r="E20" s="1477">
        <f t="shared" si="19"/>
        <v>501.06543001181495</v>
      </c>
      <c r="F20" s="1477">
        <f t="shared" si="19"/>
        <v>256.82882500744967</v>
      </c>
      <c r="G20" s="3314"/>
      <c r="H20" s="1465">
        <v>2</v>
      </c>
      <c r="I20" s="1465">
        <v>3.85</v>
      </c>
      <c r="J20" s="1465">
        <v>1.95</v>
      </c>
      <c r="K20" s="1465">
        <v>4.4800000000000004</v>
      </c>
      <c r="L20" s="1479">
        <v>1.41</v>
      </c>
      <c r="N20" s="1472">
        <f t="shared" si="20"/>
        <v>3.85E-2</v>
      </c>
      <c r="O20" s="1473">
        <f t="shared" si="16"/>
        <v>1.95E-2</v>
      </c>
      <c r="P20" s="1473">
        <f t="shared" si="16"/>
        <v>4.4800000000000006E-2</v>
      </c>
      <c r="Q20" s="1473">
        <f t="shared" si="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5" thickBot="1">
      <c r="A21" s="1461" t="s">
        <v>152</v>
      </c>
      <c r="B21" s="1477">
        <f t="shared" si="17"/>
        <v>346.720748986128</v>
      </c>
      <c r="C21" s="1477">
        <f t="shared" si="17"/>
        <v>284.30282172386285</v>
      </c>
      <c r="D21" s="1477">
        <f t="shared" si="18"/>
        <v>284.30282172386285</v>
      </c>
      <c r="E21" s="1477">
        <f t="shared" si="19"/>
        <v>479.58023546306947</v>
      </c>
      <c r="F21" s="1477">
        <f t="shared" si="19"/>
        <v>253.25788877571213</v>
      </c>
      <c r="G21" s="3315"/>
      <c r="H21" s="1464">
        <v>1</v>
      </c>
      <c r="I21" s="1464">
        <v>4.09</v>
      </c>
      <c r="J21" s="1464">
        <v>2.93</v>
      </c>
      <c r="K21" s="1464">
        <v>4.54</v>
      </c>
      <c r="L21" s="1478">
        <v>1.48</v>
      </c>
      <c r="N21" s="1472">
        <f t="shared" si="20"/>
        <v>4.0899999999999999E-2</v>
      </c>
      <c r="O21" s="1473">
        <f t="shared" si="16"/>
        <v>2.9300000000000003E-2</v>
      </c>
      <c r="P21" s="1473">
        <f t="shared" si="16"/>
        <v>4.5400000000000003E-2</v>
      </c>
      <c r="Q21" s="1473">
        <f t="shared" si="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5" thickBot="1">
      <c r="A22" s="1461" t="s">
        <v>151</v>
      </c>
      <c r="B22" s="1469">
        <v>333</v>
      </c>
      <c r="C22" s="1469">
        <v>277</v>
      </c>
      <c r="D22" s="1469">
        <f t="shared" si="18"/>
        <v>277</v>
      </c>
      <c r="E22" s="1469">
        <v>459</v>
      </c>
      <c r="F22" s="1470">
        <v>249</v>
      </c>
      <c r="G22" s="3313">
        <v>2015</v>
      </c>
      <c r="H22" s="1482">
        <v>4</v>
      </c>
      <c r="I22" s="1482">
        <v>1.63</v>
      </c>
      <c r="J22" s="1482">
        <v>1.1100000000000001</v>
      </c>
      <c r="K22" s="1482">
        <v>1.77</v>
      </c>
      <c r="L22" s="1483">
        <v>1.89</v>
      </c>
      <c r="N22" s="1484">
        <f t="shared" si="20"/>
        <v>1.6299999999999999E-2</v>
      </c>
      <c r="O22" s="1485">
        <f t="shared" si="16"/>
        <v>1.11E-2</v>
      </c>
      <c r="P22" s="1485">
        <f t="shared" si="16"/>
        <v>1.77E-2</v>
      </c>
      <c r="Q22" s="1485">
        <f t="shared" si="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ht="14">
      <c r="A23" s="1461" t="s">
        <v>150</v>
      </c>
      <c r="B23" s="1477">
        <f t="shared" ref="B23:C25" si="21">B22/(1+N22)</f>
        <v>327.65915576109415</v>
      </c>
      <c r="C23" s="1477">
        <f t="shared" si="21"/>
        <v>273.95905449510434</v>
      </c>
      <c r="D23" s="1477">
        <f t="shared" si="18"/>
        <v>273.95905449510434</v>
      </c>
      <c r="E23" s="1477">
        <f t="shared" ref="E23:F25" si="22">E22/(1+P22)</f>
        <v>451.01699911565294</v>
      </c>
      <c r="F23" s="1477">
        <f t="shared" si="22"/>
        <v>244.38119540681129</v>
      </c>
      <c r="G23" s="3314"/>
      <c r="H23" s="1487">
        <v>3</v>
      </c>
      <c r="I23" s="1487">
        <v>1.65</v>
      </c>
      <c r="J23" s="1487">
        <v>0.92</v>
      </c>
      <c r="K23" s="1487">
        <v>1.88</v>
      </c>
      <c r="L23" s="1488">
        <v>1.26</v>
      </c>
      <c r="N23" s="1472">
        <f t="shared" si="20"/>
        <v>1.6500000000000001E-2</v>
      </c>
      <c r="O23" s="1489">
        <f t="shared" si="16"/>
        <v>9.1999999999999998E-3</v>
      </c>
      <c r="P23" s="1489">
        <f t="shared" si="16"/>
        <v>1.8799999999999997E-2</v>
      </c>
      <c r="Q23" s="1489">
        <f t="shared" si="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ht="14">
      <c r="A24" s="1461" t="s">
        <v>149</v>
      </c>
      <c r="B24" s="1477">
        <f t="shared" si="21"/>
        <v>322.34053690220776</v>
      </c>
      <c r="C24" s="1477">
        <f t="shared" si="21"/>
        <v>271.46160770422546</v>
      </c>
      <c r="D24" s="1477">
        <f t="shared" si="18"/>
        <v>271.46160770422546</v>
      </c>
      <c r="E24" s="1477">
        <f t="shared" si="22"/>
        <v>442.69434542172456</v>
      </c>
      <c r="F24" s="1477">
        <f t="shared" si="22"/>
        <v>241.34030753190925</v>
      </c>
      <c r="G24" s="3314"/>
      <c r="H24" s="1465">
        <v>2</v>
      </c>
      <c r="I24" s="1465">
        <v>0.77</v>
      </c>
      <c r="J24" s="1465">
        <v>0.69</v>
      </c>
      <c r="K24" s="1465">
        <v>0.8</v>
      </c>
      <c r="L24" s="1479">
        <v>0.88</v>
      </c>
      <c r="N24" s="1472">
        <f t="shared" si="20"/>
        <v>7.7000000000000002E-3</v>
      </c>
      <c r="O24" s="1489">
        <f t="shared" si="16"/>
        <v>6.8999999999999999E-3</v>
      </c>
      <c r="P24" s="1489">
        <f t="shared" si="16"/>
        <v>8.0000000000000002E-3</v>
      </c>
      <c r="Q24" s="1489">
        <f t="shared" si="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ht="14">
      <c r="A25" s="1461" t="s">
        <v>148</v>
      </c>
      <c r="B25" s="1477">
        <f t="shared" si="21"/>
        <v>319.87748030386797</v>
      </c>
      <c r="C25" s="1477">
        <f t="shared" si="21"/>
        <v>269.60135833173649</v>
      </c>
      <c r="D25" s="1477">
        <f t="shared" si="18"/>
        <v>269.60135833173649</v>
      </c>
      <c r="E25" s="1477">
        <f t="shared" si="22"/>
        <v>439.18089823583784</v>
      </c>
      <c r="F25" s="1477">
        <f t="shared" si="22"/>
        <v>239.23503918706311</v>
      </c>
      <c r="G25" s="3315"/>
      <c r="H25" s="1464">
        <v>1</v>
      </c>
      <c r="I25" s="1464">
        <v>0.51</v>
      </c>
      <c r="J25" s="1464">
        <v>0.54</v>
      </c>
      <c r="K25" s="1464">
        <v>0.48</v>
      </c>
      <c r="L25" s="1478">
        <v>0.93</v>
      </c>
      <c r="N25" s="1480">
        <f t="shared" si="20"/>
        <v>5.1000000000000004E-3</v>
      </c>
      <c r="O25" s="1481">
        <f t="shared" si="16"/>
        <v>5.4000000000000003E-3</v>
      </c>
      <c r="P25" s="1481">
        <f t="shared" si="16"/>
        <v>4.7999999999999996E-3</v>
      </c>
      <c r="Q25" s="1481">
        <f t="shared" si="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5" thickBot="1">
      <c r="A26" s="1461" t="s">
        <v>147</v>
      </c>
      <c r="B26" s="1490">
        <v>318</v>
      </c>
      <c r="C26" s="1490">
        <v>268</v>
      </c>
      <c r="D26" s="1490">
        <f t="shared" si="18"/>
        <v>268</v>
      </c>
      <c r="E26" s="1490">
        <v>437</v>
      </c>
      <c r="F26" s="1491">
        <v>237</v>
      </c>
      <c r="G26" s="3313">
        <v>2014</v>
      </c>
      <c r="H26" s="1482">
        <v>4</v>
      </c>
      <c r="I26" s="1482">
        <v>0.21</v>
      </c>
      <c r="J26" s="1482">
        <v>0.41</v>
      </c>
      <c r="K26" s="1482">
        <v>0.12</v>
      </c>
      <c r="L26" s="1483">
        <v>0.89</v>
      </c>
      <c r="N26" s="1472">
        <f t="shared" si="20"/>
        <v>2.0999999999999999E-3</v>
      </c>
      <c r="O26" s="1473">
        <f t="shared" si="16"/>
        <v>4.0999999999999995E-3</v>
      </c>
      <c r="P26" s="1473">
        <f t="shared" si="16"/>
        <v>1.1999999999999999E-3</v>
      </c>
      <c r="Q26" s="1473">
        <f t="shared" si="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ht="14">
      <c r="A27" s="1461" t="s">
        <v>146</v>
      </c>
      <c r="B27" s="1477">
        <f t="shared" ref="B27:C29" si="23">B26/(1+N26)</f>
        <v>317.33359944117353</v>
      </c>
      <c r="C27" s="1477">
        <f t="shared" si="23"/>
        <v>266.90568668459315</v>
      </c>
      <c r="D27" s="1477">
        <f t="shared" si="18"/>
        <v>266.90568668459315</v>
      </c>
      <c r="E27" s="1477">
        <f t="shared" ref="E27:F29" si="24">E26/(1+P26)</f>
        <v>436.47622852576905</v>
      </c>
      <c r="F27" s="1477">
        <f t="shared" si="24"/>
        <v>234.90930716622066</v>
      </c>
      <c r="G27" s="3314"/>
      <c r="H27" s="1492">
        <v>3</v>
      </c>
      <c r="I27" s="1492">
        <v>0.83</v>
      </c>
      <c r="J27" s="1492">
        <v>1.47</v>
      </c>
      <c r="K27" s="1492">
        <v>0.65</v>
      </c>
      <c r="L27" s="1493">
        <v>0.72</v>
      </c>
      <c r="N27" s="1472">
        <f t="shared" si="20"/>
        <v>8.3000000000000001E-3</v>
      </c>
      <c r="O27" s="1473">
        <f t="shared" si="16"/>
        <v>1.47E-2</v>
      </c>
      <c r="P27" s="1473">
        <f t="shared" si="16"/>
        <v>6.5000000000000006E-3</v>
      </c>
      <c r="Q27" s="1473">
        <f t="shared" si="16"/>
        <v>7.1999999999999998E-3</v>
      </c>
      <c r="R27" s="1474"/>
      <c r="S27" s="1472"/>
      <c r="T27" s="1473"/>
      <c r="U27" s="1473"/>
      <c r="V27" s="1473"/>
      <c r="X27" s="1459">
        <f>ROUND(SUMPRODUCT(PRODUCT(1+N27:N$28)),4)</f>
        <v>1.0325</v>
      </c>
      <c r="Y27" s="1459">
        <f>ROUND(SUMPRODUCT(PRODUCT(1+O27:O$28)),4)</f>
        <v>1.0353000000000001</v>
      </c>
      <c r="Z27" s="1459">
        <f>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5" thickBot="1">
      <c r="A28" s="1461" t="s">
        <v>145</v>
      </c>
      <c r="B28" s="1477">
        <f t="shared" si="23"/>
        <v>314.72141172386546</v>
      </c>
      <c r="C28" s="1477">
        <f t="shared" si="23"/>
        <v>263.03901319069001</v>
      </c>
      <c r="D28" s="1477">
        <f t="shared" si="18"/>
        <v>263.03901319069001</v>
      </c>
      <c r="E28" s="1477">
        <f t="shared" si="24"/>
        <v>433.65745506782821</v>
      </c>
      <c r="F28" s="1477">
        <f t="shared" si="24"/>
        <v>233.23005080045735</v>
      </c>
      <c r="G28" s="3314"/>
      <c r="H28" s="1482">
        <v>2</v>
      </c>
      <c r="I28" s="1482">
        <v>2.4</v>
      </c>
      <c r="J28" s="1482">
        <v>2.0299999999999998</v>
      </c>
      <c r="K28" s="1482">
        <v>2.59</v>
      </c>
      <c r="L28" s="1483">
        <v>1.52</v>
      </c>
      <c r="N28" s="1472">
        <f t="shared" si="20"/>
        <v>2.4E-2</v>
      </c>
      <c r="O28" s="1473">
        <f t="shared" si="16"/>
        <v>2.0299999999999999E-2</v>
      </c>
      <c r="P28" s="1473">
        <f t="shared" si="16"/>
        <v>2.5899999999999999E-2</v>
      </c>
      <c r="Q28" s="1473">
        <f t="shared" si="16"/>
        <v>1.52E-2</v>
      </c>
      <c r="R28" s="1474"/>
      <c r="S28" s="1472"/>
      <c r="T28" s="1473"/>
      <c r="U28" s="1473"/>
      <c r="V28" s="1473"/>
      <c r="X28" s="1459">
        <f>1+N28</f>
        <v>1.024</v>
      </c>
      <c r="Y28" s="1459">
        <f>1+O28</f>
        <v>1.0203</v>
      </c>
      <c r="Z28" s="1459">
        <f>Y28</f>
        <v>1.0203</v>
      </c>
      <c r="AA28" s="1459">
        <f>1+P28</f>
        <v>1.0259</v>
      </c>
      <c r="AB28" s="1459">
        <f>1+Q28</f>
        <v>1.0152000000000001</v>
      </c>
      <c r="AD28" s="1460">
        <f>ROUND(AVERAGE(I28:I$29)/100,4)</f>
        <v>2.69E-2</v>
      </c>
      <c r="AE28" s="1460">
        <f>ROUND(AVERAGE(J28:J$29)/100,4)</f>
        <v>2.1899999999999999E-2</v>
      </c>
      <c r="AF28" s="1460">
        <f>AE28</f>
        <v>2.1899999999999999E-2</v>
      </c>
      <c r="AG28" s="1460">
        <f>ROUND(AVERAGE(K28:K$29)/100,4)</f>
        <v>2.9399999999999999E-2</v>
      </c>
      <c r="AH28" s="1460">
        <f>ROUND(AVERAGE(L28:L$29)/100,4)</f>
        <v>1.44E-2</v>
      </c>
    </row>
    <row r="29" spans="1:34" s="1498" customFormat="1" ht="15" thickBot="1">
      <c r="A29" s="1494" t="s">
        <v>144</v>
      </c>
      <c r="B29" s="1495">
        <f t="shared" si="23"/>
        <v>307.34512863658733</v>
      </c>
      <c r="C29" s="1495">
        <f t="shared" si="23"/>
        <v>257.80556031626975</v>
      </c>
      <c r="D29" s="1495">
        <f t="shared" si="18"/>
        <v>257.80556031626975</v>
      </c>
      <c r="E29" s="1495">
        <f t="shared" si="24"/>
        <v>422.70928459677179</v>
      </c>
      <c r="F29" s="1495">
        <f t="shared" si="24"/>
        <v>229.73803270336617</v>
      </c>
      <c r="G29" s="3315"/>
      <c r="H29" s="1496">
        <v>1</v>
      </c>
      <c r="I29" s="1496">
        <v>2.97</v>
      </c>
      <c r="J29" s="1496">
        <v>2.34</v>
      </c>
      <c r="K29" s="1496">
        <v>3.28</v>
      </c>
      <c r="L29" s="1497">
        <v>1.36</v>
      </c>
      <c r="N29" s="1499">
        <f t="shared" si="20"/>
        <v>2.9700000000000001E-2</v>
      </c>
      <c r="O29" s="1500">
        <f t="shared" si="16"/>
        <v>2.3399999999999997E-2</v>
      </c>
      <c r="P29" s="1500">
        <f t="shared" si="16"/>
        <v>3.2799999999999996E-2</v>
      </c>
      <c r="Q29" s="1500">
        <f t="shared" si="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5" thickBot="1">
      <c r="A30" s="1461" t="s">
        <v>1158</v>
      </c>
      <c r="B30" s="1469">
        <v>299</v>
      </c>
      <c r="C30" s="1469">
        <v>252</v>
      </c>
      <c r="D30" s="1469">
        <f t="shared" si="18"/>
        <v>252</v>
      </c>
      <c r="E30" s="1469">
        <v>409</v>
      </c>
      <c r="F30" s="1470">
        <v>227</v>
      </c>
      <c r="G30" s="3320">
        <v>2013</v>
      </c>
      <c r="H30" s="1506">
        <v>4</v>
      </c>
      <c r="I30" s="1506">
        <v>1.83</v>
      </c>
      <c r="J30" s="1506">
        <v>1.68</v>
      </c>
      <c r="K30" s="1506">
        <v>1.97</v>
      </c>
      <c r="L30" s="1507">
        <v>0.87</v>
      </c>
      <c r="N30" s="1484">
        <f t="shared" si="20"/>
        <v>1.83E-2</v>
      </c>
      <c r="O30" s="1485">
        <f t="shared" si="16"/>
        <v>1.6799999999999999E-2</v>
      </c>
      <c r="P30" s="1485">
        <f t="shared" si="16"/>
        <v>1.9699999999999999E-2</v>
      </c>
      <c r="Q30" s="1485">
        <f t="shared" si="16"/>
        <v>8.6999999999999994E-3</v>
      </c>
      <c r="R30" s="1474"/>
      <c r="S30" s="1475"/>
      <c r="T30" s="1476"/>
      <c r="U30" s="1476"/>
      <c r="V30" s="1476"/>
      <c r="X30" s="1476"/>
      <c r="Y30" s="1476"/>
      <c r="Z30" s="1476"/>
    </row>
    <row r="31" spans="1:34" ht="14">
      <c r="A31" s="1461" t="s">
        <v>1159</v>
      </c>
      <c r="B31" s="1477">
        <f t="shared" ref="B31:C33" si="25">B30/(1+N30)</f>
        <v>293.62663262299913</v>
      </c>
      <c r="C31" s="1477">
        <f t="shared" si="25"/>
        <v>247.83634933123525</v>
      </c>
      <c r="D31" s="1477">
        <f t="shared" si="18"/>
        <v>247.83634933123525</v>
      </c>
      <c r="E31" s="1477">
        <f t="shared" ref="E31:F33" si="26">E30/(1+P30)</f>
        <v>401.09836226341076</v>
      </c>
      <c r="F31" s="1477">
        <f t="shared" si="26"/>
        <v>225.04213343908003</v>
      </c>
      <c r="G31" s="3321"/>
      <c r="H31" s="1487">
        <v>3</v>
      </c>
      <c r="I31" s="1487">
        <v>1.86</v>
      </c>
      <c r="J31" s="1487">
        <v>1.72</v>
      </c>
      <c r="K31" s="1487">
        <v>1.98</v>
      </c>
      <c r="L31" s="1488">
        <v>0.88</v>
      </c>
      <c r="N31" s="1472">
        <f t="shared" si="20"/>
        <v>1.8600000000000002E-2</v>
      </c>
      <c r="O31" s="1489">
        <f t="shared" si="16"/>
        <v>1.72E-2</v>
      </c>
      <c r="P31" s="1489">
        <f t="shared" si="16"/>
        <v>1.9799999999999998E-2</v>
      </c>
      <c r="Q31" s="1489">
        <f t="shared" si="16"/>
        <v>8.8000000000000005E-3</v>
      </c>
      <c r="R31" s="1474"/>
      <c r="S31" s="1472"/>
      <c r="T31" s="1473"/>
      <c r="U31" s="1473"/>
      <c r="V31" s="1473"/>
    </row>
    <row r="32" spans="1:34" ht="14">
      <c r="A32" s="1461" t="s">
        <v>1160</v>
      </c>
      <c r="B32" s="1477">
        <f t="shared" si="25"/>
        <v>288.2649053828776</v>
      </c>
      <c r="C32" s="1477">
        <f t="shared" si="25"/>
        <v>243.64564425013293</v>
      </c>
      <c r="D32" s="1477">
        <f t="shared" si="18"/>
        <v>243.64564425013293</v>
      </c>
      <c r="E32" s="1477">
        <f t="shared" si="26"/>
        <v>393.31080825986544</v>
      </c>
      <c r="F32" s="1477">
        <f t="shared" si="26"/>
        <v>223.07903790551154</v>
      </c>
      <c r="G32" s="3321"/>
      <c r="H32" s="1465">
        <v>2</v>
      </c>
      <c r="I32" s="1465">
        <v>2.04</v>
      </c>
      <c r="J32" s="1465">
        <v>2.33</v>
      </c>
      <c r="K32" s="1465">
        <v>2.0699999999999998</v>
      </c>
      <c r="L32" s="1479">
        <v>0.69</v>
      </c>
      <c r="N32" s="1472">
        <f t="shared" si="20"/>
        <v>2.0400000000000001E-2</v>
      </c>
      <c r="O32" s="1489">
        <f t="shared" si="16"/>
        <v>2.3300000000000001E-2</v>
      </c>
      <c r="P32" s="1489">
        <f t="shared" si="16"/>
        <v>2.07E-2</v>
      </c>
      <c r="Q32" s="1489">
        <f t="shared" si="16"/>
        <v>6.8999999999999999E-3</v>
      </c>
      <c r="R32" s="1474"/>
      <c r="S32" s="1472"/>
      <c r="T32" s="1473"/>
      <c r="U32" s="1473"/>
      <c r="V32" s="1473"/>
      <c r="X32" s="1508"/>
      <c r="Y32" s="1509"/>
    </row>
    <row r="33" spans="1:26" ht="14">
      <c r="A33" s="1461" t="s">
        <v>1161</v>
      </c>
      <c r="B33" s="1477">
        <f t="shared" si="25"/>
        <v>282.50186729015837</v>
      </c>
      <c r="C33" s="1477">
        <f t="shared" si="25"/>
        <v>238.09796174155468</v>
      </c>
      <c r="D33" s="1477">
        <f t="shared" si="18"/>
        <v>238.09796174155468</v>
      </c>
      <c r="E33" s="1477">
        <f t="shared" si="26"/>
        <v>385.33438646014054</v>
      </c>
      <c r="F33" s="1477">
        <f t="shared" si="26"/>
        <v>221.55034055567739</v>
      </c>
      <c r="G33" s="3322"/>
      <c r="H33" s="1464">
        <v>1</v>
      </c>
      <c r="I33" s="1464">
        <v>1.67</v>
      </c>
      <c r="J33" s="1464">
        <v>1.31</v>
      </c>
      <c r="K33" s="1464">
        <v>1.85</v>
      </c>
      <c r="L33" s="1478">
        <v>0.96</v>
      </c>
      <c r="N33" s="1480">
        <f t="shared" si="20"/>
        <v>1.67E-2</v>
      </c>
      <c r="O33" s="1481">
        <f t="shared" si="20"/>
        <v>1.3100000000000001E-2</v>
      </c>
      <c r="P33" s="1481">
        <f t="shared" si="20"/>
        <v>1.8500000000000003E-2</v>
      </c>
      <c r="Q33" s="1481">
        <f t="shared" si="20"/>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5" thickBot="1">
      <c r="A34" s="1461" t="s">
        <v>1162</v>
      </c>
      <c r="B34" s="1511">
        <v>278</v>
      </c>
      <c r="C34" s="1511">
        <v>234</v>
      </c>
      <c r="D34" s="1511">
        <f t="shared" si="18"/>
        <v>234</v>
      </c>
      <c r="E34" s="1511">
        <v>379</v>
      </c>
      <c r="F34" s="1512">
        <v>220</v>
      </c>
      <c r="G34" s="3313">
        <v>2012</v>
      </c>
      <c r="H34" s="1482">
        <v>4</v>
      </c>
      <c r="I34" s="1482">
        <v>0.91</v>
      </c>
      <c r="J34" s="1482">
        <v>0.68</v>
      </c>
      <c r="K34" s="1482">
        <v>0.98</v>
      </c>
      <c r="L34" s="1483">
        <v>0.9</v>
      </c>
      <c r="N34" s="1472">
        <f t="shared" si="20"/>
        <v>9.1000000000000004E-3</v>
      </c>
      <c r="O34" s="1473">
        <f t="shared" si="20"/>
        <v>6.8000000000000005E-3</v>
      </c>
      <c r="P34" s="1473">
        <f t="shared" si="20"/>
        <v>9.7999999999999997E-3</v>
      </c>
      <c r="Q34" s="1473">
        <f t="shared" si="20"/>
        <v>9.0000000000000011E-3</v>
      </c>
      <c r="R34" s="1474"/>
      <c r="S34" s="1475"/>
      <c r="T34" s="1476"/>
      <c r="U34" s="1476"/>
      <c r="V34" s="1476"/>
      <c r="X34" s="1476"/>
      <c r="Y34" s="1476"/>
      <c r="Z34" s="1476"/>
    </row>
    <row r="35" spans="1:26" ht="14">
      <c r="A35" s="1461" t="s">
        <v>1163</v>
      </c>
      <c r="B35" s="1477">
        <f>B34/(1+N34)</f>
        <v>275.49301357645425</v>
      </c>
      <c r="C35" s="1477">
        <f>C34/(1+O34)</f>
        <v>232.41954707985698</v>
      </c>
      <c r="D35" s="1477">
        <f t="shared" si="18"/>
        <v>232.41954707985698</v>
      </c>
      <c r="E35" s="1477">
        <f t="shared" ref="E35:F37" si="27">E34/(1+P34)</f>
        <v>375.32184591008121</v>
      </c>
      <c r="F35" s="1477">
        <f t="shared" si="27"/>
        <v>218.03766105054513</v>
      </c>
      <c r="G35" s="3314"/>
      <c r="H35" s="1487">
        <v>3</v>
      </c>
      <c r="I35" s="1487">
        <v>0.09</v>
      </c>
      <c r="J35" s="1487">
        <v>0.28999999999999998</v>
      </c>
      <c r="K35" s="1487">
        <v>-0.01</v>
      </c>
      <c r="L35" s="1488">
        <v>0.57999999999999996</v>
      </c>
      <c r="N35" s="1472">
        <f t="shared" si="20"/>
        <v>8.9999999999999998E-4</v>
      </c>
      <c r="O35" s="1473">
        <f t="shared" si="20"/>
        <v>2.8999999999999998E-3</v>
      </c>
      <c r="P35" s="1473">
        <f t="shared" si="20"/>
        <v>-1E-4</v>
      </c>
      <c r="Q35" s="1473">
        <f t="shared" si="20"/>
        <v>5.7999999999999996E-3</v>
      </c>
      <c r="R35" s="1474"/>
      <c r="S35" s="1472"/>
      <c r="T35" s="1473"/>
      <c r="U35" s="1473"/>
      <c r="V35" s="1473"/>
    </row>
    <row r="36" spans="1:26" ht="14">
      <c r="A36" s="1461" t="s">
        <v>1164</v>
      </c>
      <c r="B36" s="1477">
        <f>B35/(1+N35)</f>
        <v>275.24529281292263</v>
      </c>
      <c r="C36" s="1477">
        <f>C35/(1+O35)</f>
        <v>231.74747938962707</v>
      </c>
      <c r="D36" s="1477">
        <f t="shared" si="18"/>
        <v>231.74747938962707</v>
      </c>
      <c r="E36" s="1477">
        <f t="shared" si="27"/>
        <v>375.35938184826603</v>
      </c>
      <c r="F36" s="1477">
        <f t="shared" si="27"/>
        <v>216.78033510692495</v>
      </c>
      <c r="G36" s="3314"/>
      <c r="H36" s="1465">
        <v>2</v>
      </c>
      <c r="I36" s="1465">
        <v>0.02</v>
      </c>
      <c r="J36" s="1465">
        <v>0.12</v>
      </c>
      <c r="K36" s="1465">
        <v>-0.08</v>
      </c>
      <c r="L36" s="1479">
        <v>1.24</v>
      </c>
      <c r="N36" s="1472">
        <f t="shared" si="20"/>
        <v>2.0000000000000001E-4</v>
      </c>
      <c r="O36" s="1473">
        <f t="shared" si="20"/>
        <v>1.1999999999999999E-3</v>
      </c>
      <c r="P36" s="1473">
        <f t="shared" si="20"/>
        <v>-8.0000000000000004E-4</v>
      </c>
      <c r="Q36" s="1473">
        <f t="shared" si="20"/>
        <v>1.24E-2</v>
      </c>
      <c r="R36" s="1474"/>
      <c r="S36" s="1472"/>
      <c r="T36" s="1473"/>
      <c r="U36" s="1473"/>
      <c r="V36" s="1473"/>
    </row>
    <row r="37" spans="1:26" ht="15" thickBot="1">
      <c r="A37" s="1461" t="s">
        <v>1165</v>
      </c>
      <c r="B37" s="1477">
        <f>B36/(1+N36)</f>
        <v>275.19025476197027</v>
      </c>
      <c r="C37" s="1513">
        <v>232</v>
      </c>
      <c r="D37" s="1513">
        <f t="shared" si="18"/>
        <v>232</v>
      </c>
      <c r="E37" s="1477">
        <f t="shared" si="27"/>
        <v>375.65990977608692</v>
      </c>
      <c r="F37" s="1477">
        <f t="shared" si="27"/>
        <v>214.12518283971252</v>
      </c>
      <c r="G37" s="3315"/>
      <c r="H37" s="1464">
        <v>1</v>
      </c>
      <c r="I37" s="1464">
        <v>0.02</v>
      </c>
      <c r="J37" s="1464">
        <v>0.13</v>
      </c>
      <c r="K37" s="1464">
        <v>-0.04</v>
      </c>
      <c r="L37" s="1478">
        <v>0.46</v>
      </c>
      <c r="N37" s="1472">
        <f t="shared" si="20"/>
        <v>2.0000000000000001E-4</v>
      </c>
      <c r="O37" s="1473">
        <f t="shared" si="20"/>
        <v>1.2999999999999999E-3</v>
      </c>
      <c r="P37" s="1473">
        <f t="shared" si="20"/>
        <v>-4.0000000000000002E-4</v>
      </c>
      <c r="Q37" s="1473">
        <f t="shared" si="20"/>
        <v>4.5999999999999999E-3</v>
      </c>
      <c r="R37" s="1474"/>
      <c r="S37" s="1480">
        <f>B37/B38-1</f>
        <v>6.9183549807361189E-4</v>
      </c>
      <c r="T37" s="1481">
        <f>C37/C38-1</f>
        <v>0</v>
      </c>
      <c r="U37" s="1481">
        <f>E37/E38-1</f>
        <v>-9.0449527636460303E-4</v>
      </c>
      <c r="V37" s="1481">
        <f>F37/F38-1</f>
        <v>5.2825485432512753E-3</v>
      </c>
      <c r="X37" s="1460"/>
      <c r="Y37" s="1460"/>
      <c r="Z37" s="1460"/>
    </row>
    <row r="38" spans="1:26" ht="15" thickBot="1">
      <c r="A38" s="1461" t="s">
        <v>1166</v>
      </c>
      <c r="B38" s="1469">
        <v>275</v>
      </c>
      <c r="C38" s="1469">
        <v>232</v>
      </c>
      <c r="D38" s="1469">
        <f t="shared" si="18"/>
        <v>232</v>
      </c>
      <c r="E38" s="1469">
        <v>376</v>
      </c>
      <c r="F38" s="1470">
        <v>213</v>
      </c>
      <c r="G38" s="3313">
        <v>2011</v>
      </c>
      <c r="H38" s="1482">
        <v>4</v>
      </c>
      <c r="I38" s="1482">
        <v>-0.2</v>
      </c>
      <c r="J38" s="1482">
        <v>0.04</v>
      </c>
      <c r="K38" s="1482">
        <v>-0.34</v>
      </c>
      <c r="L38" s="1483">
        <v>0.46</v>
      </c>
      <c r="N38" s="1484">
        <f t="shared" si="20"/>
        <v>-2E-3</v>
      </c>
      <c r="O38" s="1485">
        <f t="shared" si="20"/>
        <v>4.0000000000000002E-4</v>
      </c>
      <c r="P38" s="1485">
        <f t="shared" si="20"/>
        <v>-3.4000000000000002E-3</v>
      </c>
      <c r="Q38" s="1485">
        <f t="shared" si="20"/>
        <v>4.5999999999999999E-3</v>
      </c>
      <c r="R38" s="1474"/>
      <c r="S38" s="1475"/>
      <c r="T38" s="1476"/>
      <c r="U38" s="1476"/>
      <c r="V38" s="1476"/>
      <c r="X38" s="1476"/>
      <c r="Y38" s="1476"/>
      <c r="Z38" s="1476"/>
    </row>
    <row r="39" spans="1:26" ht="14">
      <c r="A39" s="1461" t="s">
        <v>1167</v>
      </c>
      <c r="B39" s="1477">
        <f t="shared" ref="B39:C41" si="28">B38/(1+N38)</f>
        <v>275.55110220440883</v>
      </c>
      <c r="C39" s="1477">
        <f t="shared" si="28"/>
        <v>231.90723710515795</v>
      </c>
      <c r="D39" s="1477">
        <f t="shared" si="18"/>
        <v>231.90723710515795</v>
      </c>
      <c r="E39" s="1477">
        <f t="shared" ref="E39:F41" si="29">E38/(1+P38)</f>
        <v>377.28276138872161</v>
      </c>
      <c r="F39" s="1477">
        <f t="shared" si="29"/>
        <v>212.02468644236512</v>
      </c>
      <c r="G39" s="3314">
        <v>2011</v>
      </c>
      <c r="H39" s="1487">
        <v>3</v>
      </c>
      <c r="I39" s="1487">
        <v>0.13</v>
      </c>
      <c r="J39" s="1487">
        <v>0.75</v>
      </c>
      <c r="K39" s="1487">
        <v>-0.08</v>
      </c>
      <c r="L39" s="1488">
        <v>0.53</v>
      </c>
      <c r="N39" s="1472">
        <f t="shared" si="20"/>
        <v>1.2999999999999999E-3</v>
      </c>
      <c r="O39" s="1489">
        <f t="shared" si="20"/>
        <v>7.4999999999999997E-3</v>
      </c>
      <c r="P39" s="1489">
        <f t="shared" si="20"/>
        <v>-8.0000000000000004E-4</v>
      </c>
      <c r="Q39" s="1489">
        <f t="shared" si="20"/>
        <v>5.3E-3</v>
      </c>
      <c r="R39" s="1474"/>
      <c r="S39" s="1472"/>
      <c r="T39" s="1473"/>
      <c r="U39" s="1473"/>
      <c r="V39" s="1473"/>
    </row>
    <row r="40" spans="1:26" ht="14">
      <c r="A40" s="1461" t="s">
        <v>1168</v>
      </c>
      <c r="B40" s="1477">
        <f t="shared" si="28"/>
        <v>275.19335084830601</v>
      </c>
      <c r="C40" s="1477">
        <f t="shared" si="28"/>
        <v>230.18088050139744</v>
      </c>
      <c r="D40" s="1477">
        <f t="shared" si="18"/>
        <v>230.18088050139744</v>
      </c>
      <c r="E40" s="1477">
        <f t="shared" si="29"/>
        <v>377.58482925212331</v>
      </c>
      <c r="F40" s="1477">
        <f t="shared" si="29"/>
        <v>210.90687997847917</v>
      </c>
      <c r="G40" s="3314">
        <v>2011</v>
      </c>
      <c r="H40" s="1465">
        <v>2</v>
      </c>
      <c r="I40" s="1465">
        <v>-0.4</v>
      </c>
      <c r="J40" s="1465">
        <v>0.17</v>
      </c>
      <c r="K40" s="1465">
        <v>-0.57999999999999996</v>
      </c>
      <c r="L40" s="1479">
        <v>-0.2</v>
      </c>
      <c r="N40" s="1472">
        <f t="shared" si="20"/>
        <v>-4.0000000000000001E-3</v>
      </c>
      <c r="O40" s="1489">
        <f t="shared" si="20"/>
        <v>1.7000000000000001E-3</v>
      </c>
      <c r="P40" s="1489">
        <f t="shared" si="20"/>
        <v>-5.7999999999999996E-3</v>
      </c>
      <c r="Q40" s="1489">
        <f t="shared" si="20"/>
        <v>-2E-3</v>
      </c>
      <c r="R40" s="1474"/>
      <c r="S40" s="1472"/>
      <c r="T40" s="1473"/>
      <c r="U40" s="1473"/>
      <c r="V40" s="1473"/>
    </row>
    <row r="41" spans="1:26" ht="15" thickBot="1">
      <c r="A41" s="1461" t="s">
        <v>1169</v>
      </c>
      <c r="B41" s="1477">
        <f t="shared" si="28"/>
        <v>276.29854502841971</v>
      </c>
      <c r="C41" s="1477">
        <f t="shared" si="28"/>
        <v>229.79023709833027</v>
      </c>
      <c r="D41" s="1477">
        <f t="shared" si="18"/>
        <v>229.79023709833027</v>
      </c>
      <c r="E41" s="1477">
        <f t="shared" si="29"/>
        <v>379.78759731655936</v>
      </c>
      <c r="F41" s="1477">
        <f t="shared" si="29"/>
        <v>211.32953905659235</v>
      </c>
      <c r="G41" s="3315">
        <v>2011</v>
      </c>
      <c r="H41" s="1464">
        <v>1</v>
      </c>
      <c r="I41" s="1464">
        <v>2.65</v>
      </c>
      <c r="J41" s="1464">
        <v>3.76</v>
      </c>
      <c r="K41" s="1464">
        <v>1.89</v>
      </c>
      <c r="L41" s="1478">
        <v>7.95</v>
      </c>
      <c r="N41" s="1480">
        <f t="shared" si="20"/>
        <v>2.6499999999999999E-2</v>
      </c>
      <c r="O41" s="1481">
        <f t="shared" si="20"/>
        <v>3.7599999999999995E-2</v>
      </c>
      <c r="P41" s="1481">
        <f t="shared" si="20"/>
        <v>1.89E-2</v>
      </c>
      <c r="Q41" s="1481">
        <f t="shared" si="20"/>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5" thickBot="1">
      <c r="A42" s="1461" t="s">
        <v>1170</v>
      </c>
      <c r="B42" s="1469">
        <v>269</v>
      </c>
      <c r="C42" s="1469">
        <v>221</v>
      </c>
      <c r="D42" s="1469">
        <f t="shared" si="18"/>
        <v>221</v>
      </c>
      <c r="E42" s="1469">
        <v>373</v>
      </c>
      <c r="F42" s="1470">
        <v>196</v>
      </c>
      <c r="G42" s="3313">
        <v>2010</v>
      </c>
      <c r="H42" s="1482">
        <v>4</v>
      </c>
      <c r="I42" s="1482">
        <v>5.72</v>
      </c>
      <c r="J42" s="1482">
        <v>6.57</v>
      </c>
      <c r="K42" s="1482">
        <v>5.72</v>
      </c>
      <c r="L42" s="1483">
        <v>2.72</v>
      </c>
      <c r="N42" s="1472">
        <f t="shared" si="20"/>
        <v>5.7200000000000001E-2</v>
      </c>
      <c r="O42" s="1473">
        <f t="shared" si="20"/>
        <v>6.5700000000000008E-2</v>
      </c>
      <c r="P42" s="1473">
        <f t="shared" si="20"/>
        <v>5.7200000000000001E-2</v>
      </c>
      <c r="Q42" s="1473">
        <f t="shared" si="20"/>
        <v>2.7200000000000002E-2</v>
      </c>
      <c r="R42" s="1474"/>
      <c r="S42" s="1475"/>
      <c r="T42" s="1476"/>
      <c r="U42" s="1476"/>
      <c r="V42" s="1476"/>
      <c r="X42" s="1476"/>
      <c r="Y42" s="1476"/>
      <c r="Z42" s="1476"/>
    </row>
    <row r="43" spans="1:26" ht="14">
      <c r="A43" s="1461" t="s">
        <v>1171</v>
      </c>
      <c r="B43" s="1477">
        <f t="shared" ref="B43:C45" si="30">B42/(1+N42)</f>
        <v>254.44570563753314</v>
      </c>
      <c r="C43" s="1477">
        <f t="shared" si="30"/>
        <v>207.37543398705074</v>
      </c>
      <c r="D43" s="1477">
        <f t="shared" si="18"/>
        <v>207.37543398705074</v>
      </c>
      <c r="E43" s="1477">
        <f t="shared" ref="E43:F45" si="31">E42/(1+P42)</f>
        <v>352.81876655315932</v>
      </c>
      <c r="F43" s="1477">
        <f t="shared" si="31"/>
        <v>190.809968847352</v>
      </c>
      <c r="G43" s="3314">
        <v>2010</v>
      </c>
      <c r="H43" s="1487">
        <v>3</v>
      </c>
      <c r="I43" s="1487">
        <v>4.7300000000000004</v>
      </c>
      <c r="J43" s="1487">
        <v>3.9</v>
      </c>
      <c r="K43" s="1487">
        <v>5.03</v>
      </c>
      <c r="L43" s="1488">
        <v>4.21</v>
      </c>
      <c r="N43" s="1472">
        <f t="shared" si="20"/>
        <v>4.7300000000000002E-2</v>
      </c>
      <c r="O43" s="1473">
        <f t="shared" si="20"/>
        <v>3.9E-2</v>
      </c>
      <c r="P43" s="1473">
        <f t="shared" si="20"/>
        <v>5.0300000000000004E-2</v>
      </c>
      <c r="Q43" s="1473">
        <f t="shared" si="20"/>
        <v>4.2099999999999999E-2</v>
      </c>
      <c r="R43" s="1474"/>
      <c r="S43" s="1472"/>
      <c r="T43" s="1473"/>
      <c r="U43" s="1473"/>
      <c r="V43" s="1473"/>
    </row>
    <row r="44" spans="1:26" ht="14">
      <c r="A44" s="1461" t="s">
        <v>1172</v>
      </c>
      <c r="B44" s="1477">
        <f t="shared" si="30"/>
        <v>242.95398227588385</v>
      </c>
      <c r="C44" s="1477">
        <f t="shared" si="30"/>
        <v>199.59137053614126</v>
      </c>
      <c r="D44" s="1477">
        <f t="shared" si="18"/>
        <v>199.59137053614126</v>
      </c>
      <c r="E44" s="1477">
        <f t="shared" si="31"/>
        <v>335.92189522342125</v>
      </c>
      <c r="F44" s="1477">
        <f t="shared" si="31"/>
        <v>183.10139991109489</v>
      </c>
      <c r="G44" s="3314">
        <v>2010</v>
      </c>
      <c r="H44" s="1465">
        <v>2</v>
      </c>
      <c r="I44" s="1465">
        <v>4.6900000000000004</v>
      </c>
      <c r="J44" s="1465">
        <v>3.55</v>
      </c>
      <c r="K44" s="1465">
        <v>5.07</v>
      </c>
      <c r="L44" s="1479">
        <v>4.2300000000000004</v>
      </c>
      <c r="N44" s="1472">
        <f t="shared" si="20"/>
        <v>4.6900000000000004E-2</v>
      </c>
      <c r="O44" s="1473">
        <f t="shared" si="20"/>
        <v>3.5499999999999997E-2</v>
      </c>
      <c r="P44" s="1473">
        <f t="shared" si="20"/>
        <v>5.0700000000000002E-2</v>
      </c>
      <c r="Q44" s="1473">
        <f t="shared" si="20"/>
        <v>4.2300000000000004E-2</v>
      </c>
      <c r="R44" s="1474"/>
      <c r="S44" s="1472"/>
      <c r="T44" s="1473"/>
      <c r="U44" s="1473"/>
      <c r="V44" s="1473"/>
    </row>
    <row r="45" spans="1:26" ht="15" thickBot="1">
      <c r="A45" s="1461" t="s">
        <v>1173</v>
      </c>
      <c r="B45" s="1477">
        <f t="shared" si="30"/>
        <v>232.06990378821649</v>
      </c>
      <c r="C45" s="1477">
        <f t="shared" si="30"/>
        <v>192.74878854286936</v>
      </c>
      <c r="D45" s="1477">
        <f t="shared" si="18"/>
        <v>192.74878854286936</v>
      </c>
      <c r="E45" s="1477">
        <f t="shared" si="31"/>
        <v>319.71247284992984</v>
      </c>
      <c r="F45" s="1477">
        <f t="shared" si="31"/>
        <v>175.67053622862409</v>
      </c>
      <c r="G45" s="3315">
        <v>2010</v>
      </c>
      <c r="H45" s="1464">
        <v>1</v>
      </c>
      <c r="I45" s="1464">
        <v>5.4</v>
      </c>
      <c r="J45" s="1464">
        <v>3.2</v>
      </c>
      <c r="K45" s="1464">
        <v>6.16</v>
      </c>
      <c r="L45" s="1478">
        <v>4.51</v>
      </c>
      <c r="N45" s="1472">
        <f t="shared" si="20"/>
        <v>5.4000000000000006E-2</v>
      </c>
      <c r="O45" s="1473">
        <f t="shared" si="20"/>
        <v>3.2000000000000001E-2</v>
      </c>
      <c r="P45" s="1473">
        <f t="shared" si="20"/>
        <v>6.1600000000000002E-2</v>
      </c>
      <c r="Q45" s="1473">
        <f t="shared" si="20"/>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5" thickBot="1">
      <c r="A46" s="1461" t="s">
        <v>1174</v>
      </c>
      <c r="B46" s="1469">
        <v>220</v>
      </c>
      <c r="C46" s="1469">
        <v>187</v>
      </c>
      <c r="D46" s="1469">
        <f t="shared" si="18"/>
        <v>187</v>
      </c>
      <c r="E46" s="1469">
        <v>301</v>
      </c>
      <c r="F46" s="1470">
        <v>168</v>
      </c>
      <c r="G46" s="3313">
        <v>2009</v>
      </c>
      <c r="H46" s="1482">
        <v>4</v>
      </c>
      <c r="I46" s="1482">
        <v>2.2999999999999998</v>
      </c>
      <c r="J46" s="1482">
        <v>1.04</v>
      </c>
      <c r="K46" s="1482">
        <v>2.84</v>
      </c>
      <c r="L46" s="1483">
        <v>0.67</v>
      </c>
      <c r="N46" s="1484">
        <f t="shared" si="20"/>
        <v>2.3E-2</v>
      </c>
      <c r="O46" s="1485">
        <f t="shared" si="20"/>
        <v>1.04E-2</v>
      </c>
      <c r="P46" s="1485">
        <f t="shared" si="20"/>
        <v>2.8399999999999998E-2</v>
      </c>
      <c r="Q46" s="1485">
        <f t="shared" si="20"/>
        <v>6.7000000000000002E-3</v>
      </c>
      <c r="R46" s="1474"/>
      <c r="S46" s="1475"/>
      <c r="T46" s="1476"/>
      <c r="U46" s="1476"/>
      <c r="V46" s="1476"/>
      <c r="X46" s="1476"/>
      <c r="Y46" s="1476"/>
      <c r="Z46" s="1476"/>
    </row>
    <row r="47" spans="1:26" ht="14">
      <c r="A47" s="1461" t="s">
        <v>1175</v>
      </c>
      <c r="B47" s="1477">
        <f t="shared" ref="B47:C49" si="32">B46/(1+N46)</f>
        <v>215.05376344086022</v>
      </c>
      <c r="C47" s="1477">
        <f t="shared" si="32"/>
        <v>185.0752177355503</v>
      </c>
      <c r="D47" s="1477">
        <f t="shared" si="18"/>
        <v>185.0752177355503</v>
      </c>
      <c r="E47" s="1477">
        <f t="shared" ref="E47:F49" si="33">E46/(1+P46)</f>
        <v>292.68767016725008</v>
      </c>
      <c r="F47" s="1477">
        <f t="shared" si="33"/>
        <v>166.88189132810174</v>
      </c>
      <c r="G47" s="3314">
        <v>2009</v>
      </c>
      <c r="H47" s="1487">
        <v>3</v>
      </c>
      <c r="I47" s="1487">
        <v>2.1</v>
      </c>
      <c r="J47" s="1487">
        <v>1.86</v>
      </c>
      <c r="K47" s="1487">
        <v>2.29</v>
      </c>
      <c r="L47" s="1488">
        <v>0.85</v>
      </c>
      <c r="N47" s="1472">
        <f t="shared" si="20"/>
        <v>2.1000000000000001E-2</v>
      </c>
      <c r="O47" s="1489">
        <f t="shared" si="20"/>
        <v>1.8600000000000002E-2</v>
      </c>
      <c r="P47" s="1489">
        <f t="shared" si="20"/>
        <v>2.29E-2</v>
      </c>
      <c r="Q47" s="1489">
        <f t="shared" si="20"/>
        <v>8.5000000000000006E-3</v>
      </c>
      <c r="R47" s="1474"/>
      <c r="S47" s="1472"/>
      <c r="T47" s="1473"/>
      <c r="U47" s="1473"/>
      <c r="V47" s="1473"/>
    </row>
    <row r="48" spans="1:26" ht="14">
      <c r="A48" s="1461" t="s">
        <v>1176</v>
      </c>
      <c r="B48" s="1477">
        <f t="shared" si="32"/>
        <v>210.630522469011</v>
      </c>
      <c r="C48" s="1477">
        <f t="shared" si="32"/>
        <v>181.69567812247232</v>
      </c>
      <c r="D48" s="1477">
        <f t="shared" si="18"/>
        <v>181.69567812247232</v>
      </c>
      <c r="E48" s="1477">
        <f t="shared" si="33"/>
        <v>286.13517466736738</v>
      </c>
      <c r="F48" s="1477">
        <f t="shared" si="33"/>
        <v>165.47535084591149</v>
      </c>
      <c r="G48" s="3314">
        <v>2009</v>
      </c>
      <c r="H48" s="1465">
        <v>2</v>
      </c>
      <c r="I48" s="1465">
        <v>0.86</v>
      </c>
      <c r="J48" s="1465">
        <v>-1.1299999999999999</v>
      </c>
      <c r="K48" s="1465">
        <v>1.79</v>
      </c>
      <c r="L48" s="1479">
        <v>-2.0699999999999998</v>
      </c>
      <c r="N48" s="1472">
        <f t="shared" si="20"/>
        <v>8.6E-3</v>
      </c>
      <c r="O48" s="1489">
        <f t="shared" si="20"/>
        <v>-1.1299999999999999E-2</v>
      </c>
      <c r="P48" s="1489">
        <f t="shared" si="20"/>
        <v>1.7899999999999999E-2</v>
      </c>
      <c r="Q48" s="1489">
        <f t="shared" si="20"/>
        <v>-2.07E-2</v>
      </c>
      <c r="R48" s="1474"/>
      <c r="S48" s="1472"/>
      <c r="T48" s="1473"/>
      <c r="U48" s="1473"/>
      <c r="V48" s="1473"/>
    </row>
    <row r="49" spans="1:26" ht="14">
      <c r="A49" s="1461" t="s">
        <v>1177</v>
      </c>
      <c r="B49" s="1477">
        <f t="shared" si="32"/>
        <v>208.83454537875372</v>
      </c>
      <c r="C49" s="1477">
        <f t="shared" si="32"/>
        <v>183.77230517090351</v>
      </c>
      <c r="D49" s="1477">
        <f t="shared" si="18"/>
        <v>183.77230517090351</v>
      </c>
      <c r="E49" s="1477">
        <f t="shared" si="33"/>
        <v>281.10342338870947</v>
      </c>
      <c r="F49" s="1477">
        <f t="shared" si="33"/>
        <v>168.97309388942256</v>
      </c>
      <c r="G49" s="3315">
        <v>2009</v>
      </c>
      <c r="H49" s="1464">
        <v>1</v>
      </c>
      <c r="I49" s="1464">
        <v>-2.64</v>
      </c>
      <c r="J49" s="1464">
        <v>-2.5299999999999998</v>
      </c>
      <c r="K49" s="1464">
        <v>-3.02</v>
      </c>
      <c r="L49" s="1478">
        <v>1.52</v>
      </c>
      <c r="N49" s="1480">
        <f t="shared" si="20"/>
        <v>-2.64E-2</v>
      </c>
      <c r="O49" s="1481">
        <f t="shared" si="20"/>
        <v>-2.53E-2</v>
      </c>
      <c r="P49" s="1481">
        <f t="shared" si="20"/>
        <v>-3.0200000000000001E-2</v>
      </c>
      <c r="Q49" s="1481">
        <f t="shared" si="20"/>
        <v>1.52E-2</v>
      </c>
      <c r="R49" s="1474"/>
      <c r="S49" s="1480">
        <f>B49/B50-1</f>
        <v>-2.4137638417038754E-2</v>
      </c>
      <c r="T49" s="1481">
        <f>C49/C50-1</f>
        <v>-2.248773845264096E-2</v>
      </c>
      <c r="U49" s="1481">
        <f>E49/E50-1</f>
        <v>-2.7323794502735366E-2</v>
      </c>
      <c r="V49" s="1481">
        <f>F49/F50-1</f>
        <v>1.7910204153148035E-2</v>
      </c>
      <c r="X49" s="1460"/>
      <c r="Y49" s="1460"/>
      <c r="Z49" s="1460"/>
    </row>
    <row r="50" spans="1:26" ht="15" thickBot="1">
      <c r="A50" s="1461" t="s">
        <v>1178</v>
      </c>
      <c r="B50" s="1511">
        <v>214</v>
      </c>
      <c r="C50" s="1511">
        <v>188</v>
      </c>
      <c r="D50" s="1511">
        <f t="shared" si="18"/>
        <v>188</v>
      </c>
      <c r="E50" s="1511">
        <v>289</v>
      </c>
      <c r="F50" s="1512">
        <v>166</v>
      </c>
      <c r="G50" s="3313">
        <v>2008</v>
      </c>
      <c r="H50" s="1482">
        <v>4</v>
      </c>
      <c r="I50" s="1482">
        <v>1.73</v>
      </c>
      <c r="J50" s="1482">
        <v>0.03</v>
      </c>
      <c r="K50" s="1482">
        <v>2.59</v>
      </c>
      <c r="L50" s="1483">
        <v>-1.66</v>
      </c>
      <c r="N50" s="1472">
        <f t="shared" si="20"/>
        <v>1.7299999999999999E-2</v>
      </c>
      <c r="O50" s="1473">
        <f t="shared" si="20"/>
        <v>2.9999999999999997E-4</v>
      </c>
      <c r="P50" s="1473">
        <f t="shared" si="20"/>
        <v>2.5899999999999999E-2</v>
      </c>
      <c r="Q50" s="1473">
        <f t="shared" si="20"/>
        <v>-1.66E-2</v>
      </c>
      <c r="R50" s="1474"/>
      <c r="S50" s="1475"/>
      <c r="T50" s="1476"/>
      <c r="U50" s="1476"/>
      <c r="V50" s="1476"/>
      <c r="X50" s="1476"/>
      <c r="Y50" s="1476"/>
      <c r="Z50" s="1476"/>
    </row>
    <row r="51" spans="1:26" ht="14">
      <c r="A51" s="1461" t="s">
        <v>1179</v>
      </c>
      <c r="B51" s="1477">
        <f t="shared" ref="B51:C53" si="34">B50/(1+N50)</f>
        <v>210.36075887152265</v>
      </c>
      <c r="C51" s="1477">
        <f t="shared" si="34"/>
        <v>187.94361691492554</v>
      </c>
      <c r="D51" s="1477">
        <f t="shared" si="18"/>
        <v>187.94361691492554</v>
      </c>
      <c r="E51" s="1477">
        <f t="shared" ref="E51:F53" si="35">E50/(1+P50)</f>
        <v>281.70386977288234</v>
      </c>
      <c r="F51" s="1477">
        <f t="shared" si="35"/>
        <v>168.80211511083994</v>
      </c>
      <c r="G51" s="3314">
        <v>2008</v>
      </c>
      <c r="H51" s="1487">
        <v>3</v>
      </c>
      <c r="I51" s="1487">
        <v>1.96</v>
      </c>
      <c r="J51" s="1487">
        <v>2.36</v>
      </c>
      <c r="K51" s="1487">
        <v>1.82</v>
      </c>
      <c r="L51" s="1488">
        <v>2.2200000000000002</v>
      </c>
      <c r="N51" s="1472">
        <f t="shared" si="20"/>
        <v>1.9599999999999999E-2</v>
      </c>
      <c r="O51" s="1473">
        <f t="shared" si="20"/>
        <v>2.3599999999999999E-2</v>
      </c>
      <c r="P51" s="1473">
        <f t="shared" si="20"/>
        <v>1.8200000000000001E-2</v>
      </c>
      <c r="Q51" s="1473">
        <f t="shared" si="20"/>
        <v>2.2200000000000001E-2</v>
      </c>
      <c r="R51" s="1474"/>
      <c r="S51" s="1472"/>
      <c r="T51" s="1473"/>
      <c r="U51" s="1473"/>
      <c r="V51" s="1473"/>
    </row>
    <row r="52" spans="1:26" ht="14">
      <c r="A52" s="1461" t="s">
        <v>1180</v>
      </c>
      <c r="B52" s="1477">
        <f t="shared" si="34"/>
        <v>206.31694671589116</v>
      </c>
      <c r="C52" s="1477">
        <f t="shared" si="34"/>
        <v>183.61041121036101</v>
      </c>
      <c r="D52" s="1477">
        <f t="shared" si="18"/>
        <v>183.61041121036101</v>
      </c>
      <c r="E52" s="1477">
        <f t="shared" si="35"/>
        <v>276.66850301795557</v>
      </c>
      <c r="F52" s="1477">
        <f t="shared" si="35"/>
        <v>165.1360938278614</v>
      </c>
      <c r="G52" s="3314">
        <v>2008</v>
      </c>
      <c r="H52" s="1465">
        <v>2</v>
      </c>
      <c r="I52" s="1465">
        <v>4.93</v>
      </c>
      <c r="J52" s="1465">
        <v>7.38</v>
      </c>
      <c r="K52" s="1465">
        <v>3.98</v>
      </c>
      <c r="L52" s="1479">
        <v>6.86</v>
      </c>
      <c r="N52" s="1472">
        <f t="shared" si="20"/>
        <v>4.9299999999999997E-2</v>
      </c>
      <c r="O52" s="1473">
        <f t="shared" si="20"/>
        <v>7.3800000000000004E-2</v>
      </c>
      <c r="P52" s="1473">
        <f t="shared" si="20"/>
        <v>3.9800000000000002E-2</v>
      </c>
      <c r="Q52" s="1473">
        <f t="shared" si="20"/>
        <v>6.8600000000000008E-2</v>
      </c>
      <c r="R52" s="1474"/>
      <c r="S52" s="1472"/>
      <c r="T52" s="1473"/>
      <c r="U52" s="1473"/>
      <c r="V52" s="1473"/>
    </row>
    <row r="53" spans="1:26" s="1517" customFormat="1" ht="15" thickBot="1">
      <c r="A53" s="1461" t="s">
        <v>1181</v>
      </c>
      <c r="B53" s="1514">
        <f t="shared" si="34"/>
        <v>196.62341248059772</v>
      </c>
      <c r="C53" s="1514">
        <f t="shared" si="34"/>
        <v>170.99125648199012</v>
      </c>
      <c r="D53" s="1514">
        <f t="shared" si="18"/>
        <v>170.99125648199012</v>
      </c>
      <c r="E53" s="1514">
        <f t="shared" si="35"/>
        <v>266.07857570490052</v>
      </c>
      <c r="F53" s="1514">
        <f t="shared" si="35"/>
        <v>154.53499328828505</v>
      </c>
      <c r="G53" s="3315">
        <v>2008</v>
      </c>
      <c r="H53" s="1515">
        <v>1</v>
      </c>
      <c r="I53" s="1515">
        <v>4.1399999999999997</v>
      </c>
      <c r="J53" s="1515">
        <v>3.45</v>
      </c>
      <c r="K53" s="1515">
        <v>4.95</v>
      </c>
      <c r="L53" s="1516">
        <v>4.82</v>
      </c>
      <c r="N53" s="1518">
        <f t="shared" si="20"/>
        <v>4.1399999999999999E-2</v>
      </c>
      <c r="O53" s="1519">
        <f t="shared" si="20"/>
        <v>3.4500000000000003E-2</v>
      </c>
      <c r="P53" s="1519">
        <f t="shared" si="20"/>
        <v>4.9500000000000002E-2</v>
      </c>
      <c r="Q53" s="1519">
        <f t="shared" si="20"/>
        <v>4.82E-2</v>
      </c>
      <c r="R53" s="1520"/>
      <c r="S53" s="1518">
        <f>B53/B54-1</f>
        <v>4.5869215322328349E-2</v>
      </c>
      <c r="T53" s="1519">
        <f>C53/C54-1</f>
        <v>3.6310645345394743E-2</v>
      </c>
      <c r="U53" s="1519">
        <f>E53/E54-1</f>
        <v>4.7553447657088688E-2</v>
      </c>
      <c r="V53" s="1519">
        <f>F53/F54-1</f>
        <v>4.4155360055980086E-2</v>
      </c>
      <c r="X53" s="1521"/>
      <c r="Y53" s="1521"/>
      <c r="Z53" s="1521"/>
    </row>
    <row r="54" spans="1:26" ht="15" thickBot="1">
      <c r="A54" s="1461" t="s">
        <v>1182</v>
      </c>
      <c r="B54" s="1469">
        <v>188</v>
      </c>
      <c r="C54" s="1469">
        <v>165</v>
      </c>
      <c r="D54" s="1469">
        <f t="shared" si="18"/>
        <v>165</v>
      </c>
      <c r="E54" s="1469">
        <v>254</v>
      </c>
      <c r="F54" s="1470">
        <v>148</v>
      </c>
      <c r="G54" s="3313">
        <v>2007</v>
      </c>
      <c r="H54" s="1522">
        <v>4</v>
      </c>
      <c r="I54" s="1522">
        <v>5.51</v>
      </c>
      <c r="J54" s="1522">
        <v>4.8899999999999997</v>
      </c>
      <c r="K54" s="1522">
        <v>6.43</v>
      </c>
      <c r="L54" s="1523">
        <v>5.36</v>
      </c>
      <c r="N54" s="1524">
        <f t="shared" ref="N54:O57" si="36">B54/B55-1</f>
        <v>4.1339718365245526E-2</v>
      </c>
      <c r="O54" s="1525">
        <f t="shared" si="36"/>
        <v>4.0324492593776018E-2</v>
      </c>
      <c r="P54" s="1525">
        <f t="shared" ref="P54:Q57" si="37">E54/E55-1</f>
        <v>6.1625555347990968E-2</v>
      </c>
      <c r="Q54" s="1525">
        <f t="shared" si="37"/>
        <v>4.6757569250590603E-2</v>
      </c>
      <c r="R54" s="1474"/>
      <c r="S54" s="1475"/>
      <c r="T54" s="1476"/>
      <c r="U54" s="1476"/>
      <c r="V54" s="1476"/>
      <c r="X54" s="1476"/>
      <c r="Y54" s="1476"/>
      <c r="Z54" s="1476"/>
    </row>
    <row r="55" spans="1:26" ht="14">
      <c r="A55" s="1461" t="s">
        <v>1183</v>
      </c>
      <c r="B55" s="1477">
        <f t="shared" ref="B55:C57" si="38">B56+(B$54-B$58)*I55/SUM(I$54:I$57)</f>
        <v>180.5366651097618</v>
      </c>
      <c r="C55" s="1477">
        <f t="shared" si="38"/>
        <v>158.60435967302453</v>
      </c>
      <c r="D55" s="1477">
        <f t="shared" si="18"/>
        <v>158.60435967302453</v>
      </c>
      <c r="E55" s="1477">
        <f t="shared" ref="E55:F57" si="39">E56+(E$54-E$58)*K55/SUM(K$54:K$57)</f>
        <v>239.25573260785075</v>
      </c>
      <c r="F55" s="1477">
        <f t="shared" si="39"/>
        <v>141.38899430740037</v>
      </c>
      <c r="G55" s="3314">
        <v>2007</v>
      </c>
      <c r="H55" s="1487">
        <v>3</v>
      </c>
      <c r="I55" s="1487">
        <v>8.65</v>
      </c>
      <c r="J55" s="1487">
        <v>8.06</v>
      </c>
      <c r="K55" s="1487">
        <v>9.94</v>
      </c>
      <c r="L55" s="1488">
        <v>5.8</v>
      </c>
      <c r="N55" s="1524">
        <f t="shared" si="36"/>
        <v>6.940217571740015E-2</v>
      </c>
      <c r="O55" s="1525">
        <f t="shared" si="36"/>
        <v>7.1197482471153428E-2</v>
      </c>
      <c r="P55" s="1525">
        <f t="shared" si="37"/>
        <v>0.10529679922579582</v>
      </c>
      <c r="Q55" s="1525">
        <f t="shared" si="37"/>
        <v>5.3292245059512133E-2</v>
      </c>
      <c r="R55" s="1474"/>
      <c r="S55" s="1472"/>
      <c r="T55" s="1473"/>
      <c r="U55" s="1473"/>
      <c r="V55" s="1473"/>
      <c r="X55" s="1526"/>
      <c r="Y55" s="1526"/>
      <c r="Z55" s="1526"/>
    </row>
    <row r="56" spans="1:26" ht="14">
      <c r="A56" s="1461" t="s">
        <v>1184</v>
      </c>
      <c r="B56" s="1477">
        <f t="shared" si="38"/>
        <v>168.82017748715555</v>
      </c>
      <c r="C56" s="1477">
        <f t="shared" si="38"/>
        <v>148.06267029972753</v>
      </c>
      <c r="D56" s="1477">
        <f t="shared" si="18"/>
        <v>148.06267029972753</v>
      </c>
      <c r="E56" s="1477">
        <f t="shared" si="39"/>
        <v>216.46288379323747</v>
      </c>
      <c r="F56" s="1477">
        <f t="shared" si="39"/>
        <v>134.23529411764704</v>
      </c>
      <c r="G56" s="3314">
        <v>2007</v>
      </c>
      <c r="H56" s="1465">
        <v>2</v>
      </c>
      <c r="I56" s="1465">
        <v>3.67</v>
      </c>
      <c r="J56" s="1465">
        <v>2.3199999999999998</v>
      </c>
      <c r="K56" s="1465">
        <v>5.0199999999999996</v>
      </c>
      <c r="L56" s="1479">
        <v>6.71</v>
      </c>
      <c r="N56" s="1524">
        <f t="shared" si="36"/>
        <v>3.0339138143848032E-2</v>
      </c>
      <c r="O56" s="1525">
        <f t="shared" si="36"/>
        <v>2.0922341588790472E-2</v>
      </c>
      <c r="P56" s="1525">
        <f t="shared" si="37"/>
        <v>5.6164796592717003E-2</v>
      </c>
      <c r="Q56" s="1525">
        <f t="shared" si="37"/>
        <v>6.5704536723887319E-2</v>
      </c>
      <c r="R56" s="1474"/>
      <c r="S56" s="1472"/>
      <c r="T56" s="1473"/>
      <c r="U56" s="1473"/>
      <c r="V56" s="1473"/>
      <c r="X56" s="1526"/>
      <c r="Y56" s="1526"/>
      <c r="Z56" s="1526"/>
    </row>
    <row r="57" spans="1:26" ht="14">
      <c r="A57" s="1461" t="s">
        <v>1185</v>
      </c>
      <c r="B57" s="1477">
        <f t="shared" si="38"/>
        <v>163.84913591779542</v>
      </c>
      <c r="C57" s="1477">
        <f t="shared" si="38"/>
        <v>145.0283378746594</v>
      </c>
      <c r="D57" s="1477">
        <f t="shared" si="18"/>
        <v>145.0283378746594</v>
      </c>
      <c r="E57" s="1477">
        <f t="shared" si="39"/>
        <v>204.95180722891567</v>
      </c>
      <c r="F57" s="1477">
        <f t="shared" si="39"/>
        <v>125.95920303605313</v>
      </c>
      <c r="G57" s="3315">
        <v>2007</v>
      </c>
      <c r="H57" s="1464">
        <v>1</v>
      </c>
      <c r="I57" s="1464">
        <v>3.58</v>
      </c>
      <c r="J57" s="1464">
        <v>3.08</v>
      </c>
      <c r="K57" s="1464">
        <v>4.34</v>
      </c>
      <c r="L57" s="1478">
        <v>3.21</v>
      </c>
      <c r="N57" s="1527">
        <f t="shared" si="36"/>
        <v>3.0497710174814063E-2</v>
      </c>
      <c r="O57" s="1528">
        <f t="shared" si="36"/>
        <v>2.8569772160704998E-2</v>
      </c>
      <c r="P57" s="1528">
        <f t="shared" si="37"/>
        <v>5.1034908866234296E-2</v>
      </c>
      <c r="Q57" s="1528">
        <f t="shared" si="37"/>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5" thickBot="1">
      <c r="A58" s="1461" t="s">
        <v>1186</v>
      </c>
      <c r="B58" s="1490">
        <v>159</v>
      </c>
      <c r="C58" s="1490">
        <v>141</v>
      </c>
      <c r="D58" s="1490">
        <f t="shared" si="18"/>
        <v>141</v>
      </c>
      <c r="E58" s="1490">
        <v>195</v>
      </c>
      <c r="F58" s="1491">
        <v>122</v>
      </c>
      <c r="G58" s="3313">
        <v>2006</v>
      </c>
      <c r="H58" s="1482">
        <v>4</v>
      </c>
      <c r="I58" s="1482">
        <v>3.79</v>
      </c>
      <c r="J58" s="1482">
        <v>2.21</v>
      </c>
      <c r="K58" s="1482">
        <v>5.65</v>
      </c>
      <c r="L58" s="1483">
        <v>5.41</v>
      </c>
      <c r="N58" s="1524">
        <f t="shared" ref="N58:O61" si="40">I58/SUM(I$58:I$61)*(B$58/B$62-1)</f>
        <v>7.245466462748526E-2</v>
      </c>
      <c r="O58" s="1525">
        <f t="shared" si="40"/>
        <v>2.3237230038062766E-2</v>
      </c>
      <c r="P58" s="1525">
        <f t="shared" ref="P58:Q61" si="41">K58/SUM(K$58:K$61)*(E$58/E$62-1)</f>
        <v>0.16146893866323722</v>
      </c>
      <c r="Q58" s="1525">
        <f t="shared" si="41"/>
        <v>5.0755230321793784E-2</v>
      </c>
      <c r="R58" s="1474"/>
      <c r="S58" s="1475"/>
      <c r="T58" s="1476"/>
      <c r="U58" s="1476"/>
      <c r="V58" s="1476"/>
      <c r="X58" s="1526"/>
      <c r="Y58" s="1526"/>
      <c r="Z58" s="1526"/>
    </row>
    <row r="59" spans="1:26" ht="14">
      <c r="A59" s="1461" t="s">
        <v>1187</v>
      </c>
      <c r="B59" s="1477">
        <f t="shared" ref="B59:C61" si="42">B60+(B$58-B$62)*I59/SUM(I$58:I$61)</f>
        <v>149.00125628140702</v>
      </c>
      <c r="C59" s="1477">
        <f t="shared" si="42"/>
        <v>137.95592286501378</v>
      </c>
      <c r="D59" s="1477">
        <f t="shared" si="18"/>
        <v>137.95592286501378</v>
      </c>
      <c r="E59" s="1477">
        <f t="shared" ref="E59:F61" si="43">E60+(E$58-E$62)*K59/SUM(K$58:K$61)</f>
        <v>169.97231450719823</v>
      </c>
      <c r="F59" s="1477">
        <f t="shared" si="43"/>
        <v>116.21390374331551</v>
      </c>
      <c r="G59" s="3314">
        <v>2006</v>
      </c>
      <c r="H59" s="1487">
        <v>3</v>
      </c>
      <c r="I59" s="1487">
        <v>0.92</v>
      </c>
      <c r="J59" s="1487">
        <v>1.08</v>
      </c>
      <c r="K59" s="1487">
        <v>0.73</v>
      </c>
      <c r="L59" s="1488">
        <v>1.08</v>
      </c>
      <c r="N59" s="1524">
        <f t="shared" si="40"/>
        <v>1.7587939698492462E-2</v>
      </c>
      <c r="O59" s="1525">
        <f t="shared" si="40"/>
        <v>1.1355750425840628E-2</v>
      </c>
      <c r="P59" s="1525">
        <f t="shared" si="41"/>
        <v>2.0862358446754544E-2</v>
      </c>
      <c r="Q59" s="1525">
        <f t="shared" si="41"/>
        <v>1.0132282578103011E-2</v>
      </c>
      <c r="R59" s="1474"/>
      <c r="S59" s="1472"/>
      <c r="T59" s="1473"/>
      <c r="U59" s="1473"/>
      <c r="V59" s="1473"/>
      <c r="X59" s="1526"/>
      <c r="Y59" s="1526"/>
      <c r="Z59" s="1526"/>
    </row>
    <row r="60" spans="1:26" ht="14">
      <c r="A60" s="1461" t="s">
        <v>1188</v>
      </c>
      <c r="B60" s="1477">
        <f t="shared" si="42"/>
        <v>146.57412060301507</v>
      </c>
      <c r="C60" s="1477">
        <f t="shared" si="42"/>
        <v>136.46831955922866</v>
      </c>
      <c r="D60" s="1477">
        <f t="shared" si="18"/>
        <v>136.46831955922866</v>
      </c>
      <c r="E60" s="1477">
        <f t="shared" si="43"/>
        <v>166.73864894795128</v>
      </c>
      <c r="F60" s="1477">
        <f t="shared" si="43"/>
        <v>115.05882352941177</v>
      </c>
      <c r="G60" s="3314">
        <v>2006</v>
      </c>
      <c r="H60" s="1465">
        <v>2</v>
      </c>
      <c r="I60" s="1465">
        <v>0.96</v>
      </c>
      <c r="J60" s="1465">
        <v>0.25</v>
      </c>
      <c r="K60" s="1465">
        <v>1.9</v>
      </c>
      <c r="L60" s="1479">
        <v>0.95</v>
      </c>
      <c r="N60" s="1524">
        <f t="shared" si="40"/>
        <v>1.8352632728861701E-2</v>
      </c>
      <c r="O60" s="1525">
        <f t="shared" si="40"/>
        <v>2.6286459319075526E-3</v>
      </c>
      <c r="P60" s="1525">
        <f t="shared" si="41"/>
        <v>5.4299289107991269E-2</v>
      </c>
      <c r="Q60" s="1525">
        <f t="shared" si="41"/>
        <v>8.9126559714794995E-3</v>
      </c>
      <c r="R60" s="1474"/>
      <c r="S60" s="1472"/>
      <c r="T60" s="1473"/>
      <c r="U60" s="1473"/>
      <c r="V60" s="1473"/>
      <c r="X60" s="1526"/>
      <c r="Y60" s="1526"/>
      <c r="Z60" s="1526"/>
    </row>
    <row r="61" spans="1:26" ht="14">
      <c r="A61" s="1461" t="s">
        <v>1189</v>
      </c>
      <c r="B61" s="1477">
        <f t="shared" si="42"/>
        <v>144.04145728643215</v>
      </c>
      <c r="C61" s="1477">
        <f t="shared" si="42"/>
        <v>136.12396694214877</v>
      </c>
      <c r="D61" s="1477">
        <f t="shared" si="18"/>
        <v>136.12396694214877</v>
      </c>
      <c r="E61" s="1477">
        <f t="shared" si="43"/>
        <v>158.32225913621264</v>
      </c>
      <c r="F61" s="1477">
        <f t="shared" si="43"/>
        <v>114.04278074866311</v>
      </c>
      <c r="G61" s="3315">
        <v>2006</v>
      </c>
      <c r="H61" s="1464">
        <v>1</v>
      </c>
      <c r="I61" s="1464">
        <v>2.29</v>
      </c>
      <c r="J61" s="1464">
        <v>3.72</v>
      </c>
      <c r="K61" s="1464">
        <v>0.75</v>
      </c>
      <c r="L61" s="1478">
        <v>0.04</v>
      </c>
      <c r="N61" s="1527">
        <f t="shared" si="40"/>
        <v>4.3778675988638847E-2</v>
      </c>
      <c r="O61" s="1528">
        <f t="shared" si="40"/>
        <v>3.9114251466784385E-2</v>
      </c>
      <c r="P61" s="1528">
        <f t="shared" si="41"/>
        <v>2.1433929911049188E-2</v>
      </c>
      <c r="Q61" s="1528">
        <f t="shared" si="41"/>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5" thickBot="1">
      <c r="A62" s="1461" t="s">
        <v>1190</v>
      </c>
      <c r="B62" s="1490">
        <v>138</v>
      </c>
      <c r="C62" s="1490">
        <v>131</v>
      </c>
      <c r="D62" s="1490">
        <f t="shared" si="18"/>
        <v>131</v>
      </c>
      <c r="E62" s="1490">
        <v>155</v>
      </c>
      <c r="F62" s="1491">
        <v>114</v>
      </c>
      <c r="G62" s="3313">
        <v>2005</v>
      </c>
      <c r="H62" s="1482">
        <v>4</v>
      </c>
      <c r="I62" s="1482">
        <v>3.29</v>
      </c>
      <c r="J62" s="1482">
        <v>1.44</v>
      </c>
      <c r="K62" s="1482">
        <v>0.66</v>
      </c>
      <c r="L62" s="1483">
        <v>7.78</v>
      </c>
      <c r="N62" s="1524">
        <f t="shared" ref="N62:O65" si="44">I62/SUM(I$62:I$65)*(B$62/B$66-1)</f>
        <v>9.9404603216919935E-2</v>
      </c>
      <c r="O62" s="1525">
        <f t="shared" si="44"/>
        <v>4.7636550760861554E-2</v>
      </c>
      <c r="P62" s="1525">
        <f t="shared" ref="P62:Q65" si="45">K62/SUM(K$62:K$65)*(E$62/E$66-1)</f>
        <v>8.3756345177664976E-2</v>
      </c>
      <c r="Q62" s="1525">
        <f t="shared" si="45"/>
        <v>5.2148766661559584E-2</v>
      </c>
      <c r="R62" s="1474"/>
      <c r="S62" s="1475"/>
      <c r="T62" s="1476"/>
      <c r="U62" s="1476"/>
      <c r="V62" s="1476"/>
      <c r="X62" s="1526"/>
      <c r="Y62" s="1526"/>
      <c r="Z62" s="1526"/>
    </row>
    <row r="63" spans="1:26" ht="14">
      <c r="A63" s="1461" t="s">
        <v>1191</v>
      </c>
      <c r="B63" s="1477">
        <f t="shared" ref="B63:C65" si="46">B64+(B$62-B$66)*I63/SUM(I$62:I$65)</f>
        <v>125.9720430107527</v>
      </c>
      <c r="C63" s="1477">
        <f t="shared" si="46"/>
        <v>125.1883408071749</v>
      </c>
      <c r="D63" s="1477">
        <f t="shared" si="18"/>
        <v>125.1883408071749</v>
      </c>
      <c r="E63" s="1477">
        <f t="shared" ref="E63:F65" si="47">E64+(E$62-E$66)*K63/SUM(K$62:K$65)</f>
        <v>144.61421319796952</v>
      </c>
      <c r="F63" s="1477">
        <f t="shared" si="47"/>
        <v>108.42008196721311</v>
      </c>
      <c r="G63" s="3314">
        <v>2005</v>
      </c>
      <c r="H63" s="1487">
        <v>3</v>
      </c>
      <c r="I63" s="1487">
        <v>0.46</v>
      </c>
      <c r="J63" s="1487">
        <v>0.32</v>
      </c>
      <c r="K63" s="1487">
        <v>0.42</v>
      </c>
      <c r="L63" s="1488">
        <v>0.64</v>
      </c>
      <c r="N63" s="1524">
        <f t="shared" si="44"/>
        <v>1.3898515951301874E-2</v>
      </c>
      <c r="O63" s="1525">
        <f t="shared" si="44"/>
        <v>1.0585900169080346E-2</v>
      </c>
      <c r="P63" s="1525">
        <f t="shared" si="45"/>
        <v>5.3299492385786795E-2</v>
      </c>
      <c r="Q63" s="1525">
        <f t="shared" si="45"/>
        <v>4.2898728359123568E-3</v>
      </c>
      <c r="R63" s="1474"/>
      <c r="S63" s="1472"/>
      <c r="T63" s="1473"/>
      <c r="U63" s="1473"/>
      <c r="V63" s="1473"/>
      <c r="X63" s="1526"/>
      <c r="Y63" s="1526"/>
      <c r="Z63" s="1526"/>
    </row>
    <row r="64" spans="1:26" ht="14">
      <c r="A64" s="1461" t="s">
        <v>1192</v>
      </c>
      <c r="B64" s="1477">
        <f t="shared" si="46"/>
        <v>124.29032258064517</v>
      </c>
      <c r="C64" s="1477">
        <f t="shared" si="46"/>
        <v>123.8968609865471</v>
      </c>
      <c r="D64" s="1477">
        <f t="shared" si="18"/>
        <v>123.8968609865471</v>
      </c>
      <c r="E64" s="1477">
        <f t="shared" si="47"/>
        <v>138.00507614213197</v>
      </c>
      <c r="F64" s="1477">
        <f t="shared" si="47"/>
        <v>107.96106557377048</v>
      </c>
      <c r="G64" s="3314">
        <v>2005</v>
      </c>
      <c r="H64" s="1465">
        <v>2</v>
      </c>
      <c r="I64" s="1465">
        <v>0.47</v>
      </c>
      <c r="J64" s="1465">
        <v>0.1</v>
      </c>
      <c r="K64" s="1465">
        <v>0.52</v>
      </c>
      <c r="L64" s="1479">
        <v>0.79</v>
      </c>
      <c r="N64" s="1524">
        <f t="shared" si="44"/>
        <v>1.420065760241713E-2</v>
      </c>
      <c r="O64" s="1525">
        <f t="shared" si="44"/>
        <v>3.3080938028376083E-3</v>
      </c>
      <c r="P64" s="1525">
        <f t="shared" si="45"/>
        <v>6.598984771573603E-2</v>
      </c>
      <c r="Q64" s="1525">
        <f t="shared" si="45"/>
        <v>5.2953117818293153E-3</v>
      </c>
      <c r="R64" s="1474"/>
      <c r="S64" s="1472"/>
      <c r="T64" s="1473"/>
      <c r="U64" s="1473"/>
      <c r="V64" s="1473"/>
      <c r="X64" s="1526"/>
      <c r="Y64" s="1526"/>
      <c r="Z64" s="1526"/>
    </row>
    <row r="65" spans="1:26" ht="14">
      <c r="A65" s="1461" t="s">
        <v>1193</v>
      </c>
      <c r="B65" s="1477">
        <f t="shared" si="46"/>
        <v>122.57204301075269</v>
      </c>
      <c r="C65" s="1477">
        <f t="shared" si="46"/>
        <v>123.4932735426009</v>
      </c>
      <c r="D65" s="1477">
        <f t="shared" si="18"/>
        <v>123.4932735426009</v>
      </c>
      <c r="E65" s="1477">
        <f t="shared" si="47"/>
        <v>129.82233502538071</v>
      </c>
      <c r="F65" s="1477">
        <f t="shared" si="47"/>
        <v>107.39446721311475</v>
      </c>
      <c r="G65" s="3315">
        <v>2005</v>
      </c>
      <c r="H65" s="1464">
        <v>1</v>
      </c>
      <c r="I65" s="1464">
        <v>0.43</v>
      </c>
      <c r="J65" s="1464">
        <v>0.37</v>
      </c>
      <c r="K65" s="1464">
        <v>0.37</v>
      </c>
      <c r="L65" s="1478">
        <v>0.55000000000000004</v>
      </c>
      <c r="N65" s="1527">
        <f t="shared" si="44"/>
        <v>1.2992090997956099E-2</v>
      </c>
      <c r="O65" s="1528">
        <f t="shared" si="44"/>
        <v>1.2239947070499151E-2</v>
      </c>
      <c r="P65" s="1528">
        <f t="shared" si="45"/>
        <v>4.6954314720812178E-2</v>
      </c>
      <c r="Q65" s="1528">
        <f t="shared" si="45"/>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5" thickBot="1">
      <c r="A66" s="1461" t="s">
        <v>1194</v>
      </c>
      <c r="B66" s="1511">
        <v>121</v>
      </c>
      <c r="C66" s="1511">
        <v>122</v>
      </c>
      <c r="D66" s="1511">
        <f t="shared" si="18"/>
        <v>122</v>
      </c>
      <c r="E66" s="1511">
        <v>124</v>
      </c>
      <c r="F66" s="1512">
        <v>107</v>
      </c>
      <c r="G66" s="3313">
        <v>2004</v>
      </c>
      <c r="H66" s="1482">
        <v>4</v>
      </c>
      <c r="I66" s="1482">
        <v>0.33</v>
      </c>
      <c r="J66" s="1482">
        <v>0.5</v>
      </c>
      <c r="K66" s="1482">
        <v>0.5</v>
      </c>
      <c r="L66" s="1483">
        <v>0</v>
      </c>
      <c r="N66" s="1524">
        <f t="shared" ref="N66:O69" si="48">I66/SUM(I$66:I$69)*(B$66/B$70-1)</f>
        <v>1.3391770148526898E-2</v>
      </c>
      <c r="O66" s="1525">
        <f t="shared" si="48"/>
        <v>1.063264221158958E-2</v>
      </c>
      <c r="P66" s="1525">
        <f t="shared" ref="P66:Q69" si="49">K66/SUM(K$66:K$69)*(E$66/E$70-1)</f>
        <v>2.2244466688911134E-2</v>
      </c>
      <c r="Q66" s="1525">
        <f t="shared" si="49"/>
        <v>0</v>
      </c>
      <c r="R66" s="1474"/>
      <c r="S66" s="1475"/>
      <c r="T66" s="1476"/>
      <c r="U66" s="1476"/>
      <c r="V66" s="1476"/>
      <c r="X66" s="1526"/>
      <c r="Y66" s="1526"/>
      <c r="Z66" s="1526"/>
    </row>
    <row r="67" spans="1:26" ht="14">
      <c r="A67" s="1461" t="s">
        <v>1195</v>
      </c>
      <c r="B67" s="1477">
        <f t="shared" ref="B67:C69" si="50">B68+(B$66-B$70)*I67/SUM(I$66:I$69)</f>
        <v>119.51351351351352</v>
      </c>
      <c r="C67" s="1477">
        <f t="shared" si="50"/>
        <v>120.7878787878788</v>
      </c>
      <c r="D67" s="1477">
        <f t="shared" si="18"/>
        <v>120.7878787878788</v>
      </c>
      <c r="E67" s="1477">
        <f t="shared" ref="E67:F69" si="51">E68+(E$66-E$70)*K67/SUM(K$66:K$69)</f>
        <v>121.5975975975976</v>
      </c>
      <c r="F67" s="1477">
        <f t="shared" si="51"/>
        <v>107</v>
      </c>
      <c r="G67" s="3314">
        <v>2004</v>
      </c>
      <c r="H67" s="1487">
        <v>3</v>
      </c>
      <c r="I67" s="1487">
        <v>0.56000000000000005</v>
      </c>
      <c r="J67" s="1487">
        <v>0.8</v>
      </c>
      <c r="K67" s="1487">
        <v>0.83</v>
      </c>
      <c r="L67" s="1488">
        <v>0.06</v>
      </c>
      <c r="N67" s="1524">
        <f t="shared" si="48"/>
        <v>2.2725428130833527E-2</v>
      </c>
      <c r="O67" s="1525">
        <f t="shared" si="48"/>
        <v>1.7012227538543329E-2</v>
      </c>
      <c r="P67" s="1525">
        <f t="shared" si="49"/>
        <v>3.6925814703592477E-2</v>
      </c>
      <c r="Q67" s="1525">
        <f t="shared" si="49"/>
        <v>2.8846153846153744E-2</v>
      </c>
      <c r="R67" s="1474"/>
      <c r="S67" s="1472"/>
      <c r="T67" s="1473"/>
      <c r="U67" s="1473"/>
      <c r="V67" s="1473"/>
      <c r="X67" s="1526"/>
      <c r="Y67" s="1526"/>
      <c r="Z67" s="1526"/>
    </row>
    <row r="68" spans="1:26" ht="14">
      <c r="A68" s="1461" t="s">
        <v>1196</v>
      </c>
      <c r="B68" s="1477">
        <f t="shared" si="50"/>
        <v>116.99099099099099</v>
      </c>
      <c r="C68" s="1477">
        <f t="shared" si="50"/>
        <v>118.84848484848486</v>
      </c>
      <c r="D68" s="1477">
        <f t="shared" si="18"/>
        <v>118.84848484848486</v>
      </c>
      <c r="E68" s="1477">
        <f t="shared" si="51"/>
        <v>117.60960960960961</v>
      </c>
      <c r="F68" s="1477">
        <f t="shared" si="51"/>
        <v>104</v>
      </c>
      <c r="G68" s="3314">
        <v>2004</v>
      </c>
      <c r="H68" s="1465">
        <v>2</v>
      </c>
      <c r="I68" s="1465">
        <v>1</v>
      </c>
      <c r="J68" s="1465">
        <v>1.5</v>
      </c>
      <c r="K68" s="1465">
        <v>1.5</v>
      </c>
      <c r="L68" s="1479">
        <v>0</v>
      </c>
      <c r="N68" s="1524">
        <f t="shared" si="48"/>
        <v>4.0581121662202721E-2</v>
      </c>
      <c r="O68" s="1525">
        <f t="shared" si="48"/>
        <v>3.1897926634768738E-2</v>
      </c>
      <c r="P68" s="1525">
        <f t="shared" si="49"/>
        <v>6.6733400066733395E-2</v>
      </c>
      <c r="Q68" s="1525">
        <f t="shared" si="49"/>
        <v>0</v>
      </c>
      <c r="R68" s="1474"/>
      <c r="S68" s="1472"/>
      <c r="T68" s="1473"/>
      <c r="U68" s="1473"/>
      <c r="V68" s="1473"/>
      <c r="X68" s="1526"/>
      <c r="Y68" s="1526"/>
      <c r="Z68" s="1526"/>
    </row>
    <row r="69" spans="1:26" s="1517" customFormat="1" ht="15" thickBot="1">
      <c r="A69" s="1461" t="s">
        <v>1197</v>
      </c>
      <c r="B69" s="1514">
        <f t="shared" si="50"/>
        <v>112.48648648648648</v>
      </c>
      <c r="C69" s="1514">
        <f t="shared" si="50"/>
        <v>115.21212121212122</v>
      </c>
      <c r="D69" s="1514">
        <f t="shared" si="18"/>
        <v>115.21212121212122</v>
      </c>
      <c r="E69" s="1514">
        <f t="shared" si="51"/>
        <v>110.4024024024024</v>
      </c>
      <c r="F69" s="1514">
        <f t="shared" si="51"/>
        <v>104</v>
      </c>
      <c r="G69" s="3315">
        <v>2004</v>
      </c>
      <c r="H69" s="1515">
        <v>1</v>
      </c>
      <c r="I69" s="1515">
        <v>0.33</v>
      </c>
      <c r="J69" s="1515">
        <v>0.5</v>
      </c>
      <c r="K69" s="1515">
        <v>0.5</v>
      </c>
      <c r="L69" s="1516">
        <v>0</v>
      </c>
      <c r="N69" s="1529">
        <f t="shared" si="48"/>
        <v>1.3391770148526898E-2</v>
      </c>
      <c r="O69" s="1530">
        <f t="shared" si="48"/>
        <v>1.063264221158958E-2</v>
      </c>
      <c r="P69" s="1530">
        <f t="shared" si="49"/>
        <v>2.2244466688911134E-2</v>
      </c>
      <c r="Q69" s="1530">
        <f t="shared" si="49"/>
        <v>0</v>
      </c>
      <c r="R69" s="1520"/>
      <c r="S69" s="1518">
        <f>B69/B70-1</f>
        <v>1.3391770148526883E-2</v>
      </c>
      <c r="T69" s="1519">
        <f>C69/C70-1</f>
        <v>1.063264221158966E-2</v>
      </c>
      <c r="U69" s="1519">
        <f>E69/E70-1</f>
        <v>2.2244466688911224E-2</v>
      </c>
      <c r="V69" s="1519">
        <f>F69/F70-1</f>
        <v>0</v>
      </c>
      <c r="X69" s="1531"/>
      <c r="Y69" s="1531"/>
      <c r="Z69" s="1531"/>
    </row>
    <row r="70" spans="1:26" ht="15" thickBot="1">
      <c r="A70" s="1461" t="s">
        <v>1198</v>
      </c>
      <c r="B70" s="1532">
        <v>111</v>
      </c>
      <c r="C70" s="1532">
        <v>114</v>
      </c>
      <c r="D70" s="1532">
        <f t="shared" si="18"/>
        <v>114</v>
      </c>
      <c r="E70" s="1532">
        <v>108</v>
      </c>
      <c r="F70" s="1533">
        <v>104</v>
      </c>
      <c r="G70" s="3313">
        <v>2003</v>
      </c>
      <c r="H70" s="1522">
        <v>4</v>
      </c>
      <c r="I70" s="1534"/>
      <c r="J70" s="1534"/>
      <c r="K70" s="1534"/>
      <c r="L70" s="1534"/>
      <c r="N70" s="1535"/>
      <c r="O70" s="1534"/>
      <c r="P70" s="1534"/>
      <c r="Q70" s="1534"/>
      <c r="S70" s="1535"/>
      <c r="T70" s="1534"/>
      <c r="U70" s="1534"/>
      <c r="V70" s="1534"/>
      <c r="X70" s="1526"/>
      <c r="Y70" s="1526"/>
      <c r="Z70" s="1526"/>
    </row>
    <row r="71" spans="1:26" ht="14">
      <c r="A71" s="1461" t="s">
        <v>1199</v>
      </c>
      <c r="B71" s="1536">
        <f t="shared" ref="B71:C73" si="52">B72+(B$70-B$74)/4</f>
        <v>109.75</v>
      </c>
      <c r="C71" s="1536">
        <f t="shared" si="52"/>
        <v>112.25</v>
      </c>
      <c r="D71" s="1536">
        <f t="shared" si="18"/>
        <v>112.25</v>
      </c>
      <c r="E71" s="1536">
        <f t="shared" ref="E71:F73" si="53">E72+(E$70-E$74)/4</f>
        <v>107.25</v>
      </c>
      <c r="F71" s="1536">
        <f t="shared" si="53"/>
        <v>103.5</v>
      </c>
      <c r="G71" s="3314">
        <v>2003</v>
      </c>
      <c r="H71" s="1487">
        <v>3</v>
      </c>
      <c r="I71" s="1534"/>
      <c r="J71" s="1534"/>
      <c r="K71" s="1534"/>
      <c r="L71" s="1534"/>
      <c r="X71" s="1526"/>
      <c r="Y71" s="1526"/>
      <c r="Z71" s="1526"/>
    </row>
    <row r="72" spans="1:26" ht="14">
      <c r="A72" s="1461" t="s">
        <v>1200</v>
      </c>
      <c r="B72" s="1536">
        <f t="shared" si="52"/>
        <v>108.5</v>
      </c>
      <c r="C72" s="1536">
        <f t="shared" si="52"/>
        <v>110.5</v>
      </c>
      <c r="D72" s="1536">
        <f t="shared" si="18"/>
        <v>110.5</v>
      </c>
      <c r="E72" s="1536">
        <f t="shared" si="53"/>
        <v>106.5</v>
      </c>
      <c r="F72" s="1536">
        <f t="shared" si="53"/>
        <v>103</v>
      </c>
      <c r="G72" s="3314">
        <v>2003</v>
      </c>
      <c r="H72" s="1465">
        <v>2</v>
      </c>
      <c r="I72" s="1534"/>
      <c r="J72" s="1534"/>
      <c r="K72" s="1534"/>
      <c r="L72" s="1534"/>
      <c r="X72" s="1526"/>
      <c r="Y72" s="1526"/>
      <c r="Z72" s="1526"/>
    </row>
    <row r="73" spans="1:26" ht="15" thickBot="1">
      <c r="A73" s="1461" t="s">
        <v>1201</v>
      </c>
      <c r="B73" s="1536">
        <f t="shared" si="52"/>
        <v>107.25</v>
      </c>
      <c r="C73" s="1536">
        <f t="shared" si="52"/>
        <v>108.75</v>
      </c>
      <c r="D73" s="1536">
        <f t="shared" si="18"/>
        <v>108.75</v>
      </c>
      <c r="E73" s="1536">
        <f t="shared" si="53"/>
        <v>105.75</v>
      </c>
      <c r="F73" s="1536">
        <f t="shared" si="53"/>
        <v>102.5</v>
      </c>
      <c r="G73" s="3315">
        <v>2003</v>
      </c>
      <c r="H73" s="1537">
        <v>1</v>
      </c>
      <c r="I73" s="1534"/>
      <c r="J73" s="1534"/>
      <c r="K73" s="1534"/>
      <c r="L73" s="1534"/>
      <c r="S73" s="1472"/>
      <c r="T73" s="1473"/>
      <c r="U73" s="1473"/>
      <c r="X73" s="1526"/>
      <c r="Y73" s="1526"/>
      <c r="Z73" s="1526"/>
    </row>
    <row r="74" spans="1:26" ht="15" thickBot="1">
      <c r="A74" s="1461" t="s">
        <v>1202</v>
      </c>
      <c r="B74" s="1538">
        <v>106</v>
      </c>
      <c r="C74" s="1538">
        <v>107</v>
      </c>
      <c r="D74" s="1538">
        <f t="shared" si="18"/>
        <v>107</v>
      </c>
      <c r="E74" s="1538">
        <v>105</v>
      </c>
      <c r="F74" s="1539">
        <v>102</v>
      </c>
      <c r="G74" s="3313">
        <v>2002</v>
      </c>
      <c r="H74" s="1482">
        <v>4</v>
      </c>
      <c r="I74" s="1534"/>
      <c r="J74" s="1534"/>
      <c r="K74" s="1534"/>
      <c r="L74" s="1534"/>
      <c r="N74" s="1535"/>
      <c r="O74" s="1534"/>
      <c r="P74" s="1534"/>
      <c r="Q74" s="1534"/>
      <c r="S74" s="1535"/>
      <c r="T74" s="1534"/>
      <c r="U74" s="1534"/>
      <c r="V74" s="1534"/>
      <c r="X74" s="1526"/>
      <c r="Y74" s="1526"/>
      <c r="Z74" s="1526"/>
    </row>
    <row r="75" spans="1:26" ht="14">
      <c r="A75" s="1461" t="s">
        <v>1203</v>
      </c>
      <c r="B75" s="1536">
        <f t="shared" ref="B75:C77" si="54">B76+(B$74-B$78)/4</f>
        <v>105</v>
      </c>
      <c r="C75" s="1536">
        <f t="shared" si="54"/>
        <v>106</v>
      </c>
      <c r="D75" s="1536">
        <f t="shared" si="18"/>
        <v>106</v>
      </c>
      <c r="E75" s="1536">
        <f t="shared" ref="E75:F77" si="55">E76+(E$74-E$78)/4</f>
        <v>104.5</v>
      </c>
      <c r="F75" s="1536">
        <f t="shared" si="55"/>
        <v>101.5</v>
      </c>
      <c r="G75" s="3314">
        <v>2002</v>
      </c>
      <c r="H75" s="1487">
        <v>3</v>
      </c>
      <c r="I75" s="1534"/>
      <c r="J75" s="1534"/>
      <c r="K75" s="1534"/>
      <c r="L75" s="1534"/>
      <c r="X75" s="1526"/>
      <c r="Y75" s="1526"/>
      <c r="Z75" s="1526"/>
    </row>
    <row r="76" spans="1:26" ht="14">
      <c r="A76" s="1461" t="s">
        <v>1204</v>
      </c>
      <c r="B76" s="1536">
        <f t="shared" si="54"/>
        <v>104</v>
      </c>
      <c r="C76" s="1536">
        <f t="shared" si="54"/>
        <v>105</v>
      </c>
      <c r="D76" s="1536">
        <f t="shared" si="18"/>
        <v>105</v>
      </c>
      <c r="E76" s="1536">
        <f t="shared" si="55"/>
        <v>104</v>
      </c>
      <c r="F76" s="1536">
        <f t="shared" si="55"/>
        <v>101</v>
      </c>
      <c r="G76" s="3314">
        <v>2002</v>
      </c>
      <c r="H76" s="1465">
        <v>2</v>
      </c>
      <c r="I76" s="1534"/>
      <c r="J76" s="1534"/>
      <c r="K76" s="1534"/>
      <c r="L76" s="1534"/>
      <c r="X76" s="1526"/>
      <c r="Y76" s="1526"/>
      <c r="Z76" s="1526"/>
    </row>
    <row r="77" spans="1:26" s="1498" customFormat="1" ht="15" thickBot="1">
      <c r="A77" s="1494" t="s">
        <v>1205</v>
      </c>
      <c r="B77" s="1540">
        <f t="shared" si="54"/>
        <v>103</v>
      </c>
      <c r="C77" s="1540">
        <f t="shared" si="54"/>
        <v>104</v>
      </c>
      <c r="D77" s="1540">
        <f t="shared" si="18"/>
        <v>104</v>
      </c>
      <c r="E77" s="1540">
        <f t="shared" si="55"/>
        <v>103.5</v>
      </c>
      <c r="F77" s="1540">
        <f t="shared" si="55"/>
        <v>100.5</v>
      </c>
      <c r="G77" s="3315">
        <v>2002</v>
      </c>
      <c r="H77" s="1541">
        <v>1</v>
      </c>
      <c r="I77" s="1542"/>
      <c r="J77" s="1542"/>
      <c r="K77" s="1542"/>
      <c r="L77" s="1542"/>
      <c r="N77" s="1543"/>
      <c r="S77" s="1543"/>
      <c r="X77" s="1544"/>
      <c r="Y77" s="1544"/>
      <c r="Z77" s="1544"/>
    </row>
    <row r="78" spans="1:26" ht="14" thickBot="1">
      <c r="B78" s="1545">
        <v>102</v>
      </c>
      <c r="C78" s="1546">
        <v>103</v>
      </c>
      <c r="D78" s="1546">
        <f t="shared" si="18"/>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ht="14">
      <c r="A80" s="1548" t="s">
        <v>1206</v>
      </c>
      <c r="G80" s="1550"/>
      <c r="N80" s="1550"/>
      <c r="S80" s="1550"/>
    </row>
    <row r="81" spans="1:22" s="1549" customFormat="1" ht="14">
      <c r="A81" s="1549" t="s">
        <v>1207</v>
      </c>
      <c r="G81" s="1550"/>
      <c r="N81" s="1550"/>
      <c r="S81" s="1550"/>
    </row>
    <row r="82" spans="1:22" s="1549" customFormat="1" ht="14">
      <c r="A82" s="1549" t="s">
        <v>1208</v>
      </c>
      <c r="G82" s="1550"/>
      <c r="I82" s="1551"/>
      <c r="J82" s="1551"/>
      <c r="K82" s="1551"/>
      <c r="L82" s="1551"/>
      <c r="N82" s="1552"/>
      <c r="O82" s="1551"/>
      <c r="P82" s="1551"/>
      <c r="Q82" s="1551"/>
      <c r="S82" s="1552"/>
      <c r="T82" s="1551"/>
      <c r="U82" s="1551"/>
      <c r="V82" s="1551"/>
    </row>
    <row r="83" spans="1:22" s="1549" customFormat="1" ht="14">
      <c r="A83" s="1549" t="s">
        <v>1209</v>
      </c>
      <c r="G83" s="1550"/>
      <c r="N83" s="1550"/>
      <c r="S83" s="1550"/>
    </row>
    <row r="90" spans="1:22" ht="14" thickBot="1"/>
    <row r="91" spans="1:22" ht="15">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4"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baseColWidth="10" defaultColWidth="9" defaultRowHeight="14"/>
  <cols>
    <col min="1" max="1" width="0.83203125" style="1959" customWidth="1"/>
    <col min="2" max="2" width="37.1640625" style="1959" customWidth="1"/>
    <col min="3" max="3" width="11.33203125" style="1959" customWidth="1"/>
    <col min="4" max="4" width="31.6640625" style="1959" customWidth="1"/>
    <col min="5" max="5" width="0.5" style="1959" customWidth="1"/>
    <col min="6" max="7" width="13" style="1959" customWidth="1"/>
    <col min="8" max="16384" width="9" style="1959"/>
  </cols>
  <sheetData>
    <row r="1" spans="1:5" ht="18">
      <c r="A1" s="1957" t="s">
        <v>1615</v>
      </c>
      <c r="B1" s="1958"/>
      <c r="C1" s="1958"/>
      <c r="D1" s="1958"/>
      <c r="E1" s="1958"/>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估价结果一览表（市场价值不需“结果表-1”）</v>
      </c>
      <c r="B3" s="2999"/>
      <c r="C3" s="2999"/>
      <c r="D3" s="2999"/>
      <c r="E3" s="2999"/>
    </row>
    <row r="4" spans="1:5" ht="19" thickBot="1">
      <c r="A4" s="1960"/>
      <c r="B4" s="2997" t="s">
        <v>1624</v>
      </c>
      <c r="C4" s="2997"/>
      <c r="D4" s="2997"/>
      <c r="E4" s="1960"/>
    </row>
    <row r="5" spans="1:5" ht="17" thickTop="1">
      <c r="A5" s="1958"/>
      <c r="B5" s="2995" t="s">
        <v>1616</v>
      </c>
      <c r="C5" s="1961" t="s">
        <v>1617</v>
      </c>
      <c r="D5" s="1040">
        <f ca="1">结果表!H101</f>
        <v>453051</v>
      </c>
      <c r="E5" s="1958"/>
    </row>
    <row r="6" spans="1:5" ht="17">
      <c r="A6" s="1958"/>
      <c r="B6" s="2995"/>
      <c r="C6" s="1961" t="s">
        <v>1618</v>
      </c>
      <c r="D6" s="1040" t="str">
        <f ca="1">NUMBERSTRING(INT(D5*10000),2)&amp;"元整"</f>
        <v>肆拾伍亿叁仟零伍拾壹万元整</v>
      </c>
      <c r="E6" s="1958"/>
    </row>
    <row r="7" spans="1:5" ht="16">
      <c r="A7" s="1958"/>
      <c r="B7" s="3000"/>
      <c r="C7" s="1962" t="s">
        <v>1619</v>
      </c>
      <c r="D7" s="1041" t="e">
        <f ca="1">结果表!H102</f>
        <v>#DIV/0!</v>
      </c>
      <c r="E7" s="1958"/>
    </row>
    <row r="8" spans="1:5" ht="16">
      <c r="A8" s="1958"/>
      <c r="B8" s="3001" t="str">
        <f>结果表!E103</f>
        <v>2.估价师知悉的法定优先受偿款</v>
      </c>
      <c r="C8" s="1963" t="s">
        <v>1620</v>
      </c>
      <c r="D8" s="1041">
        <f>结果表!H103</f>
        <v>0</v>
      </c>
      <c r="E8" s="1958"/>
    </row>
    <row r="9" spans="1:5" ht="17">
      <c r="A9" s="1958"/>
      <c r="B9" s="3003"/>
      <c r="C9" s="1961" t="s">
        <v>1618</v>
      </c>
      <c r="D9" s="1040" t="str">
        <f>NUMBERSTRING(INT(D8*10000),2)&amp;"元整"</f>
        <v>零元整</v>
      </c>
      <c r="E9" s="1958"/>
    </row>
    <row r="10" spans="1:5" ht="17">
      <c r="A10" s="1958"/>
      <c r="B10" s="1964" t="s">
        <v>1623</v>
      </c>
      <c r="C10" s="1965" t="s">
        <v>1621</v>
      </c>
      <c r="D10" s="1042">
        <f>结果表!H104</f>
        <v>0</v>
      </c>
      <c r="E10" s="1958"/>
    </row>
    <row r="11" spans="1:5" ht="17">
      <c r="A11" s="1958"/>
      <c r="B11" s="1964" t="s">
        <v>1625</v>
      </c>
      <c r="C11" s="1965" t="s">
        <v>1626</v>
      </c>
      <c r="D11" s="1042">
        <f>结果表!H105</f>
        <v>0</v>
      </c>
      <c r="E11" s="1958"/>
    </row>
    <row r="12" spans="1:5" ht="17">
      <c r="A12" s="1958"/>
      <c r="B12" s="1964" t="s">
        <v>1627</v>
      </c>
      <c r="C12" s="1965" t="s">
        <v>1626</v>
      </c>
      <c r="D12" s="1042">
        <f>结果表!H106</f>
        <v>0</v>
      </c>
      <c r="E12" s="1958"/>
    </row>
    <row r="13" spans="1:5" ht="16">
      <c r="A13" s="1958"/>
      <c r="B13" s="2994" t="str">
        <f>结果表!E107</f>
        <v>3.房地产抵押价值</v>
      </c>
      <c r="C13" s="1966" t="s">
        <v>1617</v>
      </c>
      <c r="D13" s="1043">
        <f ca="1">结果表!H107</f>
        <v>453051</v>
      </c>
      <c r="E13" s="1958"/>
    </row>
    <row r="14" spans="1:5" ht="17">
      <c r="A14" s="1958"/>
      <c r="B14" s="2995"/>
      <c r="C14" s="1961" t="s">
        <v>1618</v>
      </c>
      <c r="D14" s="1040" t="str">
        <f ca="1">NUMBERSTRING(INT(D13*10000),2)&amp;"元整"</f>
        <v>肆拾伍亿叁仟零伍拾壹万元整</v>
      </c>
      <c r="E14" s="1958"/>
    </row>
    <row r="15" spans="1:5" ht="16">
      <c r="A15" s="1958"/>
      <c r="B15" s="3000"/>
      <c r="C15" s="1962" t="s">
        <v>1628</v>
      </c>
      <c r="D15" s="1052">
        <f ca="1">结果表!H108</f>
        <v>52092</v>
      </c>
      <c r="E15" s="1958"/>
    </row>
    <row r="16" spans="1:5" ht="16">
      <c r="A16" s="1958"/>
      <c r="B16" s="3001" t="str">
        <f>结果表!E109</f>
        <v>——</v>
      </c>
      <c r="C16" s="1966" t="s">
        <v>1629</v>
      </c>
      <c r="D16" s="1967" t="str">
        <f>结果表!H109</f>
        <v>——</v>
      </c>
      <c r="E16" s="1958"/>
    </row>
    <row r="17" spans="1:5" ht="16">
      <c r="A17" s="1958"/>
      <c r="B17" s="3002"/>
      <c r="C17" s="1961" t="s">
        <v>1630</v>
      </c>
      <c r="D17" s="1040" t="e">
        <f>NUMBERSTRING(INT(D16*10000),2)&amp;"元整"</f>
        <v>#VALUE!</v>
      </c>
      <c r="E17" s="1958"/>
    </row>
    <row r="18" spans="1:5" ht="17">
      <c r="A18" s="1958"/>
      <c r="B18" s="3003"/>
      <c r="C18" s="1962" t="s">
        <v>1619</v>
      </c>
      <c r="D18" s="1052" t="str">
        <f>结果表!H110</f>
        <v>——</v>
      </c>
      <c r="E18" s="1958"/>
    </row>
    <row r="19" spans="1:5" ht="17">
      <c r="A19" s="1958"/>
      <c r="B19" s="2994" t="str">
        <f>结果表!E111</f>
        <v>——</v>
      </c>
      <c r="C19" s="1966" t="s">
        <v>1617</v>
      </c>
      <c r="D19" s="1041" t="str">
        <f>结果表!H111</f>
        <v>——</v>
      </c>
      <c r="E19" s="1958"/>
    </row>
    <row r="20" spans="1:5" ht="16">
      <c r="A20" s="1958"/>
      <c r="B20" s="2995"/>
      <c r="C20" s="1961" t="s">
        <v>1630</v>
      </c>
      <c r="D20" s="1040" t="e">
        <f>NUMBERSTRING(INT(D19*10000),2)&amp;"元整"</f>
        <v>#VALUE!</v>
      </c>
      <c r="E20" s="1958"/>
    </row>
    <row r="21" spans="1:5" ht="18" thickBot="1">
      <c r="A21" s="1958"/>
      <c r="B21" s="2996"/>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baseColWidth="10" defaultColWidth="9" defaultRowHeight="13"/>
  <cols>
    <col min="1" max="1" width="11.5" style="139"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325" t="s">
        <v>3004</v>
      </c>
      <c r="D1" s="3326"/>
      <c r="E1" s="3326"/>
      <c r="F1" s="3326"/>
      <c r="G1" s="3326"/>
      <c r="H1" s="3326"/>
      <c r="I1" s="3326"/>
      <c r="J1" s="3326"/>
      <c r="K1" s="3326"/>
      <c r="L1" s="3326"/>
      <c r="M1" s="3326"/>
      <c r="N1" s="3326"/>
      <c r="O1" s="3326"/>
      <c r="P1" s="3326"/>
      <c r="Q1" s="3326"/>
      <c r="R1" s="3326"/>
      <c r="S1" s="3327"/>
      <c r="T1" s="1204" t="s">
        <v>3005</v>
      </c>
    </row>
    <row r="2" spans="1:45" s="707" customFormat="1" ht="15">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4"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15">
      <c r="A5" s="1215"/>
      <c r="B5" s="1769" t="s">
        <v>3007</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4" thickBot="1">
      <c r="A6" s="1215"/>
      <c r="B6" s="1116"/>
      <c r="C6" s="1122">
        <v>100</v>
      </c>
      <c r="D6" s="1119">
        <f>C6-$T5</f>
        <v>100</v>
      </c>
      <c r="E6" s="1119">
        <f t="shared" ref="E6:S6" si="2">D6-$T5</f>
        <v>100</v>
      </c>
      <c r="F6" s="1715">
        <f t="shared" si="2"/>
        <v>100</v>
      </c>
      <c r="G6" s="1715">
        <f t="shared" si="2"/>
        <v>100</v>
      </c>
      <c r="H6" s="1715">
        <f t="shared" si="2"/>
        <v>100</v>
      </c>
      <c r="I6" s="1715">
        <f t="shared" si="2"/>
        <v>100</v>
      </c>
      <c r="J6" s="1715">
        <f t="shared" si="2"/>
        <v>100</v>
      </c>
      <c r="K6" s="1715">
        <f t="shared" si="2"/>
        <v>100</v>
      </c>
      <c r="L6" s="1715">
        <f t="shared" si="2"/>
        <v>100</v>
      </c>
      <c r="M6" s="1715">
        <f t="shared" si="2"/>
        <v>100</v>
      </c>
      <c r="N6" s="1715">
        <f t="shared" si="2"/>
        <v>100</v>
      </c>
      <c r="O6" s="1715">
        <f t="shared" si="2"/>
        <v>100</v>
      </c>
      <c r="P6" s="1715">
        <f t="shared" si="2"/>
        <v>100</v>
      </c>
      <c r="Q6" s="1715">
        <f t="shared" si="2"/>
        <v>100</v>
      </c>
      <c r="R6" s="1715">
        <f t="shared" si="2"/>
        <v>100</v>
      </c>
      <c r="S6" s="1715">
        <f t="shared" si="2"/>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15">
      <c r="A7" s="1215"/>
      <c r="B7" s="1770" t="s">
        <v>3008</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4" thickBot="1">
      <c r="A8" s="1215"/>
      <c r="B8" s="1116"/>
      <c r="C8" s="1122">
        <v>100</v>
      </c>
      <c r="D8" s="1119">
        <f>C8-$T7</f>
        <v>100</v>
      </c>
      <c r="E8" s="1119">
        <f t="shared" ref="E8:S8" si="3">D8-$T7</f>
        <v>100</v>
      </c>
      <c r="F8" s="1715">
        <f t="shared" si="3"/>
        <v>100</v>
      </c>
      <c r="G8" s="1715">
        <f t="shared" si="3"/>
        <v>100</v>
      </c>
      <c r="H8" s="1715">
        <f t="shared" si="3"/>
        <v>100</v>
      </c>
      <c r="I8" s="1715">
        <f t="shared" si="3"/>
        <v>100</v>
      </c>
      <c r="J8" s="1715">
        <f t="shared" si="3"/>
        <v>100</v>
      </c>
      <c r="K8" s="1715">
        <f t="shared" si="3"/>
        <v>100</v>
      </c>
      <c r="L8" s="1715">
        <f t="shared" si="3"/>
        <v>100</v>
      </c>
      <c r="M8" s="1715">
        <f t="shared" si="3"/>
        <v>100</v>
      </c>
      <c r="N8" s="1715">
        <f t="shared" si="3"/>
        <v>100</v>
      </c>
      <c r="O8" s="1715">
        <f t="shared" si="3"/>
        <v>100</v>
      </c>
      <c r="P8" s="1715">
        <f t="shared" si="3"/>
        <v>100</v>
      </c>
      <c r="Q8" s="1715">
        <f t="shared" si="3"/>
        <v>100</v>
      </c>
      <c r="R8" s="1715">
        <f t="shared" si="3"/>
        <v>100</v>
      </c>
      <c r="S8" s="1715">
        <f t="shared" si="3"/>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15">
      <c r="A9" s="1215"/>
      <c r="B9" s="1770" t="s">
        <v>3009</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4" thickBot="1">
      <c r="A10" s="1215"/>
      <c r="B10" s="1209"/>
      <c r="C10" s="1220">
        <v>100</v>
      </c>
      <c r="D10" s="1221">
        <f>C10-$T9</f>
        <v>100</v>
      </c>
      <c r="E10" s="1221">
        <f t="shared" ref="E10:S10" si="4">D10-$T9</f>
        <v>100</v>
      </c>
      <c r="F10" s="1725">
        <f t="shared" si="4"/>
        <v>100</v>
      </c>
      <c r="G10" s="1725">
        <f t="shared" si="4"/>
        <v>100</v>
      </c>
      <c r="H10" s="1725">
        <f t="shared" si="4"/>
        <v>100</v>
      </c>
      <c r="I10" s="1725">
        <f t="shared" si="4"/>
        <v>100</v>
      </c>
      <c r="J10" s="1725">
        <f t="shared" si="4"/>
        <v>100</v>
      </c>
      <c r="K10" s="1725">
        <f t="shared" si="4"/>
        <v>100</v>
      </c>
      <c r="L10" s="1725">
        <f t="shared" si="4"/>
        <v>100</v>
      </c>
      <c r="M10" s="1725">
        <f t="shared" si="4"/>
        <v>100</v>
      </c>
      <c r="N10" s="1725">
        <f t="shared" si="4"/>
        <v>100</v>
      </c>
      <c r="O10" s="1725">
        <f t="shared" si="4"/>
        <v>100</v>
      </c>
      <c r="P10" s="1725">
        <f t="shared" si="4"/>
        <v>100</v>
      </c>
      <c r="Q10" s="1725">
        <f t="shared" si="4"/>
        <v>100</v>
      </c>
      <c r="R10" s="1725">
        <f t="shared" si="4"/>
        <v>100</v>
      </c>
      <c r="S10" s="1725">
        <f t="shared" si="4"/>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15">
      <c r="A11" s="1215"/>
      <c r="B11" s="1769"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4" thickBot="1">
      <c r="A12" s="1215"/>
      <c r="B12" s="1116"/>
      <c r="C12" s="1122">
        <v>100</v>
      </c>
      <c r="D12" s="1119">
        <f>C12-$T11</f>
        <v>100</v>
      </c>
      <c r="E12" s="1119">
        <f t="shared" ref="E12:S12" si="5">D12-$T11</f>
        <v>100</v>
      </c>
      <c r="F12" s="1119">
        <f t="shared" si="5"/>
        <v>100</v>
      </c>
      <c r="G12" s="1119">
        <f t="shared" si="5"/>
        <v>100</v>
      </c>
      <c r="H12" s="1119">
        <f t="shared" si="5"/>
        <v>100</v>
      </c>
      <c r="I12" s="1119">
        <f t="shared" si="5"/>
        <v>100</v>
      </c>
      <c r="J12" s="1119">
        <f t="shared" si="5"/>
        <v>100</v>
      </c>
      <c r="K12" s="1119">
        <f t="shared" si="5"/>
        <v>100</v>
      </c>
      <c r="L12" s="1119">
        <f t="shared" si="5"/>
        <v>100</v>
      </c>
      <c r="M12" s="1119">
        <f t="shared" si="5"/>
        <v>100</v>
      </c>
      <c r="N12" s="1119">
        <f t="shared" si="5"/>
        <v>100</v>
      </c>
      <c r="O12" s="1119">
        <f t="shared" si="5"/>
        <v>100</v>
      </c>
      <c r="P12" s="1119">
        <f t="shared" si="5"/>
        <v>100</v>
      </c>
      <c r="Q12" s="1119">
        <f t="shared" si="5"/>
        <v>100</v>
      </c>
      <c r="R12" s="1119">
        <f>Q12-$T11</f>
        <v>100</v>
      </c>
      <c r="S12" s="1119">
        <f t="shared" si="5"/>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5">
      <c r="A13" s="1215"/>
      <c r="B13" s="1769"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4"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15">
      <c r="A15" s="1215"/>
      <c r="B15" s="1769"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4"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15">
      <c r="A17" s="2906" t="s">
        <v>3013</v>
      </c>
      <c r="B17" s="2907"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4"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ht="14">
      <c r="A19" s="138"/>
      <c r="B19" s="168"/>
      <c r="C19" s="168"/>
      <c r="D19" s="2908" t="s">
        <v>3015</v>
      </c>
      <c r="E19" s="1792"/>
      <c r="F19" s="1792"/>
      <c r="G19" s="1792"/>
      <c r="H19" s="1280"/>
      <c r="I19" s="168"/>
      <c r="J19" s="168"/>
      <c r="K19" s="168"/>
      <c r="L19" s="168"/>
      <c r="M19" s="168"/>
      <c r="N19" s="168"/>
      <c r="O19" s="168"/>
      <c r="P19" s="168"/>
      <c r="Q19" s="168"/>
      <c r="R19" s="788"/>
      <c r="S19" s="138"/>
    </row>
    <row r="20" spans="1:45" ht="17" thickBot="1">
      <c r="A20" s="715" t="s">
        <v>3016</v>
      </c>
      <c r="B20" s="338" t="e">
        <f ca="1">IF(D20="——",S22,S22-F20)</f>
        <v>#REF!</v>
      </c>
      <c r="C20" s="168"/>
      <c r="D20" s="2909" t="s">
        <v>3017</v>
      </c>
      <c r="E20" s="1793"/>
      <c r="F20" s="1204" t="e">
        <f ca="1">SUMIF(INDIRECT("'"&amp;H20&amp;"'"&amp;"!A:A"),"承租人权益价值",INDIRECT("'"&amp;H20&amp;"'"&amp;"!c:c"))</f>
        <v>#REF!</v>
      </c>
      <c r="G20" s="1204" t="s">
        <v>3018</v>
      </c>
      <c r="H20" s="2910"/>
      <c r="I20" s="168"/>
      <c r="J20" s="168"/>
      <c r="K20" s="168"/>
      <c r="L20" s="168"/>
      <c r="M20" s="168"/>
      <c r="N20" s="168"/>
      <c r="O20" s="168"/>
      <c r="P20" s="168"/>
      <c r="Q20" s="168"/>
      <c r="R20" s="788"/>
      <c r="S20" s="138"/>
    </row>
    <row r="21" spans="1:45" ht="16">
      <c r="A21" s="715" t="s">
        <v>3019</v>
      </c>
      <c r="B21" s="338">
        <f>R22</f>
        <v>10000</v>
      </c>
      <c r="C21" s="168"/>
      <c r="D21" s="168"/>
      <c r="E21" s="168"/>
      <c r="F21" s="168"/>
      <c r="G21" s="168"/>
      <c r="H21" s="168"/>
      <c r="I21" s="168"/>
      <c r="J21" s="168"/>
      <c r="K21" s="168"/>
      <c r="L21" s="168"/>
      <c r="M21" s="168"/>
      <c r="N21" s="168"/>
      <c r="O21" s="168"/>
      <c r="P21" s="168"/>
      <c r="Q21" s="168"/>
      <c r="R21" s="788"/>
      <c r="S21" s="138"/>
    </row>
    <row r="22" spans="1:45" ht="14">
      <c r="A22" s="361" t="s">
        <v>3020</v>
      </c>
      <c r="B22" s="24">
        <f>SUM(B24:B10000)</f>
        <v>100</v>
      </c>
      <c r="C22" s="3179" t="s">
        <v>33</v>
      </c>
      <c r="D22" s="3180"/>
      <c r="E22" s="3180"/>
      <c r="F22" s="3180"/>
      <c r="G22" s="3180"/>
      <c r="H22" s="3180"/>
      <c r="I22" s="3180"/>
      <c r="J22" s="3180"/>
      <c r="K22" s="3180"/>
      <c r="L22" s="3180"/>
      <c r="M22" s="3180"/>
      <c r="N22" s="3180"/>
      <c r="O22" s="3180"/>
      <c r="P22" s="3180"/>
      <c r="Q22" s="3324"/>
      <c r="R22" s="716">
        <f>ROUND(S22*10000/B22,0)</f>
        <v>10000</v>
      </c>
      <c r="S22" s="24">
        <f>SUM(S24:S10000)</f>
        <v>100</v>
      </c>
    </row>
    <row r="23" spans="1:45" s="12" customFormat="1" ht="30">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4">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baseColWidth="10" defaultColWidth="8.33203125" defaultRowHeight="13"/>
  <cols>
    <col min="1" max="1" width="9.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t="e">
        <f ca="1">C52</f>
        <v>#VALUE!</v>
      </c>
      <c r="C2" s="2" t="s">
        <v>133</v>
      </c>
      <c r="D2" s="243"/>
      <c r="E2" s="243"/>
      <c r="F2" s="243"/>
      <c r="G2" s="243"/>
    </row>
    <row r="3" spans="1:7" s="244" customFormat="1" ht="18" customHeight="1" thickBot="1">
      <c r="A3" s="247" t="s">
        <v>85</v>
      </c>
      <c r="B3" s="248" t="e">
        <f ca="1">ROUND(B2*10000/'数据-汇总表'!E3,0)</f>
        <v>#VALUE!</v>
      </c>
      <c r="C3" s="2" t="s">
        <v>134</v>
      </c>
      <c r="D3" s="243"/>
      <c r="E3" s="243"/>
      <c r="F3" s="243"/>
      <c r="G3" s="243"/>
    </row>
    <row r="4" spans="1:7" s="252" customFormat="1" ht="16">
      <c r="A4" s="249" t="s">
        <v>86</v>
      </c>
      <c r="B4" s="250"/>
      <c r="C4" s="250"/>
      <c r="D4" s="250"/>
      <c r="E4" s="250"/>
      <c r="F4" s="250"/>
      <c r="G4" s="251"/>
    </row>
    <row r="5" spans="1:7" s="258" customFormat="1" ht="13.5" customHeight="1">
      <c r="A5" s="299" t="s">
        <v>1050</v>
      </c>
      <c r="B5" s="254" t="s">
        <v>87</v>
      </c>
      <c r="C5" s="255">
        <f>C6+C7+C8</f>
        <v>20000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0</v>
      </c>
      <c r="D7" s="264"/>
      <c r="E7" s="262"/>
      <c r="F7" s="265">
        <f>'数据-取费表'!B48+'数据-取费表'!B49</f>
        <v>0</v>
      </c>
      <c r="G7" s="263"/>
    </row>
    <row r="8" spans="1:7" s="267" customFormat="1" ht="14">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86971.4</v>
      </c>
      <c r="E9" s="269">
        <f>'数据-取费表'!B27</f>
        <v>0</v>
      </c>
      <c r="F9" s="265"/>
      <c r="G9" s="270"/>
    </row>
    <row r="10" spans="1:7" s="258" customFormat="1" ht="13.5" customHeight="1">
      <c r="A10" s="950" t="s">
        <v>801</v>
      </c>
      <c r="B10" s="268" t="s">
        <v>94</v>
      </c>
      <c r="C10" s="269">
        <f>ROUND(D10*E10/10000,0)</f>
        <v>0</v>
      </c>
      <c r="D10" s="1032">
        <f>'数据-汇总表'!E6</f>
        <v>0</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0</v>
      </c>
      <c r="D19" s="1036">
        <f>'数据-汇总表'!E3</f>
        <v>86971.4</v>
      </c>
      <c r="E19" s="255">
        <f>'数据-取费表'!B31</f>
        <v>0</v>
      </c>
      <c r="F19" s="275"/>
      <c r="G19" s="1" t="s">
        <v>1070</v>
      </c>
    </row>
    <row r="20" spans="1:7" s="258" customFormat="1" ht="13.5" customHeight="1">
      <c r="A20" s="948" t="s">
        <v>1053</v>
      </c>
      <c r="B20" s="254" t="s">
        <v>104</v>
      </c>
      <c r="C20" s="276">
        <f>ROUND((C5+C19)*F20,0)</f>
        <v>0</v>
      </c>
      <c r="D20" s="276"/>
      <c r="E20" s="276"/>
      <c r="F20" s="277">
        <f>'数据-取费表'!B37</f>
        <v>0</v>
      </c>
      <c r="G20" s="1289" t="s">
        <v>1064</v>
      </c>
    </row>
    <row r="21" spans="1:7" s="258" customFormat="1" ht="13.5" customHeight="1">
      <c r="A21" s="948" t="s">
        <v>1055</v>
      </c>
      <c r="B21" s="254" t="s">
        <v>105</v>
      </c>
      <c r="C21" s="279">
        <f>F21</f>
        <v>0</v>
      </c>
      <c r="D21" s="280" t="s">
        <v>126</v>
      </c>
      <c r="E21" s="276"/>
      <c r="F21" s="277">
        <f>'数据-取费表'!B38</f>
        <v>0</v>
      </c>
      <c r="G21" s="278" t="s">
        <v>106</v>
      </c>
    </row>
    <row r="22" spans="1:7" s="258" customFormat="1" ht="13.5" customHeight="1">
      <c r="A22" s="948" t="s">
        <v>786</v>
      </c>
      <c r="B22" s="254" t="s">
        <v>107</v>
      </c>
      <c r="C22" s="1354" t="e">
        <f ca="1">ROUND(SUM(C23:C25),0)</f>
        <v>#VALUE!</v>
      </c>
      <c r="D22" s="279" t="e">
        <f ca="1">C26</f>
        <v>#VALUE!</v>
      </c>
      <c r="E22" s="280" t="s">
        <v>126</v>
      </c>
      <c r="F22" s="281" t="e">
        <f ca="1">'数据-取费表'!B40</f>
        <v>#VALUE!</v>
      </c>
      <c r="G22" s="1289" t="str">
        <f>IF('数据-取费表'!B22&lt;=1,"单利计息","复利计息")</f>
        <v>单利计息</v>
      </c>
    </row>
    <row r="23" spans="1:7" s="258" customFormat="1" ht="13.5" customHeight="1">
      <c r="A23" s="951" t="s">
        <v>794</v>
      </c>
      <c r="B23" s="259" t="s">
        <v>1057</v>
      </c>
      <c r="C23" s="1355" t="e">
        <f ca="1">ROUND(IF('数据-取费表'!B22&lt;=1,C5*F22*'数据-取费表'!B23,C5*(POWER((1+F22),'数据-取费表'!B23)-1)),0)</f>
        <v>#VALUE!</v>
      </c>
      <c r="D23" s="282"/>
      <c r="E23" s="282"/>
      <c r="F23" s="283"/>
      <c r="G23" s="284" t="s">
        <v>108</v>
      </c>
    </row>
    <row r="24" spans="1:7" s="258" customFormat="1" ht="13.5" customHeight="1">
      <c r="A24" s="951" t="s">
        <v>792</v>
      </c>
      <c r="B24" s="259" t="s">
        <v>1052</v>
      </c>
      <c r="C24" s="1355" t="e">
        <f ca="1">ROUND(IF('数据-取费表'!B22&lt;=1,C19*F22*('数据-取费表'!B19/2+'数据-取费表'!B21),C19*(POWER((1+F22),('数据-取费表'!B19/2+'数据-取费表'!B21))-1)),0)</f>
        <v>#VALUE!</v>
      </c>
      <c r="D24" s="282"/>
      <c r="E24" s="282"/>
      <c r="F24" s="283"/>
      <c r="G24" s="284" t="s">
        <v>109</v>
      </c>
    </row>
    <row r="25" spans="1:7" s="258" customFormat="1" ht="28">
      <c r="A25" s="951" t="s">
        <v>793</v>
      </c>
      <c r="B25" s="259" t="s">
        <v>1054</v>
      </c>
      <c r="C25" s="1355" t="e">
        <f ca="1">ROUND(IF('数据-取费表'!B22&lt;=1,C20*F22*'数据-取费表'!B23/2,C20*(POWER((1+F22),'数据-取费表'!B23/2)-1)),0)</f>
        <v>#VALUE!</v>
      </c>
      <c r="D25" s="282"/>
      <c r="E25" s="285"/>
      <c r="F25" s="283"/>
      <c r="G25" s="286" t="s">
        <v>110</v>
      </c>
    </row>
    <row r="26" spans="1:7" s="258" customFormat="1" ht="14">
      <c r="A26" s="951" t="s">
        <v>795</v>
      </c>
      <c r="B26" s="259" t="s">
        <v>1056</v>
      </c>
      <c r="C26" s="282" t="e">
        <f ca="1">ROUND(IF('数据-取费表'!B22&lt;=1,F21*F22*'数据-取费表'!B23/2,F21*(POWER((1+F22),'数据-取费表'!B23/2)-1)),4)</f>
        <v>#VALUE!</v>
      </c>
      <c r="D26" s="282"/>
      <c r="E26" s="285"/>
      <c r="F26" s="283"/>
      <c r="G26" s="287"/>
    </row>
    <row r="27" spans="1:7" s="258" customFormat="1" ht="28">
      <c r="A27" s="948" t="s">
        <v>787</v>
      </c>
      <c r="B27" s="288" t="s">
        <v>112</v>
      </c>
      <c r="C27" s="289" t="e">
        <f>C28</f>
        <v>#DIV/0!</v>
      </c>
      <c r="D27" s="279" t="e">
        <f>C29</f>
        <v>#DIV/0!</v>
      </c>
      <c r="E27" s="280" t="s">
        <v>126</v>
      </c>
      <c r="F27" s="290" t="e">
        <f>'数据-取费表'!Q16</f>
        <v>#DIV/0!</v>
      </c>
      <c r="G27" s="291" t="s">
        <v>1065</v>
      </c>
    </row>
    <row r="28" spans="1:7" s="258" customFormat="1" ht="13.5" customHeight="1">
      <c r="A28" s="951" t="s">
        <v>794</v>
      </c>
      <c r="B28" s="292" t="s">
        <v>1058</v>
      </c>
      <c r="C28" s="293" t="e">
        <f>ROUND((C5+C19+C20)*F27*'数据-取费表'!B21/'数据-取费表'!B20,0)</f>
        <v>#DIV/0!</v>
      </c>
      <c r="D28" s="279"/>
      <c r="E28" s="280"/>
      <c r="F28" s="290"/>
      <c r="G28" s="291"/>
    </row>
    <row r="29" spans="1:7" s="258" customFormat="1" ht="13.5" customHeight="1">
      <c r="A29" s="951" t="s">
        <v>792</v>
      </c>
      <c r="B29" s="292" t="s">
        <v>1059</v>
      </c>
      <c r="C29" s="282" t="e">
        <f>ROUND(C21*F27*'数据-取费表'!B21/'数据-取费表'!B20,4)</f>
        <v>#DIV/0!</v>
      </c>
      <c r="D29" s="279"/>
      <c r="E29" s="280"/>
      <c r="F29" s="290"/>
      <c r="G29" s="291"/>
    </row>
    <row r="30" spans="1:7" s="258" customFormat="1" ht="13.5" customHeight="1">
      <c r="A30" s="948" t="s">
        <v>788</v>
      </c>
      <c r="B30" s="254" t="s">
        <v>58</v>
      </c>
      <c r="C30" s="279">
        <f>F30</f>
        <v>0</v>
      </c>
      <c r="D30" s="280" t="s">
        <v>127</v>
      </c>
      <c r="E30" s="285"/>
      <c r="F30" s="281">
        <f>'数据-取费表'!B41</f>
        <v>0</v>
      </c>
      <c r="G30" s="278" t="s">
        <v>113</v>
      </c>
    </row>
    <row r="31" spans="1:7" ht="16.5" customHeight="1">
      <c r="A31" s="253">
        <v>1</v>
      </c>
      <c r="B31" s="254" t="s">
        <v>128</v>
      </c>
      <c r="C31" s="255" t="e">
        <f ca="1">ROUND((C5+C19+C20+C22+C27)/(1-C21-D22-D27-C30/(1+'数据-取费表'!B42)),0)</f>
        <v>#VALUE!</v>
      </c>
      <c r="D31" s="274"/>
      <c r="E31" s="255"/>
      <c r="F31" s="294"/>
      <c r="G31" s="278" t="s">
        <v>1066</v>
      </c>
    </row>
    <row r="32" spans="1:7" s="252" customFormat="1" ht="16">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1</v>
      </c>
      <c r="G34" s="263" t="s">
        <v>116</v>
      </c>
    </row>
    <row r="35" spans="1:7" ht="13.5" customHeight="1">
      <c r="A35" s="951" t="s">
        <v>796</v>
      </c>
      <c r="B35" s="259" t="s">
        <v>60</v>
      </c>
      <c r="C35" s="264">
        <f>ROUND(C34*F35,0)</f>
        <v>0</v>
      </c>
      <c r="D35" s="264"/>
      <c r="E35" s="264"/>
      <c r="F35" s="303">
        <f>'数据-取费表'!B33</f>
        <v>0</v>
      </c>
      <c r="G35" s="263" t="s">
        <v>117</v>
      </c>
    </row>
    <row r="36" spans="1:7" ht="28">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0</v>
      </c>
      <c r="D37" s="261">
        <f>'数据-汇总表'!E3</f>
        <v>86971.4</v>
      </c>
      <c r="E37" s="293">
        <f>'数据-取费表'!B35</f>
        <v>0</v>
      </c>
      <c r="F37" s="303"/>
      <c r="G37" s="305" t="s">
        <v>119</v>
      </c>
    </row>
    <row r="38" spans="1:7" ht="13.5" customHeight="1">
      <c r="A38" s="951" t="s">
        <v>799</v>
      </c>
      <c r="B38" s="259" t="s">
        <v>63</v>
      </c>
      <c r="C38" s="264">
        <f>ROUND(C34*F38,0)</f>
        <v>0</v>
      </c>
      <c r="D38" s="264"/>
      <c r="E38" s="264"/>
      <c r="F38" s="303">
        <f>'数据-取费表'!B36</f>
        <v>0</v>
      </c>
      <c r="G38" s="263" t="s">
        <v>117</v>
      </c>
    </row>
    <row r="39" spans="1:7" s="258" customFormat="1" ht="13.5" customHeight="1">
      <c r="A39" s="948" t="s">
        <v>783</v>
      </c>
      <c r="B39" s="254" t="s">
        <v>104</v>
      </c>
      <c r="C39" s="276">
        <f>ROUND(C33*F20,0)</f>
        <v>0</v>
      </c>
      <c r="D39" s="276"/>
      <c r="E39" s="276"/>
      <c r="F39" s="277"/>
      <c r="G39" s="1289" t="s">
        <v>1067</v>
      </c>
    </row>
    <row r="40" spans="1:7" s="258" customFormat="1" ht="13.5" customHeight="1">
      <c r="A40" s="948" t="s">
        <v>784</v>
      </c>
      <c r="B40" s="254" t="s">
        <v>105</v>
      </c>
      <c r="C40" s="306">
        <f>F21</f>
        <v>0</v>
      </c>
      <c r="D40" s="280" t="s">
        <v>129</v>
      </c>
      <c r="E40" s="276"/>
      <c r="F40" s="277"/>
      <c r="G40" s="278" t="s">
        <v>120</v>
      </c>
    </row>
    <row r="41" spans="1:7" s="258" customFormat="1" ht="13.5" customHeight="1">
      <c r="A41" s="948" t="s">
        <v>785</v>
      </c>
      <c r="B41" s="254" t="s">
        <v>107</v>
      </c>
      <c r="C41" s="276" t="e">
        <f ca="1">ROUND(SUM(C42:C43),0)</f>
        <v>#VALUE!</v>
      </c>
      <c r="D41" s="279" t="e">
        <f ca="1">C44</f>
        <v>#VALUE!</v>
      </c>
      <c r="E41" s="280" t="s">
        <v>129</v>
      </c>
      <c r="F41" s="281"/>
      <c r="G41" s="1289" t="str">
        <f>IF('数据-取费表'!B22&lt;=1,"单利计息","复利计息")</f>
        <v>单利计息</v>
      </c>
    </row>
    <row r="42" spans="1:7" ht="13.5" customHeight="1">
      <c r="A42" s="951" t="s">
        <v>794</v>
      </c>
      <c r="B42" s="259" t="s">
        <v>1057</v>
      </c>
      <c r="C42" s="282" t="e">
        <f ca="1">ROUND(IF('数据-取费表'!B22&lt;=1,C33*F22*'数据-取费表'!B21/2,C33*(POWER((1+F22),'数据-取费表'!B21/2)-1)),0)</f>
        <v>#VALUE!</v>
      </c>
      <c r="D42" s="282"/>
      <c r="E42" s="282"/>
      <c r="F42" s="283"/>
      <c r="G42" s="3184" t="s">
        <v>121</v>
      </c>
    </row>
    <row r="43" spans="1:7" ht="13.5" customHeight="1">
      <c r="A43" s="951" t="s">
        <v>792</v>
      </c>
      <c r="B43" s="259" t="s">
        <v>1060</v>
      </c>
      <c r="C43" s="282" t="e">
        <f ca="1">ROUND(IF('数据-取费表'!B22&lt;=1,C39*F22*'数据-取费表'!B21/2,C39*(POWER((1+F22),'数据-取费表'!B21/2)-1)),0)</f>
        <v>#VALUE!</v>
      </c>
      <c r="D43" s="282"/>
      <c r="E43" s="282"/>
      <c r="F43" s="283"/>
      <c r="G43" s="3185"/>
    </row>
    <row r="44" spans="1:7" ht="13.5" customHeight="1">
      <c r="A44" s="951" t="s">
        <v>793</v>
      </c>
      <c r="B44" s="259" t="s">
        <v>1062</v>
      </c>
      <c r="C44" s="282" t="e">
        <f ca="1">ROUND(IF('数据-取费表'!B22&lt;=1,C40*F22*'数据-取费表'!B21/2,C40*(POWER((1+F22),'数据-取费表'!B21/2)-1)),4)</f>
        <v>#VALUE!</v>
      </c>
      <c r="D44" s="282"/>
      <c r="E44" s="282"/>
      <c r="F44" s="283"/>
      <c r="G44" s="3186"/>
    </row>
    <row r="45" spans="1:7" s="258" customFormat="1" ht="13.5" customHeight="1">
      <c r="A45" s="948" t="s">
        <v>786</v>
      </c>
      <c r="B45" s="288" t="s">
        <v>112</v>
      </c>
      <c r="C45" s="289" t="e">
        <f>C46</f>
        <v>#DIV/0!</v>
      </c>
      <c r="D45" s="279" t="e">
        <f>C47</f>
        <v>#DIV/0!</v>
      </c>
      <c r="E45" s="280" t="s">
        <v>129</v>
      </c>
      <c r="F45" s="290"/>
      <c r="G45" s="291" t="s">
        <v>1068</v>
      </c>
    </row>
    <row r="46" spans="1:7" s="258" customFormat="1" ht="13.5" customHeight="1">
      <c r="A46" s="951" t="s">
        <v>794</v>
      </c>
      <c r="B46" s="292" t="s">
        <v>1061</v>
      </c>
      <c r="C46" s="293" t="e">
        <f>ROUND((C33+C39)*F27,0)</f>
        <v>#DIV/0!</v>
      </c>
      <c r="D46" s="307"/>
      <c r="E46" s="280"/>
      <c r="F46" s="290"/>
      <c r="G46" s="291"/>
    </row>
    <row r="47" spans="1:7" s="258" customFormat="1" ht="13.5" customHeight="1">
      <c r="A47" s="951" t="s">
        <v>792</v>
      </c>
      <c r="B47" s="292" t="s">
        <v>1063</v>
      </c>
      <c r="C47" s="282" t="e">
        <f>ROUND(C40*F27,4)</f>
        <v>#DIV/0!</v>
      </c>
      <c r="D47" s="307"/>
      <c r="E47" s="280"/>
      <c r="F47" s="290"/>
      <c r="G47" s="291"/>
    </row>
    <row r="48" spans="1:7" s="258" customFormat="1" ht="13.5" customHeight="1">
      <c r="A48" s="948" t="s">
        <v>787</v>
      </c>
      <c r="B48" s="254" t="s">
        <v>122</v>
      </c>
      <c r="C48" s="306">
        <f>F30</f>
        <v>0</v>
      </c>
      <c r="D48" s="280" t="s">
        <v>130</v>
      </c>
      <c r="E48" s="276"/>
      <c r="F48" s="281"/>
      <c r="G48" s="278" t="s">
        <v>123</v>
      </c>
    </row>
    <row r="49" spans="1:7" ht="16.5" customHeight="1">
      <c r="A49" s="948" t="s">
        <v>788</v>
      </c>
      <c r="B49" s="254" t="s">
        <v>131</v>
      </c>
      <c r="C49" s="276" t="e">
        <f ca="1">ROUND((C33+C39+C41+C45)/(1-C40-D41-D45-C48/(1+'数据-取费表'!B42)),0)</f>
        <v>#VALUE!</v>
      </c>
      <c r="D49" s="276"/>
      <c r="E49" s="276"/>
      <c r="F49" s="308"/>
      <c r="G49" s="278" t="s">
        <v>1069</v>
      </c>
    </row>
    <row r="50" spans="1:7" s="302" customFormat="1" ht="28">
      <c r="A50" s="948" t="s">
        <v>789</v>
      </c>
      <c r="B50" s="254" t="s">
        <v>124</v>
      </c>
      <c r="C50" s="276"/>
      <c r="D50" s="276"/>
      <c r="E50" s="276"/>
      <c r="F50" s="308" t="e">
        <f>IF('数据-取费表'!B24=0,'数据-取费表'!N16,1)</f>
        <v>#DIV/0!</v>
      </c>
      <c r="G50" s="291" t="s">
        <v>125</v>
      </c>
    </row>
    <row r="51" spans="1:7" ht="16.5" customHeight="1">
      <c r="A51" s="948" t="s">
        <v>790</v>
      </c>
      <c r="B51" s="254" t="s">
        <v>132</v>
      </c>
      <c r="C51" s="276" t="e">
        <f ca="1">ROUND(C49*F50,0)</f>
        <v>#VALUE!</v>
      </c>
      <c r="D51" s="276"/>
      <c r="E51" s="276"/>
      <c r="F51" s="308"/>
      <c r="G51" s="278" t="s">
        <v>64</v>
      </c>
    </row>
    <row r="52" spans="1:7" s="252" customFormat="1" ht="17" thickBot="1">
      <c r="A52" s="309" t="s">
        <v>65</v>
      </c>
      <c r="B52" s="310"/>
      <c r="C52" s="311" t="e">
        <f ca="1">C31+C51</f>
        <v>#VALUE!</v>
      </c>
      <c r="D52" s="310"/>
      <c r="E52" s="310"/>
      <c r="F52" s="310"/>
      <c r="G52" s="312"/>
    </row>
    <row r="55" spans="1:7" ht="16">
      <c r="B55" s="314" t="s">
        <v>66</v>
      </c>
      <c r="C55" s="315"/>
    </row>
    <row r="56" spans="1:7">
      <c r="B56" s="317" t="s">
        <v>67</v>
      </c>
      <c r="C56" s="318" t="e">
        <f ca="1">ROUND(C51/C52,3)</f>
        <v>#VALUE!</v>
      </c>
    </row>
    <row r="57" spans="1:7">
      <c r="B57" s="317" t="s">
        <v>68</v>
      </c>
      <c r="C57" s="319" t="e">
        <f ca="1">1-C56</f>
        <v>#VALUE!</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baseColWidth="10" defaultColWidth="9" defaultRowHeight="14"/>
  <cols>
    <col min="1" max="1" width="12.6640625" style="855" customWidth="1"/>
    <col min="2" max="5" width="10.1640625" style="813" customWidth="1"/>
    <col min="6" max="6" width="9" style="813"/>
    <col min="7" max="8" width="9" style="828"/>
    <col min="9" max="16384" width="9" style="813"/>
  </cols>
  <sheetData>
    <row r="1" spans="1:19">
      <c r="A1" s="3328" t="s">
        <v>156</v>
      </c>
      <c r="B1" s="3328"/>
      <c r="C1" s="3328"/>
      <c r="D1" s="3328"/>
      <c r="E1" s="3328"/>
      <c r="F1" s="332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6" thickBot="1">
      <c r="A2" s="3329" t="s">
        <v>169</v>
      </c>
      <c r="B2" s="3329"/>
      <c r="C2" s="3329"/>
      <c r="D2" s="3329"/>
      <c r="E2" s="3329"/>
      <c r="F2" s="332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baseColWidth="10" defaultColWidth="8.83203125" defaultRowHeight="14"/>
  <cols>
    <col min="1" max="1" width="12.6640625" style="855" customWidth="1"/>
    <col min="2" max="2" width="10.1640625" style="813" customWidth="1"/>
  </cols>
  <sheetData>
    <row r="1" spans="1:6">
      <c r="A1" s="3328" t="s">
        <v>867</v>
      </c>
      <c r="B1" s="3328"/>
    </row>
    <row r="2" spans="1:6" ht="15" thickBot="1">
      <c r="A2" s="1057"/>
      <c r="B2" s="1057"/>
    </row>
    <row r="3" spans="1:6" ht="15" thickBot="1">
      <c r="A3" s="1057"/>
      <c r="B3" s="1057"/>
      <c r="C3" s="1061" t="s">
        <v>870</v>
      </c>
      <c r="D3" s="1061" t="s">
        <v>871</v>
      </c>
      <c r="E3" s="1061" t="s">
        <v>872</v>
      </c>
      <c r="F3" s="1061" t="s">
        <v>873</v>
      </c>
    </row>
    <row r="4" spans="1:6" ht="16" thickBot="1">
      <c r="A4" s="1059" t="s">
        <v>868</v>
      </c>
      <c r="B4" s="1060" t="s">
        <v>869</v>
      </c>
      <c r="C4" s="1061"/>
      <c r="D4" s="1061"/>
      <c r="E4" s="1061"/>
      <c r="F4" s="1061"/>
    </row>
    <row r="5" spans="1:6" ht="16" thickBot="1">
      <c r="A5" s="840" t="s">
        <v>874</v>
      </c>
      <c r="B5" s="841" t="s">
        <v>875</v>
      </c>
      <c r="C5" s="1062">
        <v>8.8999999999999996E-2</v>
      </c>
      <c r="D5" s="1062">
        <v>7.3999999999999996E-2</v>
      </c>
      <c r="E5" s="1062">
        <v>7.4999999999999997E-2</v>
      </c>
      <c r="F5" s="1063">
        <v>0.1</v>
      </c>
    </row>
    <row r="6" spans="1:6" ht="16" thickBot="1">
      <c r="A6" s="840" t="s">
        <v>212</v>
      </c>
      <c r="B6" s="834" t="s">
        <v>876</v>
      </c>
      <c r="C6" s="1064">
        <v>0.1</v>
      </c>
      <c r="D6" s="1064">
        <v>9.0999999999999998E-2</v>
      </c>
      <c r="E6" s="1064">
        <v>9.0999999999999998E-2</v>
      </c>
      <c r="F6" s="1065">
        <v>0.1</v>
      </c>
    </row>
    <row r="7" spans="1:6" ht="16" thickBot="1">
      <c r="A7" s="840" t="s">
        <v>212</v>
      </c>
      <c r="B7" s="844" t="s">
        <v>201</v>
      </c>
      <c r="C7" s="1064">
        <v>8.5999999999999993E-2</v>
      </c>
      <c r="D7" s="1064">
        <v>9.6000000000000002E-2</v>
      </c>
      <c r="E7" s="1064">
        <v>7.5999999999999998E-2</v>
      </c>
      <c r="F7" s="1065">
        <v>0.1</v>
      </c>
    </row>
    <row r="8" spans="1:6" ht="16" thickBot="1">
      <c r="A8" s="840" t="s">
        <v>212</v>
      </c>
      <c r="B8" s="834" t="s">
        <v>213</v>
      </c>
      <c r="C8" s="1064">
        <v>9.9000000000000005E-2</v>
      </c>
      <c r="D8" s="1064">
        <v>9.8000000000000004E-2</v>
      </c>
      <c r="E8" s="1064">
        <v>9.8000000000000004E-2</v>
      </c>
      <c r="F8" s="1065">
        <v>0.1</v>
      </c>
    </row>
    <row r="9" spans="1:6" ht="16" thickBot="1">
      <c r="A9" s="850" t="s">
        <v>212</v>
      </c>
      <c r="B9" s="845" t="s">
        <v>225</v>
      </c>
      <c r="C9" s="1066">
        <v>0.05</v>
      </c>
      <c r="D9" s="1074"/>
      <c r="E9" s="1074"/>
      <c r="F9" s="1075"/>
    </row>
    <row r="10" spans="1:6" ht="16" thickBot="1">
      <c r="A10" s="840" t="s">
        <v>269</v>
      </c>
      <c r="B10" s="841" t="s">
        <v>877</v>
      </c>
      <c r="C10" s="1062">
        <v>8.8999999999999996E-2</v>
      </c>
      <c r="D10" s="1062">
        <v>7.2999999999999995E-2</v>
      </c>
      <c r="E10" s="1062">
        <v>8.2000000000000003E-2</v>
      </c>
      <c r="F10" s="1063">
        <v>0.1</v>
      </c>
    </row>
    <row r="11" spans="1:6" ht="16" thickBot="1">
      <c r="A11" s="840" t="s">
        <v>269</v>
      </c>
      <c r="B11" s="844" t="s">
        <v>188</v>
      </c>
      <c r="C11" s="1064">
        <v>8.8999999999999996E-2</v>
      </c>
      <c r="D11" s="1064">
        <v>7.2999999999999995E-2</v>
      </c>
      <c r="E11" s="1064">
        <v>8.2000000000000003E-2</v>
      </c>
      <c r="F11" s="1065">
        <v>0.1</v>
      </c>
    </row>
    <row r="12" spans="1:6" ht="16" thickBot="1">
      <c r="A12" s="840" t="s">
        <v>269</v>
      </c>
      <c r="B12" s="844" t="s">
        <v>138</v>
      </c>
      <c r="C12" s="1064">
        <v>6.0999999999999999E-2</v>
      </c>
      <c r="D12" s="1064">
        <v>7.0999999999999994E-2</v>
      </c>
      <c r="E12" s="1064">
        <v>9.6000000000000002E-2</v>
      </c>
      <c r="F12" s="1065">
        <v>0.1</v>
      </c>
    </row>
    <row r="13" spans="1:6" ht="16" thickBot="1">
      <c r="A13" s="840" t="s">
        <v>269</v>
      </c>
      <c r="B13" s="844" t="s">
        <v>214</v>
      </c>
      <c r="C13" s="1064">
        <v>6.9000000000000006E-2</v>
      </c>
      <c r="D13" s="1064">
        <v>6.5000000000000002E-2</v>
      </c>
      <c r="E13" s="1064">
        <v>6.6000000000000003E-2</v>
      </c>
      <c r="F13" s="1065">
        <v>0.1</v>
      </c>
    </row>
    <row r="14" spans="1:6" ht="16" thickBot="1">
      <c r="A14" s="840" t="s">
        <v>269</v>
      </c>
      <c r="B14" s="844" t="s">
        <v>226</v>
      </c>
      <c r="C14" s="1064">
        <v>0.1</v>
      </c>
      <c r="D14" s="1064">
        <v>6.5000000000000002E-2</v>
      </c>
      <c r="E14" s="1064">
        <v>7.0000000000000007E-2</v>
      </c>
      <c r="F14" s="1065">
        <v>0.1</v>
      </c>
    </row>
    <row r="15" spans="1:6" ht="16" thickBot="1">
      <c r="A15" s="840" t="s">
        <v>269</v>
      </c>
      <c r="B15" s="844" t="s">
        <v>237</v>
      </c>
      <c r="C15" s="1064">
        <v>9.8000000000000004E-2</v>
      </c>
      <c r="D15" s="1064">
        <v>8.8999999999999996E-2</v>
      </c>
      <c r="E15" s="1064">
        <v>8.8999999999999996E-2</v>
      </c>
      <c r="F15" s="1065">
        <v>0.1</v>
      </c>
    </row>
    <row r="16" spans="1:6" ht="16" thickBot="1">
      <c r="A16" s="840" t="s">
        <v>269</v>
      </c>
      <c r="B16" s="844" t="s">
        <v>248</v>
      </c>
      <c r="C16" s="1064">
        <v>7.0000000000000007E-2</v>
      </c>
      <c r="D16" s="1064">
        <v>9.2999999999999999E-2</v>
      </c>
      <c r="E16" s="1064">
        <v>9.6000000000000002E-2</v>
      </c>
      <c r="F16" s="1065">
        <v>0.1</v>
      </c>
    </row>
    <row r="17" spans="1:6" ht="16" thickBot="1">
      <c r="A17" s="840" t="s">
        <v>269</v>
      </c>
      <c r="B17" s="844" t="s">
        <v>259</v>
      </c>
      <c r="C17" s="1064">
        <v>9.5000000000000001E-2</v>
      </c>
      <c r="D17" s="1064">
        <v>0.1</v>
      </c>
      <c r="E17" s="1064">
        <v>0.1</v>
      </c>
      <c r="F17" s="1076"/>
    </row>
    <row r="18" spans="1:6" ht="16" thickBot="1">
      <c r="A18" s="840" t="s">
        <v>269</v>
      </c>
      <c r="B18" s="844" t="s">
        <v>271</v>
      </c>
      <c r="C18" s="1064">
        <v>7.3999999999999996E-2</v>
      </c>
      <c r="D18" s="1064">
        <v>9.9000000000000005E-2</v>
      </c>
      <c r="E18" s="1064">
        <v>0.1</v>
      </c>
      <c r="F18" s="1076"/>
    </row>
    <row r="19" spans="1:6" ht="16" thickBot="1">
      <c r="A19" s="840" t="s">
        <v>269</v>
      </c>
      <c r="B19" s="844" t="s">
        <v>281</v>
      </c>
      <c r="C19" s="1064">
        <v>9.9000000000000005E-2</v>
      </c>
      <c r="D19" s="1064">
        <v>7.5999999999999998E-2</v>
      </c>
      <c r="E19" s="1064">
        <v>8.6999999999999994E-2</v>
      </c>
      <c r="F19" s="1076"/>
    </row>
    <row r="20" spans="1:6" ht="16" thickBot="1">
      <c r="A20" s="840" t="s">
        <v>269</v>
      </c>
      <c r="B20" s="844" t="s">
        <v>291</v>
      </c>
      <c r="C20" s="1064">
        <v>9.8000000000000004E-2</v>
      </c>
      <c r="D20" s="1064">
        <v>8.5000000000000006E-2</v>
      </c>
      <c r="E20" s="1064">
        <v>8.2000000000000003E-2</v>
      </c>
      <c r="F20" s="1076"/>
    </row>
    <row r="21" spans="1:6" ht="16" thickBot="1">
      <c r="A21" s="840" t="s">
        <v>269</v>
      </c>
      <c r="B21" s="844" t="s">
        <v>301</v>
      </c>
      <c r="C21" s="1064">
        <v>6.6000000000000003E-2</v>
      </c>
      <c r="D21" s="1064">
        <v>6.4000000000000001E-2</v>
      </c>
      <c r="E21" s="1064">
        <v>6.5000000000000002E-2</v>
      </c>
      <c r="F21" s="1076"/>
    </row>
    <row r="22" spans="1:6" ht="16" thickBot="1">
      <c r="A22" s="840" t="s">
        <v>269</v>
      </c>
      <c r="B22" s="844" t="s">
        <v>878</v>
      </c>
      <c r="C22" s="1064">
        <v>0.08</v>
      </c>
      <c r="D22" s="1064">
        <v>9.8000000000000004E-2</v>
      </c>
      <c r="E22" s="1064">
        <v>9.8000000000000004E-2</v>
      </c>
      <c r="F22" s="1076"/>
    </row>
    <row r="23" spans="1:6" ht="16" thickBot="1">
      <c r="A23" s="840" t="s">
        <v>269</v>
      </c>
      <c r="B23" s="844" t="s">
        <v>322</v>
      </c>
      <c r="C23" s="1064">
        <v>9.9000000000000005E-2</v>
      </c>
      <c r="D23" s="1064">
        <v>9.8000000000000004E-2</v>
      </c>
      <c r="E23" s="1064">
        <v>9.0999999999999998E-2</v>
      </c>
      <c r="F23" s="1076"/>
    </row>
    <row r="24" spans="1:6" ht="16" thickBot="1">
      <c r="A24" s="840" t="s">
        <v>269</v>
      </c>
      <c r="B24" s="844" t="s">
        <v>333</v>
      </c>
      <c r="C24" s="1064">
        <v>8.8999999999999996E-2</v>
      </c>
      <c r="D24" s="1064">
        <v>9.7000000000000003E-2</v>
      </c>
      <c r="E24" s="1064">
        <v>7.0000000000000007E-2</v>
      </c>
      <c r="F24" s="1076"/>
    </row>
    <row r="25" spans="1:6" ht="16" thickBot="1">
      <c r="A25" s="840" t="s">
        <v>269</v>
      </c>
      <c r="B25" s="844" t="s">
        <v>343</v>
      </c>
      <c r="C25" s="1064">
        <v>8.8999999999999996E-2</v>
      </c>
      <c r="D25" s="1064">
        <v>0.1</v>
      </c>
      <c r="E25" s="1064">
        <v>8.1000000000000003E-2</v>
      </c>
      <c r="F25" s="1076"/>
    </row>
    <row r="26" spans="1:6" ht="16" thickBot="1">
      <c r="A26" s="840" t="s">
        <v>269</v>
      </c>
      <c r="B26" s="844" t="s">
        <v>353</v>
      </c>
      <c r="C26" s="1077"/>
      <c r="D26" s="1064">
        <v>9.6000000000000002E-2</v>
      </c>
      <c r="E26" s="1064">
        <v>9.2999999999999999E-2</v>
      </c>
      <c r="F26" s="1076"/>
    </row>
    <row r="27" spans="1:6" ht="16" thickBot="1">
      <c r="A27" s="840" t="s">
        <v>269</v>
      </c>
      <c r="B27" s="844" t="s">
        <v>363</v>
      </c>
      <c r="C27" s="1077"/>
      <c r="D27" s="1064">
        <v>7.5999999999999998E-2</v>
      </c>
      <c r="E27" s="1064">
        <v>9.1999999999999998E-2</v>
      </c>
      <c r="F27" s="1076"/>
    </row>
    <row r="28" spans="1:6" ht="16" thickBot="1">
      <c r="A28" s="850" t="s">
        <v>269</v>
      </c>
      <c r="B28" s="845" t="s">
        <v>373</v>
      </c>
      <c r="C28" s="1074"/>
      <c r="D28" s="1066">
        <v>7.5999999999999998E-2</v>
      </c>
      <c r="E28" s="1066">
        <v>9.1999999999999998E-2</v>
      </c>
      <c r="F28" s="1075"/>
    </row>
    <row r="29" spans="1:6" ht="16" thickBot="1">
      <c r="A29" s="840" t="s">
        <v>442</v>
      </c>
      <c r="B29" s="841" t="s">
        <v>879</v>
      </c>
      <c r="C29" s="1062">
        <v>6.4000000000000001E-2</v>
      </c>
      <c r="D29" s="1062">
        <v>6.5000000000000002E-2</v>
      </c>
      <c r="E29" s="1062">
        <v>6.9000000000000006E-2</v>
      </c>
      <c r="F29" s="1063">
        <v>0.1</v>
      </c>
    </row>
    <row r="30" spans="1:6" ht="16" thickBot="1">
      <c r="A30" s="840" t="s">
        <v>442</v>
      </c>
      <c r="B30" s="844" t="s">
        <v>189</v>
      </c>
      <c r="C30" s="1064">
        <v>6.4000000000000001E-2</v>
      </c>
      <c r="D30" s="1064">
        <v>9.9000000000000005E-2</v>
      </c>
      <c r="E30" s="1064">
        <v>0.1</v>
      </c>
      <c r="F30" s="1065">
        <v>0.1</v>
      </c>
    </row>
    <row r="31" spans="1:6" ht="16" thickBot="1">
      <c r="A31" s="840" t="s">
        <v>442</v>
      </c>
      <c r="B31" s="844" t="s">
        <v>202</v>
      </c>
      <c r="C31" s="1064">
        <v>0.1</v>
      </c>
      <c r="D31" s="1064">
        <v>9.5000000000000001E-2</v>
      </c>
      <c r="E31" s="1064">
        <v>8.8999999999999996E-2</v>
      </c>
      <c r="F31" s="1065">
        <v>0.1</v>
      </c>
    </row>
    <row r="32" spans="1:6" ht="16" thickBot="1">
      <c r="A32" s="840" t="s">
        <v>442</v>
      </c>
      <c r="B32" s="844" t="s">
        <v>215</v>
      </c>
      <c r="C32" s="1064">
        <v>0.05</v>
      </c>
      <c r="D32" s="1064">
        <v>0.05</v>
      </c>
      <c r="E32" s="1064">
        <v>8.7999999999999995E-2</v>
      </c>
      <c r="F32" s="1065">
        <v>0.1</v>
      </c>
    </row>
    <row r="33" spans="1:6" ht="16" thickBot="1">
      <c r="A33" s="840" t="s">
        <v>442</v>
      </c>
      <c r="B33" s="844" t="s">
        <v>227</v>
      </c>
      <c r="C33" s="1064">
        <v>7.4999999999999997E-2</v>
      </c>
      <c r="D33" s="1064">
        <v>9.4E-2</v>
      </c>
      <c r="E33" s="1064">
        <v>9.7000000000000003E-2</v>
      </c>
      <c r="F33" s="1065">
        <v>0.1</v>
      </c>
    </row>
    <row r="34" spans="1:6" ht="16" thickBot="1">
      <c r="A34" s="840" t="s">
        <v>442</v>
      </c>
      <c r="B34" s="844" t="s">
        <v>238</v>
      </c>
      <c r="C34" s="1064">
        <v>9.8000000000000004E-2</v>
      </c>
      <c r="D34" s="1064">
        <v>8.5999999999999993E-2</v>
      </c>
      <c r="E34" s="1064">
        <v>9.7000000000000003E-2</v>
      </c>
      <c r="F34" s="1065">
        <v>0.1</v>
      </c>
    </row>
    <row r="35" spans="1:6" ht="16" thickBot="1">
      <c r="A35" s="840" t="s">
        <v>442</v>
      </c>
      <c r="B35" s="844" t="s">
        <v>249</v>
      </c>
      <c r="C35" s="1064">
        <v>5.8999999999999997E-2</v>
      </c>
      <c r="D35" s="1064">
        <v>6.5000000000000002E-2</v>
      </c>
      <c r="E35" s="1064">
        <v>7.0000000000000007E-2</v>
      </c>
      <c r="F35" s="1065">
        <v>0.1</v>
      </c>
    </row>
    <row r="36" spans="1:6" ht="16" thickBot="1">
      <c r="A36" s="840" t="s">
        <v>442</v>
      </c>
      <c r="B36" s="844" t="s">
        <v>260</v>
      </c>
      <c r="C36" s="1064">
        <v>6.3E-2</v>
      </c>
      <c r="D36" s="1064">
        <v>0.1</v>
      </c>
      <c r="E36" s="1064">
        <v>0.1</v>
      </c>
      <c r="F36" s="1065">
        <v>0.1</v>
      </c>
    </row>
    <row r="37" spans="1:6" ht="16" thickBot="1">
      <c r="A37" s="840" t="s">
        <v>442</v>
      </c>
      <c r="B37" s="844" t="s">
        <v>272</v>
      </c>
      <c r="C37" s="1064">
        <v>7.3999999999999996E-2</v>
      </c>
      <c r="D37" s="1064">
        <v>0.1</v>
      </c>
      <c r="E37" s="1064">
        <v>0.1</v>
      </c>
      <c r="F37" s="1065">
        <v>0.1</v>
      </c>
    </row>
    <row r="38" spans="1:6" ht="16" thickBot="1">
      <c r="A38" s="840" t="s">
        <v>442</v>
      </c>
      <c r="B38" s="844" t="s">
        <v>282</v>
      </c>
      <c r="C38" s="1064">
        <v>0.1</v>
      </c>
      <c r="D38" s="1064">
        <v>9.6000000000000002E-2</v>
      </c>
      <c r="E38" s="1064">
        <v>9.6000000000000002E-2</v>
      </c>
      <c r="F38" s="1076"/>
    </row>
    <row r="39" spans="1:6" ht="16" thickBot="1">
      <c r="A39" s="840" t="s">
        <v>442</v>
      </c>
      <c r="B39" s="844" t="s">
        <v>292</v>
      </c>
      <c r="C39" s="1064">
        <v>0.1</v>
      </c>
      <c r="D39" s="1064">
        <v>9.6000000000000002E-2</v>
      </c>
      <c r="E39" s="1064">
        <v>9.6000000000000002E-2</v>
      </c>
      <c r="F39" s="1076"/>
    </row>
    <row r="40" spans="1:6" ht="16" thickBot="1">
      <c r="A40" s="840" t="s">
        <v>442</v>
      </c>
      <c r="B40" s="844" t="s">
        <v>302</v>
      </c>
      <c r="C40" s="1064">
        <v>9.6000000000000002E-2</v>
      </c>
      <c r="D40" s="1064">
        <v>0.1</v>
      </c>
      <c r="E40" s="1064">
        <v>9.9000000000000005E-2</v>
      </c>
      <c r="F40" s="1076"/>
    </row>
    <row r="41" spans="1:6" ht="16" thickBot="1">
      <c r="A41" s="840" t="s">
        <v>442</v>
      </c>
      <c r="B41" s="844" t="s">
        <v>312</v>
      </c>
      <c r="C41" s="1064">
        <v>9.6000000000000002E-2</v>
      </c>
      <c r="D41" s="1064">
        <v>9.8000000000000004E-2</v>
      </c>
      <c r="E41" s="1064">
        <v>9.8000000000000004E-2</v>
      </c>
      <c r="F41" s="1076"/>
    </row>
    <row r="42" spans="1:6" ht="16" thickBot="1">
      <c r="A42" s="840" t="s">
        <v>442</v>
      </c>
      <c r="B42" s="844" t="s">
        <v>323</v>
      </c>
      <c r="C42" s="1064">
        <v>0.1</v>
      </c>
      <c r="D42" s="1064">
        <v>8.7999999999999995E-2</v>
      </c>
      <c r="E42" s="1064">
        <v>0.1</v>
      </c>
      <c r="F42" s="1076"/>
    </row>
    <row r="43" spans="1:6" ht="16" thickBot="1">
      <c r="A43" s="840" t="s">
        <v>442</v>
      </c>
      <c r="B43" s="844" t="s">
        <v>334</v>
      </c>
      <c r="C43" s="1064">
        <v>9.8000000000000004E-2</v>
      </c>
      <c r="D43" s="1064">
        <v>9.7000000000000003E-2</v>
      </c>
      <c r="E43" s="1064">
        <v>9.6000000000000002E-2</v>
      </c>
      <c r="F43" s="1076"/>
    </row>
    <row r="44" spans="1:6" ht="16" thickBot="1">
      <c r="A44" s="840" t="s">
        <v>442</v>
      </c>
      <c r="B44" s="844" t="s">
        <v>344</v>
      </c>
      <c r="C44" s="1064">
        <v>8.5999999999999993E-2</v>
      </c>
      <c r="D44" s="1064">
        <v>7.9000000000000001E-2</v>
      </c>
      <c r="E44" s="1064">
        <v>7.0999999999999994E-2</v>
      </c>
      <c r="F44" s="1076"/>
    </row>
    <row r="45" spans="1:6" ht="16" thickBot="1">
      <c r="A45" s="840" t="s">
        <v>442</v>
      </c>
      <c r="B45" s="844" t="s">
        <v>354</v>
      </c>
      <c r="C45" s="1064">
        <v>9.8000000000000004E-2</v>
      </c>
      <c r="D45" s="1064">
        <v>9.6000000000000002E-2</v>
      </c>
      <c r="E45" s="1064">
        <v>9.6000000000000002E-2</v>
      </c>
      <c r="F45" s="1076"/>
    </row>
    <row r="46" spans="1:6" ht="16" thickBot="1">
      <c r="A46" s="840" t="s">
        <v>442</v>
      </c>
      <c r="B46" s="844" t="s">
        <v>364</v>
      </c>
      <c r="C46" s="1064">
        <v>8.5999999999999993E-2</v>
      </c>
      <c r="D46" s="1064">
        <v>9.8000000000000004E-2</v>
      </c>
      <c r="E46" s="1064">
        <v>8.7999999999999995E-2</v>
      </c>
      <c r="F46" s="1076"/>
    </row>
    <row r="47" spans="1:6" ht="16" thickBot="1">
      <c r="A47" s="840" t="s">
        <v>442</v>
      </c>
      <c r="B47" s="844" t="s">
        <v>374</v>
      </c>
      <c r="C47" s="1064">
        <v>9.6000000000000002E-2</v>
      </c>
      <c r="D47" s="1077"/>
      <c r="E47" s="1064">
        <v>6.9000000000000006E-2</v>
      </c>
      <c r="F47" s="1076"/>
    </row>
    <row r="48" spans="1:6" ht="16" thickBot="1">
      <c r="A48" s="850" t="s">
        <v>442</v>
      </c>
      <c r="B48" s="845" t="s">
        <v>383</v>
      </c>
      <c r="C48" s="1066">
        <v>9.8000000000000004E-2</v>
      </c>
      <c r="D48" s="1074"/>
      <c r="E48" s="1066">
        <v>9.5000000000000001E-2</v>
      </c>
      <c r="F48" s="1075"/>
    </row>
    <row r="49" spans="1:6" ht="16" thickBot="1">
      <c r="A49" s="840" t="s">
        <v>137</v>
      </c>
      <c r="B49" s="841" t="s">
        <v>880</v>
      </c>
      <c r="C49" s="1062">
        <v>9.7000000000000003E-2</v>
      </c>
      <c r="D49" s="1062">
        <v>9.5000000000000001E-2</v>
      </c>
      <c r="E49" s="1062">
        <v>9.7000000000000003E-2</v>
      </c>
      <c r="F49" s="1063">
        <v>0.1</v>
      </c>
    </row>
    <row r="50" spans="1:6" ht="16" thickBot="1">
      <c r="A50" s="840" t="s">
        <v>137</v>
      </c>
      <c r="B50" s="834" t="s">
        <v>190</v>
      </c>
      <c r="C50" s="1064">
        <v>7.4999999999999997E-2</v>
      </c>
      <c r="D50" s="1064">
        <v>9.5000000000000001E-2</v>
      </c>
      <c r="E50" s="1064">
        <v>0.1</v>
      </c>
      <c r="F50" s="1065">
        <v>0.1</v>
      </c>
    </row>
    <row r="51" spans="1:6" ht="16" thickBot="1">
      <c r="A51" s="840" t="s">
        <v>137</v>
      </c>
      <c r="B51" s="834" t="s">
        <v>203</v>
      </c>
      <c r="C51" s="1064">
        <v>9.8000000000000004E-2</v>
      </c>
      <c r="D51" s="1064">
        <v>8.8999999999999996E-2</v>
      </c>
      <c r="E51" s="1064">
        <v>0.1</v>
      </c>
      <c r="F51" s="1065">
        <v>0.1</v>
      </c>
    </row>
    <row r="52" spans="1:6" ht="16" thickBot="1">
      <c r="A52" s="840" t="s">
        <v>137</v>
      </c>
      <c r="B52" s="834" t="s">
        <v>216</v>
      </c>
      <c r="C52" s="1064">
        <v>9.8000000000000004E-2</v>
      </c>
      <c r="D52" s="1064">
        <v>9.7000000000000003E-2</v>
      </c>
      <c r="E52" s="1064">
        <v>8.1000000000000003E-2</v>
      </c>
      <c r="F52" s="1065">
        <v>0.1</v>
      </c>
    </row>
    <row r="53" spans="1:6" ht="16" thickBot="1">
      <c r="A53" s="840" t="s">
        <v>137</v>
      </c>
      <c r="B53" s="834" t="s">
        <v>228</v>
      </c>
      <c r="C53" s="1064">
        <v>9.7000000000000003E-2</v>
      </c>
      <c r="D53" s="1064">
        <v>7.5999999999999998E-2</v>
      </c>
      <c r="E53" s="1064">
        <v>7.0999999999999994E-2</v>
      </c>
      <c r="F53" s="1065">
        <v>0.1</v>
      </c>
    </row>
    <row r="54" spans="1:6" ht="16" thickBot="1">
      <c r="A54" s="840" t="s">
        <v>137</v>
      </c>
      <c r="B54" s="834" t="s">
        <v>239</v>
      </c>
      <c r="C54" s="1064">
        <v>7.5999999999999998E-2</v>
      </c>
      <c r="D54" s="1064">
        <v>0.1</v>
      </c>
      <c r="E54" s="1064">
        <v>9.9000000000000005E-2</v>
      </c>
      <c r="F54" s="1065">
        <v>0.1</v>
      </c>
    </row>
    <row r="55" spans="1:6" ht="16" thickBot="1">
      <c r="A55" s="840" t="s">
        <v>137</v>
      </c>
      <c r="B55" s="834" t="s">
        <v>250</v>
      </c>
      <c r="C55" s="1064">
        <v>0.1</v>
      </c>
      <c r="D55" s="1064">
        <v>0.1</v>
      </c>
      <c r="E55" s="1064">
        <v>9.6000000000000002E-2</v>
      </c>
      <c r="F55" s="1065">
        <v>0.1</v>
      </c>
    </row>
    <row r="56" spans="1:6" ht="16" thickBot="1">
      <c r="A56" s="840" t="s">
        <v>137</v>
      </c>
      <c r="B56" s="834" t="s">
        <v>261</v>
      </c>
      <c r="C56" s="1064">
        <v>0.1</v>
      </c>
      <c r="D56" s="1064">
        <v>9.6000000000000002E-2</v>
      </c>
      <c r="E56" s="1064">
        <v>5.1999999999999998E-2</v>
      </c>
      <c r="F56" s="1065">
        <v>0.1</v>
      </c>
    </row>
    <row r="57" spans="1:6" ht="16" thickBot="1">
      <c r="A57" s="840" t="s">
        <v>137</v>
      </c>
      <c r="B57" s="834" t="s">
        <v>273</v>
      </c>
      <c r="C57" s="1064">
        <v>9.7000000000000003E-2</v>
      </c>
      <c r="D57" s="1064">
        <v>9.6000000000000002E-2</v>
      </c>
      <c r="E57" s="1064">
        <v>9.6000000000000002E-2</v>
      </c>
      <c r="F57" s="1065">
        <v>0.1</v>
      </c>
    </row>
    <row r="58" spans="1:6" ht="16" thickBot="1">
      <c r="A58" s="840" t="s">
        <v>137</v>
      </c>
      <c r="B58" s="834" t="s">
        <v>283</v>
      </c>
      <c r="C58" s="1064">
        <v>9.6000000000000002E-2</v>
      </c>
      <c r="D58" s="1064">
        <v>9.9000000000000005E-2</v>
      </c>
      <c r="E58" s="1064">
        <v>9.6000000000000002E-2</v>
      </c>
      <c r="F58" s="1065">
        <v>0.1</v>
      </c>
    </row>
    <row r="59" spans="1:6" ht="16" thickBot="1">
      <c r="A59" s="840" t="s">
        <v>137</v>
      </c>
      <c r="B59" s="834" t="s">
        <v>293</v>
      </c>
      <c r="C59" s="1064">
        <v>7.1999999999999995E-2</v>
      </c>
      <c r="D59" s="1064">
        <v>9.6000000000000002E-2</v>
      </c>
      <c r="E59" s="1064">
        <v>7.0999999999999994E-2</v>
      </c>
      <c r="F59" s="1065">
        <v>0.1</v>
      </c>
    </row>
    <row r="60" spans="1:6" ht="16" thickBot="1">
      <c r="A60" s="840" t="s">
        <v>137</v>
      </c>
      <c r="B60" s="834" t="s">
        <v>303</v>
      </c>
      <c r="C60" s="1064">
        <v>9.6000000000000002E-2</v>
      </c>
      <c r="D60" s="1064">
        <v>8.8999999999999996E-2</v>
      </c>
      <c r="E60" s="1064">
        <v>9.6000000000000002E-2</v>
      </c>
      <c r="F60" s="1065">
        <v>0.1</v>
      </c>
    </row>
    <row r="61" spans="1:6" ht="16" thickBot="1">
      <c r="A61" s="840" t="s">
        <v>137</v>
      </c>
      <c r="B61" s="834" t="s">
        <v>313</v>
      </c>
      <c r="C61" s="1064">
        <v>8.8999999999999996E-2</v>
      </c>
      <c r="D61" s="1064">
        <v>9.8000000000000004E-2</v>
      </c>
      <c r="E61" s="1064">
        <v>8.7999999999999995E-2</v>
      </c>
      <c r="F61" s="1076"/>
    </row>
    <row r="62" spans="1:6" ht="16" thickBot="1">
      <c r="A62" s="840" t="s">
        <v>137</v>
      </c>
      <c r="B62" s="834" t="s">
        <v>324</v>
      </c>
      <c r="C62" s="1064">
        <v>9.8000000000000004E-2</v>
      </c>
      <c r="D62" s="1064">
        <v>9.2999999999999999E-2</v>
      </c>
      <c r="E62" s="1064">
        <v>9.7000000000000003E-2</v>
      </c>
      <c r="F62" s="1076"/>
    </row>
    <row r="63" spans="1:6" ht="16" thickBot="1">
      <c r="A63" s="840" t="s">
        <v>137</v>
      </c>
      <c r="B63" s="834" t="s">
        <v>335</v>
      </c>
      <c r="C63" s="1064">
        <v>9.6000000000000002E-2</v>
      </c>
      <c r="D63" s="1064">
        <v>9.8000000000000004E-2</v>
      </c>
      <c r="E63" s="1064">
        <v>0.09</v>
      </c>
      <c r="F63" s="1076"/>
    </row>
    <row r="64" spans="1:6" ht="16" thickBot="1">
      <c r="A64" s="840" t="s">
        <v>137</v>
      </c>
      <c r="B64" s="834" t="s">
        <v>345</v>
      </c>
      <c r="C64" s="1064">
        <v>9.9000000000000005E-2</v>
      </c>
      <c r="D64" s="1064">
        <v>9.7000000000000003E-2</v>
      </c>
      <c r="E64" s="1064">
        <v>9.9000000000000005E-2</v>
      </c>
      <c r="F64" s="1076"/>
    </row>
    <row r="65" spans="1:6" ht="16" thickBot="1">
      <c r="A65" s="840" t="s">
        <v>137</v>
      </c>
      <c r="B65" s="834" t="s">
        <v>355</v>
      </c>
      <c r="C65" s="1064">
        <v>9.8000000000000004E-2</v>
      </c>
      <c r="D65" s="1064">
        <v>9.6000000000000002E-2</v>
      </c>
      <c r="E65" s="1064">
        <v>9.6000000000000002E-2</v>
      </c>
      <c r="F65" s="1076"/>
    </row>
    <row r="66" spans="1:6" ht="16" thickBot="1">
      <c r="A66" s="840" t="s">
        <v>137</v>
      </c>
      <c r="B66" s="834" t="s">
        <v>365</v>
      </c>
      <c r="C66" s="1064">
        <v>9.6000000000000002E-2</v>
      </c>
      <c r="D66" s="1064">
        <v>9.1999999999999998E-2</v>
      </c>
      <c r="E66" s="1064">
        <v>9.6000000000000002E-2</v>
      </c>
      <c r="F66" s="1076"/>
    </row>
    <row r="67" spans="1:6" ht="16" thickBot="1">
      <c r="A67" s="840" t="s">
        <v>137</v>
      </c>
      <c r="B67" s="834" t="s">
        <v>375</v>
      </c>
      <c r="C67" s="1064">
        <v>9.4E-2</v>
      </c>
      <c r="D67" s="1064">
        <v>0.1</v>
      </c>
      <c r="E67" s="1064">
        <v>8.7999999999999995E-2</v>
      </c>
      <c r="F67" s="1076"/>
    </row>
    <row r="68" spans="1:6" ht="16" thickBot="1">
      <c r="A68" s="840" t="s">
        <v>137</v>
      </c>
      <c r="B68" s="834" t="s">
        <v>384</v>
      </c>
      <c r="C68" s="1064">
        <v>0.1</v>
      </c>
      <c r="D68" s="1064">
        <v>8.7999999999999995E-2</v>
      </c>
      <c r="E68" s="1064">
        <v>9.7000000000000003E-2</v>
      </c>
      <c r="F68" s="1076"/>
    </row>
    <row r="69" spans="1:6" ht="16" thickBot="1">
      <c r="A69" s="840" t="s">
        <v>137</v>
      </c>
      <c r="B69" s="834" t="s">
        <v>393</v>
      </c>
      <c r="C69" s="1064">
        <v>6.4000000000000001E-2</v>
      </c>
      <c r="D69" s="1064">
        <v>0.1</v>
      </c>
      <c r="E69" s="1064">
        <v>0.1</v>
      </c>
      <c r="F69" s="1076"/>
    </row>
    <row r="70" spans="1:6" ht="16" thickBot="1">
      <c r="A70" s="840" t="s">
        <v>137</v>
      </c>
      <c r="B70" s="834" t="s">
        <v>401</v>
      </c>
      <c r="C70" s="1064">
        <v>9.0999999999999998E-2</v>
      </c>
      <c r="D70" s="1077"/>
      <c r="E70" s="1077"/>
      <c r="F70" s="1076"/>
    </row>
    <row r="71" spans="1:6" ht="16" thickBot="1">
      <c r="A71" s="840" t="s">
        <v>137</v>
      </c>
      <c r="B71" s="834" t="s">
        <v>408</v>
      </c>
      <c r="C71" s="1064">
        <v>0.1</v>
      </c>
      <c r="D71" s="1077"/>
      <c r="E71" s="1077"/>
      <c r="F71" s="1076"/>
    </row>
    <row r="72" spans="1:6" ht="16" thickBot="1">
      <c r="A72" s="840" t="s">
        <v>137</v>
      </c>
      <c r="B72" s="834" t="s">
        <v>881</v>
      </c>
      <c r="C72" s="1077"/>
      <c r="D72" s="1077"/>
      <c r="E72" s="1077"/>
      <c r="F72" s="1065">
        <v>0.05</v>
      </c>
    </row>
    <row r="73" spans="1:6" ht="16" thickBot="1">
      <c r="A73" s="840" t="s">
        <v>137</v>
      </c>
      <c r="B73" s="834" t="s">
        <v>882</v>
      </c>
      <c r="C73" s="1077"/>
      <c r="D73" s="1077"/>
      <c r="E73" s="1077"/>
      <c r="F73" s="1065">
        <v>0.05</v>
      </c>
    </row>
    <row r="74" spans="1:6" ht="16" thickBot="1">
      <c r="A74" s="840" t="s">
        <v>137</v>
      </c>
      <c r="B74" s="834" t="s">
        <v>883</v>
      </c>
      <c r="C74" s="1077"/>
      <c r="D74" s="1077"/>
      <c r="E74" s="1077"/>
      <c r="F74" s="1065">
        <v>0.05</v>
      </c>
    </row>
    <row r="75" spans="1:6" ht="16" thickBot="1">
      <c r="A75" s="850" t="s">
        <v>137</v>
      </c>
      <c r="B75" s="846" t="s">
        <v>884</v>
      </c>
      <c r="C75" s="1074"/>
      <c r="D75" s="1074"/>
      <c r="E75" s="1074"/>
      <c r="F75" s="1067">
        <v>0.05</v>
      </c>
    </row>
    <row r="76" spans="1:6" ht="16" thickBot="1">
      <c r="A76" s="840" t="s">
        <v>523</v>
      </c>
      <c r="B76" s="841" t="s">
        <v>885</v>
      </c>
      <c r="C76" s="1062">
        <v>0.1</v>
      </c>
      <c r="D76" s="1062">
        <v>0.1</v>
      </c>
      <c r="E76" s="1062">
        <v>0.1</v>
      </c>
      <c r="F76" s="1063">
        <v>0.1</v>
      </c>
    </row>
    <row r="77" spans="1:6" ht="16" thickBot="1">
      <c r="A77" s="840" t="s">
        <v>523</v>
      </c>
      <c r="B77" s="834" t="s">
        <v>191</v>
      </c>
      <c r="C77" s="1064">
        <v>8.7999999999999995E-2</v>
      </c>
      <c r="D77" s="1064">
        <v>8.6999999999999994E-2</v>
      </c>
      <c r="E77" s="1064">
        <v>7.9000000000000001E-2</v>
      </c>
      <c r="F77" s="1065">
        <v>0.1</v>
      </c>
    </row>
    <row r="78" spans="1:6" ht="16" thickBot="1">
      <c r="A78" s="840" t="s">
        <v>523</v>
      </c>
      <c r="B78" s="834" t="s">
        <v>204</v>
      </c>
      <c r="C78" s="1064">
        <v>8.6999999999999994E-2</v>
      </c>
      <c r="D78" s="1064">
        <v>8.4000000000000005E-2</v>
      </c>
      <c r="E78" s="1064">
        <v>9.6000000000000002E-2</v>
      </c>
      <c r="F78" s="1065">
        <v>0.1</v>
      </c>
    </row>
    <row r="79" spans="1:6" ht="16" thickBot="1">
      <c r="A79" s="840" t="s">
        <v>523</v>
      </c>
      <c r="B79" s="834" t="s">
        <v>217</v>
      </c>
      <c r="C79" s="1064">
        <v>9.8000000000000004E-2</v>
      </c>
      <c r="D79" s="1064">
        <v>9.8000000000000004E-2</v>
      </c>
      <c r="E79" s="1064">
        <v>9.0999999999999998E-2</v>
      </c>
      <c r="F79" s="1065">
        <v>0.1</v>
      </c>
    </row>
    <row r="80" spans="1:6" ht="16" thickBot="1">
      <c r="A80" s="840" t="s">
        <v>523</v>
      </c>
      <c r="B80" s="834" t="s">
        <v>229</v>
      </c>
      <c r="C80" s="1064">
        <v>9.6000000000000002E-2</v>
      </c>
      <c r="D80" s="1064">
        <v>9.6000000000000002E-2</v>
      </c>
      <c r="E80" s="1064">
        <v>0.1</v>
      </c>
      <c r="F80" s="1065">
        <v>0.1</v>
      </c>
    </row>
    <row r="81" spans="1:6" ht="16" thickBot="1">
      <c r="A81" s="840" t="s">
        <v>523</v>
      </c>
      <c r="B81" s="834" t="s">
        <v>240</v>
      </c>
      <c r="C81" s="1064">
        <v>9.9000000000000005E-2</v>
      </c>
      <c r="D81" s="1064">
        <v>9.9000000000000005E-2</v>
      </c>
      <c r="E81" s="1064">
        <v>9.8000000000000004E-2</v>
      </c>
      <c r="F81" s="1065">
        <v>0.1</v>
      </c>
    </row>
    <row r="82" spans="1:6" ht="16" thickBot="1">
      <c r="A82" s="840" t="s">
        <v>523</v>
      </c>
      <c r="B82" s="834" t="s">
        <v>251</v>
      </c>
      <c r="C82" s="1064">
        <v>9.9000000000000005E-2</v>
      </c>
      <c r="D82" s="1064">
        <v>9.9000000000000005E-2</v>
      </c>
      <c r="E82" s="1064">
        <v>9.7000000000000003E-2</v>
      </c>
      <c r="F82" s="1065">
        <v>0.1</v>
      </c>
    </row>
    <row r="83" spans="1:6" ht="16" thickBot="1">
      <c r="A83" s="840" t="s">
        <v>523</v>
      </c>
      <c r="B83" s="834" t="s">
        <v>262</v>
      </c>
      <c r="C83" s="1064">
        <v>9.8000000000000004E-2</v>
      </c>
      <c r="D83" s="1064">
        <v>9.8000000000000004E-2</v>
      </c>
      <c r="E83" s="1064">
        <v>9.8000000000000004E-2</v>
      </c>
      <c r="F83" s="1065">
        <v>0.1</v>
      </c>
    </row>
    <row r="84" spans="1:6" ht="16" thickBot="1">
      <c r="A84" s="840" t="s">
        <v>523</v>
      </c>
      <c r="B84" s="834" t="s">
        <v>274</v>
      </c>
      <c r="C84" s="1064">
        <v>9.9000000000000005E-2</v>
      </c>
      <c r="D84" s="1064">
        <v>9.9000000000000005E-2</v>
      </c>
      <c r="E84" s="1064">
        <v>9.9000000000000005E-2</v>
      </c>
      <c r="F84" s="1065">
        <v>0.1</v>
      </c>
    </row>
    <row r="85" spans="1:6" ht="16" thickBot="1">
      <c r="A85" s="840" t="s">
        <v>523</v>
      </c>
      <c r="B85" s="834" t="s">
        <v>284</v>
      </c>
      <c r="C85" s="1064">
        <v>9.9000000000000005E-2</v>
      </c>
      <c r="D85" s="1064">
        <v>9.9000000000000005E-2</v>
      </c>
      <c r="E85" s="1064">
        <v>9.9000000000000005E-2</v>
      </c>
      <c r="F85" s="1065">
        <v>0.1</v>
      </c>
    </row>
    <row r="86" spans="1:6" ht="16" thickBot="1">
      <c r="A86" s="840" t="s">
        <v>523</v>
      </c>
      <c r="B86" s="834" t="s">
        <v>294</v>
      </c>
      <c r="C86" s="1064">
        <v>0.1</v>
      </c>
      <c r="D86" s="1064">
        <v>0.1</v>
      </c>
      <c r="E86" s="1064">
        <v>7.6999999999999999E-2</v>
      </c>
      <c r="F86" s="1065">
        <v>0.1</v>
      </c>
    </row>
    <row r="87" spans="1:6" ht="16" thickBot="1">
      <c r="A87" s="840" t="s">
        <v>523</v>
      </c>
      <c r="B87" s="834" t="s">
        <v>304</v>
      </c>
      <c r="C87" s="1064">
        <v>0.1</v>
      </c>
      <c r="D87" s="1064">
        <v>0.1</v>
      </c>
      <c r="E87" s="1064">
        <v>9.8000000000000004E-2</v>
      </c>
      <c r="F87" s="1076"/>
    </row>
    <row r="88" spans="1:6" ht="16" thickBot="1">
      <c r="A88" s="840" t="s">
        <v>523</v>
      </c>
      <c r="B88" s="834" t="s">
        <v>314</v>
      </c>
      <c r="C88" s="1064">
        <v>9.1999999999999998E-2</v>
      </c>
      <c r="D88" s="1064">
        <v>8.5000000000000006E-2</v>
      </c>
      <c r="E88" s="1064">
        <v>9.6000000000000002E-2</v>
      </c>
      <c r="F88" s="1076"/>
    </row>
    <row r="89" spans="1:6" ht="16" thickBot="1">
      <c r="A89" s="840" t="s">
        <v>523</v>
      </c>
      <c r="B89" s="834" t="s">
        <v>325</v>
      </c>
      <c r="C89" s="1064">
        <v>0.1</v>
      </c>
      <c r="D89" s="1064">
        <v>0.1</v>
      </c>
      <c r="E89" s="1064">
        <v>9.7000000000000003E-2</v>
      </c>
      <c r="F89" s="1076"/>
    </row>
    <row r="90" spans="1:6" ht="16" thickBot="1">
      <c r="A90" s="840" t="s">
        <v>523</v>
      </c>
      <c r="B90" s="834" t="s">
        <v>336</v>
      </c>
      <c r="C90" s="1064">
        <v>9.8000000000000004E-2</v>
      </c>
      <c r="D90" s="1064">
        <v>9.8000000000000004E-2</v>
      </c>
      <c r="E90" s="1064">
        <v>8.7999999999999995E-2</v>
      </c>
      <c r="F90" s="1076"/>
    </row>
    <row r="91" spans="1:6" ht="16" thickBot="1">
      <c r="A91" s="840" t="s">
        <v>523</v>
      </c>
      <c r="B91" s="834" t="s">
        <v>346</v>
      </c>
      <c r="C91" s="1064">
        <v>9.9000000000000005E-2</v>
      </c>
      <c r="D91" s="1064">
        <v>9.9000000000000005E-2</v>
      </c>
      <c r="E91" s="1064">
        <v>9.0999999999999998E-2</v>
      </c>
      <c r="F91" s="1076"/>
    </row>
    <row r="92" spans="1:6" ht="16" thickBot="1">
      <c r="A92" s="840" t="s">
        <v>523</v>
      </c>
      <c r="B92" s="834" t="s">
        <v>356</v>
      </c>
      <c r="C92" s="1064">
        <v>9.6000000000000002E-2</v>
      </c>
      <c r="D92" s="1064">
        <v>9.6000000000000002E-2</v>
      </c>
      <c r="E92" s="1064">
        <v>7.2999999999999995E-2</v>
      </c>
      <c r="F92" s="1076"/>
    </row>
    <row r="93" spans="1:6" ht="16" thickBot="1">
      <c r="A93" s="840" t="s">
        <v>523</v>
      </c>
      <c r="B93" s="834" t="s">
        <v>366</v>
      </c>
      <c r="C93" s="1064">
        <v>9.6000000000000002E-2</v>
      </c>
      <c r="D93" s="1064">
        <v>9.6000000000000002E-2</v>
      </c>
      <c r="E93" s="1064">
        <v>9.9000000000000005E-2</v>
      </c>
      <c r="F93" s="1076"/>
    </row>
    <row r="94" spans="1:6" ht="16" thickBot="1">
      <c r="A94" s="840" t="s">
        <v>523</v>
      </c>
      <c r="B94" s="834" t="s">
        <v>376</v>
      </c>
      <c r="C94" s="1064">
        <v>7.5999999999999998E-2</v>
      </c>
      <c r="D94" s="1064">
        <v>7.3999999999999996E-2</v>
      </c>
      <c r="E94" s="1064">
        <v>9.7000000000000003E-2</v>
      </c>
      <c r="F94" s="1076"/>
    </row>
    <row r="95" spans="1:6" ht="16" thickBot="1">
      <c r="A95" s="840" t="s">
        <v>523</v>
      </c>
      <c r="B95" s="834" t="s">
        <v>385</v>
      </c>
      <c r="C95" s="1064">
        <v>9.9000000000000005E-2</v>
      </c>
      <c r="D95" s="1064">
        <v>9.4E-2</v>
      </c>
      <c r="E95" s="1064">
        <v>9.6000000000000002E-2</v>
      </c>
      <c r="F95" s="1076"/>
    </row>
    <row r="96" spans="1:6" ht="16" thickBot="1">
      <c r="A96" s="840" t="s">
        <v>523</v>
      </c>
      <c r="B96" s="834" t="s">
        <v>394</v>
      </c>
      <c r="C96" s="1064">
        <v>9.9000000000000005E-2</v>
      </c>
      <c r="D96" s="1064">
        <v>9.9000000000000005E-2</v>
      </c>
      <c r="E96" s="1064">
        <v>9.9000000000000005E-2</v>
      </c>
      <c r="F96" s="1076"/>
    </row>
    <row r="97" spans="1:6" ht="16" thickBot="1">
      <c r="A97" s="840" t="s">
        <v>523</v>
      </c>
      <c r="B97" s="834" t="s">
        <v>402</v>
      </c>
      <c r="C97" s="1064">
        <v>9.8000000000000004E-2</v>
      </c>
      <c r="D97" s="1064">
        <v>9.8000000000000004E-2</v>
      </c>
      <c r="E97" s="1064">
        <v>9.7000000000000003E-2</v>
      </c>
      <c r="F97" s="1076"/>
    </row>
    <row r="98" spans="1:6" ht="16" thickBot="1">
      <c r="A98" s="840" t="s">
        <v>523</v>
      </c>
      <c r="B98" s="834" t="s">
        <v>409</v>
      </c>
      <c r="C98" s="1064">
        <v>0.1</v>
      </c>
      <c r="D98" s="1064">
        <v>0.1</v>
      </c>
      <c r="E98" s="1064">
        <v>9.7000000000000003E-2</v>
      </c>
      <c r="F98" s="1076"/>
    </row>
    <row r="99" spans="1:6" ht="16" thickBot="1">
      <c r="A99" s="840" t="s">
        <v>523</v>
      </c>
      <c r="B99" s="834" t="s">
        <v>416</v>
      </c>
      <c r="C99" s="1064">
        <v>0.1</v>
      </c>
      <c r="D99" s="1064">
        <v>0.1</v>
      </c>
      <c r="E99" s="1077"/>
      <c r="F99" s="1076"/>
    </row>
    <row r="100" spans="1:6" ht="16" thickBot="1">
      <c r="A100" s="840" t="s">
        <v>523</v>
      </c>
      <c r="B100" s="834" t="s">
        <v>423</v>
      </c>
      <c r="C100" s="1064">
        <v>0.09</v>
      </c>
      <c r="D100" s="1064">
        <v>8.8999999999999996E-2</v>
      </c>
      <c r="E100" s="1077"/>
      <c r="F100" s="1076"/>
    </row>
    <row r="101" spans="1:6" ht="16" thickBot="1">
      <c r="A101" s="840" t="s">
        <v>523</v>
      </c>
      <c r="B101" s="834" t="s">
        <v>430</v>
      </c>
      <c r="C101" s="1064">
        <v>9.8000000000000004E-2</v>
      </c>
      <c r="D101" s="1064">
        <v>9.7000000000000003E-2</v>
      </c>
      <c r="E101" s="1077"/>
      <c r="F101" s="1076"/>
    </row>
    <row r="102" spans="1:6" ht="16" thickBot="1">
      <c r="A102" s="840" t="s">
        <v>523</v>
      </c>
      <c r="B102" s="834" t="s">
        <v>886</v>
      </c>
      <c r="C102" s="1077"/>
      <c r="D102" s="1077"/>
      <c r="E102" s="1077"/>
      <c r="F102" s="1065">
        <v>0.05</v>
      </c>
    </row>
    <row r="103" spans="1:6" ht="31" thickBot="1">
      <c r="A103" s="840" t="s">
        <v>523</v>
      </c>
      <c r="B103" s="834" t="s">
        <v>887</v>
      </c>
      <c r="C103" s="1077"/>
      <c r="D103" s="1077"/>
      <c r="E103" s="1077"/>
      <c r="F103" s="1065">
        <v>0.05</v>
      </c>
    </row>
    <row r="104" spans="1:6" ht="16" thickBot="1">
      <c r="A104" s="840" t="s">
        <v>523</v>
      </c>
      <c r="B104" s="834" t="s">
        <v>888</v>
      </c>
      <c r="C104" s="1077"/>
      <c r="D104" s="1077"/>
      <c r="E104" s="1077"/>
      <c r="F104" s="1065">
        <v>0.05</v>
      </c>
    </row>
    <row r="105" spans="1:6" ht="16" thickBot="1">
      <c r="A105" s="840" t="s">
        <v>523</v>
      </c>
      <c r="B105" s="834" t="s">
        <v>889</v>
      </c>
      <c r="C105" s="1077"/>
      <c r="D105" s="1077"/>
      <c r="E105" s="1077"/>
      <c r="F105" s="1065">
        <v>0.05</v>
      </c>
    </row>
    <row r="106" spans="1:6" ht="16" thickBot="1">
      <c r="A106" s="840" t="s">
        <v>523</v>
      </c>
      <c r="B106" s="834" t="s">
        <v>890</v>
      </c>
      <c r="C106" s="1077"/>
      <c r="D106" s="1077"/>
      <c r="E106" s="1077"/>
      <c r="F106" s="1065">
        <v>0.05</v>
      </c>
    </row>
    <row r="107" spans="1:6" ht="31" thickBot="1">
      <c r="A107" s="840" t="s">
        <v>523</v>
      </c>
      <c r="B107" s="834" t="s">
        <v>891</v>
      </c>
      <c r="C107" s="1077"/>
      <c r="D107" s="1077"/>
      <c r="E107" s="1077"/>
      <c r="F107" s="1065">
        <v>0.05</v>
      </c>
    </row>
    <row r="108" spans="1:6" ht="31" thickBot="1">
      <c r="A108" s="840" t="s">
        <v>523</v>
      </c>
      <c r="B108" s="834" t="s">
        <v>892</v>
      </c>
      <c r="C108" s="1077"/>
      <c r="D108" s="1077"/>
      <c r="E108" s="1077"/>
      <c r="F108" s="1065">
        <v>0.05</v>
      </c>
    </row>
    <row r="109" spans="1:6" ht="31" thickBot="1">
      <c r="A109" s="850" t="s">
        <v>523</v>
      </c>
      <c r="B109" s="846" t="s">
        <v>893</v>
      </c>
      <c r="C109" s="1074"/>
      <c r="D109" s="1074"/>
      <c r="E109" s="1074"/>
      <c r="F109" s="1067">
        <v>0.05</v>
      </c>
    </row>
    <row r="110" spans="1:6" ht="16" thickBot="1">
      <c r="A110" s="840" t="s">
        <v>56</v>
      </c>
      <c r="B110" s="841" t="s">
        <v>894</v>
      </c>
      <c r="C110" s="1062">
        <v>0.129</v>
      </c>
      <c r="D110" s="1062">
        <v>0.129</v>
      </c>
      <c r="E110" s="1062">
        <v>0.126</v>
      </c>
      <c r="F110" s="1063">
        <v>0.13</v>
      </c>
    </row>
    <row r="111" spans="1:6" ht="16" thickBot="1">
      <c r="A111" s="840" t="s">
        <v>56</v>
      </c>
      <c r="B111" s="834" t="s">
        <v>192</v>
      </c>
      <c r="C111" s="1064">
        <v>0.11</v>
      </c>
      <c r="D111" s="1064">
        <v>0.11</v>
      </c>
      <c r="E111" s="1064">
        <v>9.9000000000000005E-2</v>
      </c>
      <c r="F111" s="1065">
        <v>0.128</v>
      </c>
    </row>
    <row r="112" spans="1:6" ht="16" thickBot="1">
      <c r="A112" s="840" t="s">
        <v>56</v>
      </c>
      <c r="B112" s="834" t="s">
        <v>205</v>
      </c>
      <c r="C112" s="1064">
        <v>0.125</v>
      </c>
      <c r="D112" s="1064">
        <v>0.125</v>
      </c>
      <c r="E112" s="1064">
        <v>0.12</v>
      </c>
      <c r="F112" s="1065">
        <v>0.125</v>
      </c>
    </row>
    <row r="113" spans="1:6" ht="16" thickBot="1">
      <c r="A113" s="840" t="s">
        <v>56</v>
      </c>
      <c r="B113" s="834" t="s">
        <v>218</v>
      </c>
      <c r="C113" s="1064">
        <v>0.13</v>
      </c>
      <c r="D113" s="1064">
        <v>0.13</v>
      </c>
      <c r="E113" s="1064">
        <v>0.13</v>
      </c>
      <c r="F113" s="1065">
        <v>0.13</v>
      </c>
    </row>
    <row r="114" spans="1:6" ht="16" thickBot="1">
      <c r="A114" s="840" t="s">
        <v>56</v>
      </c>
      <c r="B114" s="834" t="s">
        <v>230</v>
      </c>
      <c r="C114" s="1064">
        <v>0.123</v>
      </c>
      <c r="D114" s="1064">
        <v>0.123</v>
      </c>
      <c r="E114" s="1064">
        <v>0.12</v>
      </c>
      <c r="F114" s="1065">
        <v>0.13</v>
      </c>
    </row>
    <row r="115" spans="1:6" ht="16" thickBot="1">
      <c r="A115" s="840" t="s">
        <v>56</v>
      </c>
      <c r="B115" s="834" t="s">
        <v>241</v>
      </c>
      <c r="C115" s="1064">
        <v>0.125</v>
      </c>
      <c r="D115" s="1064">
        <v>0.125</v>
      </c>
      <c r="E115" s="1064">
        <v>0.11700000000000001</v>
      </c>
      <c r="F115" s="1065">
        <v>0.13</v>
      </c>
    </row>
    <row r="116" spans="1:6" ht="16" thickBot="1">
      <c r="A116" s="840" t="s">
        <v>56</v>
      </c>
      <c r="B116" s="834" t="s">
        <v>252</v>
      </c>
      <c r="C116" s="1064">
        <v>0.11700000000000001</v>
      </c>
      <c r="D116" s="1064">
        <v>0.11700000000000001</v>
      </c>
      <c r="E116" s="1064">
        <v>8.7999999999999995E-2</v>
      </c>
      <c r="F116" s="1065">
        <v>0.13</v>
      </c>
    </row>
    <row r="117" spans="1:6" ht="16" thickBot="1">
      <c r="A117" s="840" t="s">
        <v>56</v>
      </c>
      <c r="B117" s="834" t="s">
        <v>263</v>
      </c>
      <c r="C117" s="1064">
        <v>0.13</v>
      </c>
      <c r="D117" s="1064">
        <v>0.13</v>
      </c>
      <c r="E117" s="1064">
        <v>0.129</v>
      </c>
      <c r="F117" s="1065">
        <v>0.13</v>
      </c>
    </row>
    <row r="118" spans="1:6" ht="16" thickBot="1">
      <c r="A118" s="840" t="s">
        <v>56</v>
      </c>
      <c r="B118" s="834" t="s">
        <v>275</v>
      </c>
      <c r="C118" s="1064">
        <v>0.123</v>
      </c>
      <c r="D118" s="1064">
        <v>0.123</v>
      </c>
      <c r="E118" s="1064">
        <v>0.11600000000000001</v>
      </c>
      <c r="F118" s="1065">
        <v>0.13</v>
      </c>
    </row>
    <row r="119" spans="1:6" ht="16" thickBot="1">
      <c r="A119" s="840" t="s">
        <v>56</v>
      </c>
      <c r="B119" s="834" t="s">
        <v>285</v>
      </c>
      <c r="C119" s="1064">
        <v>0.127</v>
      </c>
      <c r="D119" s="1064">
        <v>0.127</v>
      </c>
      <c r="E119" s="1064">
        <v>0.124</v>
      </c>
      <c r="F119" s="1065">
        <v>0.13</v>
      </c>
    </row>
    <row r="120" spans="1:6" ht="16" thickBot="1">
      <c r="A120" s="840" t="s">
        <v>56</v>
      </c>
      <c r="B120" s="834" t="s">
        <v>295</v>
      </c>
      <c r="C120" s="1064">
        <v>0.125</v>
      </c>
      <c r="D120" s="1064">
        <v>0.125</v>
      </c>
      <c r="E120" s="1064">
        <v>0.122</v>
      </c>
      <c r="F120" s="1065">
        <v>0.13</v>
      </c>
    </row>
    <row r="121" spans="1:6" ht="16" thickBot="1">
      <c r="A121" s="840" t="s">
        <v>56</v>
      </c>
      <c r="B121" s="834" t="s">
        <v>305</v>
      </c>
      <c r="C121" s="1064">
        <v>0.13</v>
      </c>
      <c r="D121" s="1064">
        <v>0.13</v>
      </c>
      <c r="E121" s="1064">
        <v>0.13</v>
      </c>
      <c r="F121" s="1065">
        <v>0.13</v>
      </c>
    </row>
    <row r="122" spans="1:6" ht="16" thickBot="1">
      <c r="A122" s="840" t="s">
        <v>56</v>
      </c>
      <c r="B122" s="834" t="s">
        <v>315</v>
      </c>
      <c r="C122" s="1064">
        <v>0.13</v>
      </c>
      <c r="D122" s="1064">
        <v>0.13</v>
      </c>
      <c r="E122" s="1064">
        <v>0.125</v>
      </c>
      <c r="F122" s="1065">
        <v>0.13</v>
      </c>
    </row>
    <row r="123" spans="1:6" ht="16" thickBot="1">
      <c r="A123" s="840" t="s">
        <v>56</v>
      </c>
      <c r="B123" s="834" t="s">
        <v>326</v>
      </c>
      <c r="C123" s="1064">
        <v>0.129</v>
      </c>
      <c r="D123" s="1064">
        <v>0.129</v>
      </c>
      <c r="E123" s="1064">
        <v>0.123</v>
      </c>
      <c r="F123" s="1065">
        <v>0.13</v>
      </c>
    </row>
    <row r="124" spans="1:6" ht="16" thickBot="1">
      <c r="A124" s="840" t="s">
        <v>56</v>
      </c>
      <c r="B124" s="834" t="s">
        <v>337</v>
      </c>
      <c r="C124" s="1064">
        <v>0.10199999999999999</v>
      </c>
      <c r="D124" s="1064">
        <v>0.10100000000000001</v>
      </c>
      <c r="E124" s="1064">
        <v>0.08</v>
      </c>
      <c r="F124" s="1076"/>
    </row>
    <row r="125" spans="1:6" ht="16" thickBot="1">
      <c r="A125" s="840" t="s">
        <v>56</v>
      </c>
      <c r="B125" s="834" t="s">
        <v>347</v>
      </c>
      <c r="C125" s="1064">
        <v>0.13</v>
      </c>
      <c r="D125" s="1064">
        <v>0.13</v>
      </c>
      <c r="E125" s="1064">
        <v>0.129</v>
      </c>
      <c r="F125" s="1076"/>
    </row>
    <row r="126" spans="1:6" ht="16" thickBot="1">
      <c r="A126" s="840" t="s">
        <v>56</v>
      </c>
      <c r="B126" s="834" t="s">
        <v>357</v>
      </c>
      <c r="C126" s="1064">
        <v>0.13</v>
      </c>
      <c r="D126" s="1064">
        <v>0.13</v>
      </c>
      <c r="E126" s="1064">
        <v>0.126</v>
      </c>
      <c r="F126" s="1076"/>
    </row>
    <row r="127" spans="1:6" ht="16" thickBot="1">
      <c r="A127" s="840" t="s">
        <v>56</v>
      </c>
      <c r="B127" s="834" t="s">
        <v>367</v>
      </c>
      <c r="C127" s="1064">
        <v>0.125</v>
      </c>
      <c r="D127" s="1064">
        <v>0.125</v>
      </c>
      <c r="E127" s="1064">
        <v>0.121</v>
      </c>
      <c r="F127" s="1076"/>
    </row>
    <row r="128" spans="1:6" ht="16" thickBot="1">
      <c r="A128" s="840" t="s">
        <v>56</v>
      </c>
      <c r="B128" s="834" t="s">
        <v>377</v>
      </c>
      <c r="C128" s="1064">
        <v>0.12</v>
      </c>
      <c r="D128" s="1064">
        <v>0.12</v>
      </c>
      <c r="E128" s="1064">
        <v>0.105</v>
      </c>
      <c r="F128" s="1076"/>
    </row>
    <row r="129" spans="1:6" ht="16" thickBot="1">
      <c r="A129" s="840" t="s">
        <v>56</v>
      </c>
      <c r="B129" s="834" t="s">
        <v>386</v>
      </c>
      <c r="C129" s="1064">
        <v>0.13</v>
      </c>
      <c r="D129" s="1064">
        <v>0.13</v>
      </c>
      <c r="E129" s="1064">
        <v>0.126</v>
      </c>
      <c r="F129" s="1076"/>
    </row>
    <row r="130" spans="1:6" ht="16" thickBot="1">
      <c r="A130" s="840" t="s">
        <v>56</v>
      </c>
      <c r="B130" s="834" t="s">
        <v>395</v>
      </c>
      <c r="C130" s="1064">
        <v>0.125</v>
      </c>
      <c r="D130" s="1064">
        <v>0.125</v>
      </c>
      <c r="E130" s="1064">
        <v>0.122</v>
      </c>
      <c r="F130" s="1076"/>
    </row>
    <row r="131" spans="1:6" ht="16" thickBot="1">
      <c r="A131" s="840" t="s">
        <v>56</v>
      </c>
      <c r="B131" s="834" t="s">
        <v>403</v>
      </c>
      <c r="C131" s="1064">
        <v>0.127</v>
      </c>
      <c r="D131" s="1064">
        <v>0.126</v>
      </c>
      <c r="E131" s="1064">
        <v>0.123</v>
      </c>
      <c r="F131" s="1076"/>
    </row>
    <row r="132" spans="1:6" ht="16" thickBot="1">
      <c r="A132" s="840" t="s">
        <v>56</v>
      </c>
      <c r="B132" s="834" t="s">
        <v>410</v>
      </c>
      <c r="C132" s="1064">
        <v>9.0999999999999998E-2</v>
      </c>
      <c r="D132" s="1064">
        <v>0.121</v>
      </c>
      <c r="E132" s="1064">
        <v>9.9000000000000005E-2</v>
      </c>
      <c r="F132" s="1076"/>
    </row>
    <row r="133" spans="1:6" ht="16" thickBot="1">
      <c r="A133" s="840" t="s">
        <v>56</v>
      </c>
      <c r="B133" s="834" t="s">
        <v>417</v>
      </c>
      <c r="C133" s="1064">
        <v>0.13</v>
      </c>
      <c r="D133" s="1064">
        <v>0.13</v>
      </c>
      <c r="E133" s="1064">
        <v>0.129</v>
      </c>
      <c r="F133" s="1076"/>
    </row>
    <row r="134" spans="1:6" ht="16" thickBot="1">
      <c r="A134" s="840" t="s">
        <v>56</v>
      </c>
      <c r="B134" s="834" t="s">
        <v>895</v>
      </c>
      <c r="C134" s="1064">
        <v>6.8000000000000005E-2</v>
      </c>
      <c r="D134" s="1064">
        <v>6.5000000000000002E-2</v>
      </c>
      <c r="E134" s="1064">
        <v>6.5000000000000002E-2</v>
      </c>
      <c r="F134" s="1065">
        <v>0.13</v>
      </c>
    </row>
    <row r="135" spans="1:6" ht="16" thickBot="1">
      <c r="A135" s="840" t="s">
        <v>56</v>
      </c>
      <c r="B135" s="834" t="s">
        <v>431</v>
      </c>
      <c r="C135" s="1064">
        <v>0.123</v>
      </c>
      <c r="D135" s="1064">
        <v>0.123</v>
      </c>
      <c r="E135" s="1064">
        <v>0.11</v>
      </c>
      <c r="F135" s="1076"/>
    </row>
    <row r="136" spans="1:6" ht="16" thickBot="1">
      <c r="A136" s="840" t="s">
        <v>56</v>
      </c>
      <c r="B136" s="834" t="s">
        <v>438</v>
      </c>
      <c r="C136" s="1064">
        <v>0.13</v>
      </c>
      <c r="D136" s="1064">
        <v>0.13</v>
      </c>
      <c r="E136" s="1064">
        <v>0.125</v>
      </c>
      <c r="F136" s="1076"/>
    </row>
    <row r="137" spans="1:6" ht="16" thickBot="1">
      <c r="A137" s="840" t="s">
        <v>56</v>
      </c>
      <c r="B137" s="834" t="s">
        <v>445</v>
      </c>
      <c r="C137" s="1064">
        <v>0.121</v>
      </c>
      <c r="D137" s="1064">
        <v>0.122</v>
      </c>
      <c r="E137" s="1064">
        <v>0.115</v>
      </c>
      <c r="F137" s="1076"/>
    </row>
    <row r="138" spans="1:6" ht="16" thickBot="1">
      <c r="A138" s="840" t="s">
        <v>56</v>
      </c>
      <c r="B138" s="834" t="s">
        <v>896</v>
      </c>
      <c r="C138" s="1064">
        <v>0.105</v>
      </c>
      <c r="D138" s="1064">
        <v>0.125</v>
      </c>
      <c r="E138" s="1064">
        <v>0.112</v>
      </c>
      <c r="F138" s="1076"/>
    </row>
    <row r="139" spans="1:6" ht="16" thickBot="1">
      <c r="A139" s="840" t="s">
        <v>56</v>
      </c>
      <c r="B139" s="834" t="s">
        <v>897</v>
      </c>
      <c r="C139" s="1064">
        <v>0.127</v>
      </c>
      <c r="D139" s="1064">
        <v>0.127</v>
      </c>
      <c r="E139" s="1064">
        <v>0.122</v>
      </c>
      <c r="F139" s="1065">
        <v>0.13</v>
      </c>
    </row>
    <row r="140" spans="1:6" ht="16" thickBot="1">
      <c r="A140" s="840" t="s">
        <v>56</v>
      </c>
      <c r="B140" s="834" t="s">
        <v>898</v>
      </c>
      <c r="C140" s="1064">
        <v>0.125</v>
      </c>
      <c r="D140" s="1064">
        <v>0.125</v>
      </c>
      <c r="E140" s="1064">
        <v>0.11899999999999999</v>
      </c>
      <c r="F140" s="1065">
        <v>0.13</v>
      </c>
    </row>
    <row r="141" spans="1:6" ht="16" thickBot="1">
      <c r="A141" s="840" t="s">
        <v>56</v>
      </c>
      <c r="B141" s="834" t="s">
        <v>464</v>
      </c>
      <c r="C141" s="1064">
        <v>0.125</v>
      </c>
      <c r="D141" s="1064">
        <v>0.125</v>
      </c>
      <c r="E141" s="1064">
        <v>0.11700000000000001</v>
      </c>
      <c r="F141" s="1076"/>
    </row>
    <row r="142" spans="1:6" ht="16" thickBot="1">
      <c r="A142" s="840" t="s">
        <v>56</v>
      </c>
      <c r="B142" s="834" t="s">
        <v>469</v>
      </c>
      <c r="C142" s="1064">
        <v>0.125</v>
      </c>
      <c r="D142" s="1064">
        <v>0.125</v>
      </c>
      <c r="E142" s="1064">
        <v>0.115</v>
      </c>
      <c r="F142" s="1076"/>
    </row>
    <row r="143" spans="1:6" ht="16" thickBot="1">
      <c r="A143" s="840" t="s">
        <v>56</v>
      </c>
      <c r="B143" s="834" t="s">
        <v>474</v>
      </c>
      <c r="C143" s="1064">
        <v>0.121</v>
      </c>
      <c r="D143" s="1064">
        <v>0.121</v>
      </c>
      <c r="E143" s="1064">
        <v>0.108</v>
      </c>
      <c r="F143" s="1076"/>
    </row>
    <row r="144" spans="1:6" ht="16" thickBot="1">
      <c r="A144" s="840" t="s">
        <v>56</v>
      </c>
      <c r="B144" s="1068" t="s">
        <v>899</v>
      </c>
      <c r="C144" s="1069">
        <v>0.126</v>
      </c>
      <c r="D144" s="1069">
        <v>0.126</v>
      </c>
      <c r="E144" s="1069">
        <v>0.121</v>
      </c>
      <c r="F144" s="1076"/>
    </row>
    <row r="145" spans="1:6" ht="16" thickBot="1">
      <c r="A145" s="850" t="s">
        <v>56</v>
      </c>
      <c r="B145" s="1070" t="s">
        <v>900</v>
      </c>
      <c r="C145" s="1078"/>
      <c r="D145" s="1078"/>
      <c r="E145" s="1078"/>
      <c r="F145" s="1071">
        <v>0.05</v>
      </c>
    </row>
    <row r="146" spans="1:6" ht="31" thickBot="1">
      <c r="A146" s="1072" t="s">
        <v>56</v>
      </c>
      <c r="B146" s="844" t="s">
        <v>901</v>
      </c>
      <c r="C146" s="1077"/>
      <c r="D146" s="1077"/>
      <c r="E146" s="1077"/>
      <c r="F146" s="1073">
        <v>0.05</v>
      </c>
    </row>
    <row r="147" spans="1:6" ht="31" thickBot="1">
      <c r="A147" s="840" t="s">
        <v>56</v>
      </c>
      <c r="B147" s="834" t="s">
        <v>902</v>
      </c>
      <c r="C147" s="1077"/>
      <c r="D147" s="1077"/>
      <c r="E147" s="1077"/>
      <c r="F147" s="1065">
        <v>0.05</v>
      </c>
    </row>
    <row r="148" spans="1:6" ht="31" thickBot="1">
      <c r="A148" s="840" t="s">
        <v>56</v>
      </c>
      <c r="B148" s="834" t="s">
        <v>903</v>
      </c>
      <c r="C148" s="1077"/>
      <c r="D148" s="1077"/>
      <c r="E148" s="1077"/>
      <c r="F148" s="1065">
        <v>0.05</v>
      </c>
    </row>
    <row r="149" spans="1:6" ht="31" thickBot="1">
      <c r="A149" s="840" t="s">
        <v>56</v>
      </c>
      <c r="B149" s="834" t="s">
        <v>904</v>
      </c>
      <c r="C149" s="1077"/>
      <c r="D149" s="1077"/>
      <c r="E149" s="1077"/>
      <c r="F149" s="1065">
        <v>0.05</v>
      </c>
    </row>
    <row r="150" spans="1:6" ht="31" thickBot="1">
      <c r="A150" s="840" t="s">
        <v>56</v>
      </c>
      <c r="B150" s="834" t="s">
        <v>905</v>
      </c>
      <c r="C150" s="1077"/>
      <c r="D150" s="1077"/>
      <c r="E150" s="1077"/>
      <c r="F150" s="1065">
        <v>0.05</v>
      </c>
    </row>
    <row r="151" spans="1:6" ht="31" thickBot="1">
      <c r="A151" s="840" t="s">
        <v>56</v>
      </c>
      <c r="B151" s="834" t="s">
        <v>906</v>
      </c>
      <c r="C151" s="1077"/>
      <c r="D151" s="1077"/>
      <c r="E151" s="1077"/>
      <c r="F151" s="1065">
        <v>0.05</v>
      </c>
    </row>
    <row r="152" spans="1:6" ht="31" thickBot="1">
      <c r="A152" s="840" t="s">
        <v>56</v>
      </c>
      <c r="B152" s="834" t="s">
        <v>507</v>
      </c>
      <c r="C152" s="1077"/>
      <c r="D152" s="1077"/>
      <c r="E152" s="1077"/>
      <c r="F152" s="1065">
        <v>0.05</v>
      </c>
    </row>
    <row r="153" spans="1:6" ht="16" thickBot="1">
      <c r="A153" s="840" t="s">
        <v>56</v>
      </c>
      <c r="B153" s="834" t="s">
        <v>907</v>
      </c>
      <c r="C153" s="1077"/>
      <c r="D153" s="1077"/>
      <c r="E153" s="1077"/>
      <c r="F153" s="1065">
        <v>0.05</v>
      </c>
    </row>
    <row r="154" spans="1:6" ht="16" thickBot="1">
      <c r="A154" s="840" t="s">
        <v>56</v>
      </c>
      <c r="B154" s="834" t="s">
        <v>908</v>
      </c>
      <c r="C154" s="1077"/>
      <c r="D154" s="1077"/>
      <c r="E154" s="1077"/>
      <c r="F154" s="1065">
        <v>0.05</v>
      </c>
    </row>
    <row r="155" spans="1:6" ht="31" thickBot="1">
      <c r="A155" s="840" t="s">
        <v>56</v>
      </c>
      <c r="B155" s="834" t="s">
        <v>909</v>
      </c>
      <c r="C155" s="1077"/>
      <c r="D155" s="1077"/>
      <c r="E155" s="1077"/>
      <c r="F155" s="1065">
        <v>0.05</v>
      </c>
    </row>
    <row r="156" spans="1:6" ht="31" thickBot="1">
      <c r="A156" s="840" t="s">
        <v>56</v>
      </c>
      <c r="B156" s="834" t="s">
        <v>910</v>
      </c>
      <c r="C156" s="1077"/>
      <c r="D156" s="1077"/>
      <c r="E156" s="1077"/>
      <c r="F156" s="1065">
        <v>0.05</v>
      </c>
    </row>
    <row r="157" spans="1:6" ht="16" thickBot="1">
      <c r="A157" s="850" t="s">
        <v>56</v>
      </c>
      <c r="B157" s="846" t="s">
        <v>911</v>
      </c>
      <c r="C157" s="1074"/>
      <c r="D157" s="1074"/>
      <c r="E157" s="1074"/>
      <c r="F157" s="1067">
        <v>0.05</v>
      </c>
    </row>
    <row r="158" spans="1:6" ht="16" thickBot="1">
      <c r="A158" s="840" t="s">
        <v>526</v>
      </c>
      <c r="B158" s="841" t="s">
        <v>912</v>
      </c>
      <c r="C158" s="1062">
        <v>0.13</v>
      </c>
      <c r="D158" s="1062">
        <v>0.13</v>
      </c>
      <c r="E158" s="1062">
        <v>0.13</v>
      </c>
      <c r="F158" s="1063">
        <v>0.13</v>
      </c>
    </row>
    <row r="159" spans="1:6" ht="16" thickBot="1">
      <c r="A159" s="840" t="s">
        <v>526</v>
      </c>
      <c r="B159" s="834" t="s">
        <v>193</v>
      </c>
      <c r="C159" s="1064">
        <v>0.13</v>
      </c>
      <c r="D159" s="1064">
        <v>0.13</v>
      </c>
      <c r="E159" s="1064">
        <v>0.13</v>
      </c>
      <c r="F159" s="1065">
        <v>0.13</v>
      </c>
    </row>
    <row r="160" spans="1:6" ht="16" thickBot="1">
      <c r="A160" s="840" t="s">
        <v>526</v>
      </c>
      <c r="B160" s="834" t="s">
        <v>206</v>
      </c>
      <c r="C160" s="1064">
        <v>0.13</v>
      </c>
      <c r="D160" s="1064">
        <v>0.13</v>
      </c>
      <c r="E160" s="1064">
        <v>0.129</v>
      </c>
      <c r="F160" s="1065">
        <v>0.13</v>
      </c>
    </row>
    <row r="161" spans="1:6" ht="16" thickBot="1">
      <c r="A161" s="840" t="s">
        <v>526</v>
      </c>
      <c r="B161" s="834" t="s">
        <v>219</v>
      </c>
      <c r="C161" s="1064">
        <v>0.128</v>
      </c>
      <c r="D161" s="1064">
        <v>0.128</v>
      </c>
      <c r="E161" s="1064">
        <v>0.125</v>
      </c>
      <c r="F161" s="1065">
        <v>0.13</v>
      </c>
    </row>
    <row r="162" spans="1:6" ht="16" thickBot="1">
      <c r="A162" s="840" t="s">
        <v>526</v>
      </c>
      <c r="B162" s="834" t="s">
        <v>231</v>
      </c>
      <c r="C162" s="1064">
        <v>0.122</v>
      </c>
      <c r="D162" s="1064">
        <v>0.122</v>
      </c>
      <c r="E162" s="1064">
        <v>0.126</v>
      </c>
      <c r="F162" s="1065">
        <v>0.122</v>
      </c>
    </row>
    <row r="163" spans="1:6" ht="16" thickBot="1">
      <c r="A163" s="840" t="s">
        <v>526</v>
      </c>
      <c r="B163" s="834" t="s">
        <v>242</v>
      </c>
      <c r="C163" s="1064">
        <v>0.13</v>
      </c>
      <c r="D163" s="1064">
        <v>0.13</v>
      </c>
      <c r="E163" s="1064">
        <v>0.125</v>
      </c>
      <c r="F163" s="1065">
        <v>0.13</v>
      </c>
    </row>
    <row r="164" spans="1:6" ht="16" thickBot="1">
      <c r="A164" s="840" t="s">
        <v>526</v>
      </c>
      <c r="B164" s="834" t="s">
        <v>253</v>
      </c>
      <c r="C164" s="1064">
        <v>0.13</v>
      </c>
      <c r="D164" s="1064">
        <v>0.13</v>
      </c>
      <c r="E164" s="1064">
        <v>0.13</v>
      </c>
      <c r="F164" s="1065">
        <v>0.13</v>
      </c>
    </row>
    <row r="165" spans="1:6" ht="16" thickBot="1">
      <c r="A165" s="840" t="s">
        <v>526</v>
      </c>
      <c r="B165" s="834" t="s">
        <v>264</v>
      </c>
      <c r="C165" s="1064">
        <v>0.13</v>
      </c>
      <c r="D165" s="1064">
        <v>0.13</v>
      </c>
      <c r="E165" s="1064">
        <v>0.124</v>
      </c>
      <c r="F165" s="1065">
        <v>0.13</v>
      </c>
    </row>
    <row r="166" spans="1:6" ht="16" thickBot="1">
      <c r="A166" s="840" t="s">
        <v>526</v>
      </c>
      <c r="B166" s="834" t="s">
        <v>276</v>
      </c>
      <c r="C166" s="1064">
        <v>0.13</v>
      </c>
      <c r="D166" s="1064">
        <v>0.13</v>
      </c>
      <c r="E166" s="1064">
        <v>0.13</v>
      </c>
      <c r="F166" s="1065">
        <v>0.13</v>
      </c>
    </row>
    <row r="167" spans="1:6" ht="16" thickBot="1">
      <c r="A167" s="840" t="s">
        <v>526</v>
      </c>
      <c r="B167" s="834" t="s">
        <v>286</v>
      </c>
      <c r="C167" s="1064">
        <v>0.125</v>
      </c>
      <c r="D167" s="1064">
        <v>0.125</v>
      </c>
      <c r="E167" s="1064">
        <v>0.121</v>
      </c>
      <c r="F167" s="1076"/>
    </row>
    <row r="168" spans="1:6" ht="16" thickBot="1">
      <c r="A168" s="840" t="s">
        <v>526</v>
      </c>
      <c r="B168" s="834" t="s">
        <v>296</v>
      </c>
      <c r="C168" s="1064">
        <v>0.13</v>
      </c>
      <c r="D168" s="1064">
        <v>0.13</v>
      </c>
      <c r="E168" s="1064">
        <v>0.126</v>
      </c>
      <c r="F168" s="1076"/>
    </row>
    <row r="169" spans="1:6" ht="16" thickBot="1">
      <c r="A169" s="840" t="s">
        <v>526</v>
      </c>
      <c r="B169" s="834" t="s">
        <v>306</v>
      </c>
      <c r="C169" s="1064">
        <v>0.128</v>
      </c>
      <c r="D169" s="1064">
        <v>0.129</v>
      </c>
      <c r="E169" s="1064">
        <v>0.13</v>
      </c>
      <c r="F169" s="1076"/>
    </row>
    <row r="170" spans="1:6" ht="16" thickBot="1">
      <c r="A170" s="840" t="s">
        <v>526</v>
      </c>
      <c r="B170" s="834" t="s">
        <v>316</v>
      </c>
      <c r="C170" s="1064">
        <v>0.14099999999999999</v>
      </c>
      <c r="D170" s="1064">
        <v>0.13</v>
      </c>
      <c r="E170" s="1064">
        <v>0.125</v>
      </c>
      <c r="F170" s="1076"/>
    </row>
    <row r="171" spans="1:6" ht="16" thickBot="1">
      <c r="A171" s="840" t="s">
        <v>526</v>
      </c>
      <c r="B171" s="834" t="s">
        <v>913</v>
      </c>
      <c r="C171" s="1064">
        <v>0.127</v>
      </c>
      <c r="D171" s="1064">
        <v>0.126</v>
      </c>
      <c r="E171" s="1064">
        <v>0.126</v>
      </c>
      <c r="F171" s="1065">
        <v>0.11799999999999999</v>
      </c>
    </row>
    <row r="172" spans="1:6" ht="16" thickBot="1">
      <c r="A172" s="840" t="s">
        <v>526</v>
      </c>
      <c r="B172" s="834" t="s">
        <v>914</v>
      </c>
      <c r="C172" s="1064">
        <v>0.13</v>
      </c>
      <c r="D172" s="1064">
        <v>0.13</v>
      </c>
      <c r="E172" s="1064">
        <v>0.13</v>
      </c>
      <c r="F172" s="1076"/>
    </row>
    <row r="173" spans="1:6" ht="16" thickBot="1">
      <c r="A173" s="840" t="s">
        <v>526</v>
      </c>
      <c r="B173" s="834" t="s">
        <v>348</v>
      </c>
      <c r="C173" s="1064">
        <v>0.13</v>
      </c>
      <c r="D173" s="1064">
        <v>0.13</v>
      </c>
      <c r="E173" s="1064">
        <v>0.13</v>
      </c>
      <c r="F173" s="1076"/>
    </row>
    <row r="174" spans="1:6" ht="16" thickBot="1">
      <c r="A174" s="840" t="s">
        <v>526</v>
      </c>
      <c r="B174" s="834" t="s">
        <v>915</v>
      </c>
      <c r="C174" s="1064">
        <v>0.13</v>
      </c>
      <c r="D174" s="1064">
        <v>0.13</v>
      </c>
      <c r="E174" s="1064">
        <v>0.13</v>
      </c>
      <c r="F174" s="1065">
        <v>0.13</v>
      </c>
    </row>
    <row r="175" spans="1:6" ht="16" thickBot="1">
      <c r="A175" s="840" t="s">
        <v>526</v>
      </c>
      <c r="B175" s="834" t="s">
        <v>916</v>
      </c>
      <c r="C175" s="1064">
        <v>0.13</v>
      </c>
      <c r="D175" s="1064">
        <v>0.13</v>
      </c>
      <c r="E175" s="1064">
        <v>0.13</v>
      </c>
      <c r="F175" s="1065">
        <v>0.13</v>
      </c>
    </row>
    <row r="176" spans="1:6" ht="16" thickBot="1">
      <c r="A176" s="840" t="s">
        <v>526</v>
      </c>
      <c r="B176" s="834" t="s">
        <v>378</v>
      </c>
      <c r="C176" s="1064">
        <v>0.13</v>
      </c>
      <c r="D176" s="1064">
        <v>0.13</v>
      </c>
      <c r="E176" s="1064">
        <v>0.13</v>
      </c>
      <c r="F176" s="1065">
        <v>0.13</v>
      </c>
    </row>
    <row r="177" spans="1:6" ht="16" thickBot="1">
      <c r="A177" s="840" t="s">
        <v>526</v>
      </c>
      <c r="B177" s="834" t="s">
        <v>917</v>
      </c>
      <c r="C177" s="1064">
        <v>0.13</v>
      </c>
      <c r="D177" s="1064">
        <v>0.13</v>
      </c>
      <c r="E177" s="1064">
        <v>0.13</v>
      </c>
      <c r="F177" s="1065">
        <v>0.13</v>
      </c>
    </row>
    <row r="178" spans="1:6" ht="16" thickBot="1">
      <c r="A178" s="840" t="s">
        <v>526</v>
      </c>
      <c r="B178" s="834" t="s">
        <v>396</v>
      </c>
      <c r="C178" s="1064">
        <v>0.13</v>
      </c>
      <c r="D178" s="1064">
        <v>0.13</v>
      </c>
      <c r="E178" s="1064">
        <v>0.13</v>
      </c>
      <c r="F178" s="1065">
        <v>0.127</v>
      </c>
    </row>
    <row r="179" spans="1:6" ht="16" thickBot="1">
      <c r="A179" s="840" t="s">
        <v>526</v>
      </c>
      <c r="B179" s="834" t="s">
        <v>404</v>
      </c>
      <c r="C179" s="1064">
        <v>0.13</v>
      </c>
      <c r="D179" s="1064">
        <v>0.13</v>
      </c>
      <c r="E179" s="1064">
        <v>0.13</v>
      </c>
      <c r="F179" s="1076"/>
    </row>
    <row r="180" spans="1:6" ht="16" thickBot="1">
      <c r="A180" s="840" t="s">
        <v>526</v>
      </c>
      <c r="B180" s="834" t="s">
        <v>918</v>
      </c>
      <c r="C180" s="1064">
        <v>0.13</v>
      </c>
      <c r="D180" s="1064">
        <v>0.13</v>
      </c>
      <c r="E180" s="1064">
        <v>0.125</v>
      </c>
      <c r="F180" s="1065">
        <v>0.13</v>
      </c>
    </row>
    <row r="181" spans="1:6" ht="16" thickBot="1">
      <c r="A181" s="840" t="s">
        <v>526</v>
      </c>
      <c r="B181" s="834" t="s">
        <v>418</v>
      </c>
      <c r="C181" s="1064">
        <v>0.122</v>
      </c>
      <c r="D181" s="1064">
        <v>0.123</v>
      </c>
      <c r="E181" s="1064">
        <v>0.126</v>
      </c>
      <c r="F181" s="1065">
        <v>0.121</v>
      </c>
    </row>
    <row r="182" spans="1:6" ht="16" thickBot="1">
      <c r="A182" s="840" t="s">
        <v>526</v>
      </c>
      <c r="B182" s="834" t="s">
        <v>425</v>
      </c>
      <c r="C182" s="1064">
        <v>0.125</v>
      </c>
      <c r="D182" s="1064">
        <v>0.125</v>
      </c>
      <c r="E182" s="1064">
        <v>0.11700000000000001</v>
      </c>
      <c r="F182" s="1065">
        <v>0.13</v>
      </c>
    </row>
    <row r="183" spans="1:6" ht="16" thickBot="1">
      <c r="A183" s="840" t="s">
        <v>526</v>
      </c>
      <c r="B183" s="834" t="s">
        <v>432</v>
      </c>
      <c r="C183" s="1064">
        <v>0.127</v>
      </c>
      <c r="D183" s="1064">
        <v>0.127</v>
      </c>
      <c r="E183" s="1064">
        <v>0.128</v>
      </c>
      <c r="F183" s="1076"/>
    </row>
    <row r="184" spans="1:6" ht="16" thickBot="1">
      <c r="A184" s="840" t="s">
        <v>526</v>
      </c>
      <c r="B184" s="834" t="s">
        <v>439</v>
      </c>
      <c r="C184" s="1064">
        <v>0.125</v>
      </c>
      <c r="D184" s="1064">
        <v>0.125</v>
      </c>
      <c r="E184" s="1064">
        <v>0.127</v>
      </c>
      <c r="F184" s="1076"/>
    </row>
    <row r="185" spans="1:6" ht="16" thickBot="1">
      <c r="A185" s="840" t="s">
        <v>526</v>
      </c>
      <c r="B185" s="834" t="s">
        <v>919</v>
      </c>
      <c r="C185" s="1064">
        <v>0.127</v>
      </c>
      <c r="D185" s="1064">
        <v>0.127</v>
      </c>
      <c r="E185" s="1064">
        <v>0.128</v>
      </c>
      <c r="F185" s="1065">
        <v>0.13</v>
      </c>
    </row>
    <row r="186" spans="1:6" ht="31" thickBot="1">
      <c r="A186" s="840" t="s">
        <v>526</v>
      </c>
      <c r="B186" s="834" t="s">
        <v>920</v>
      </c>
      <c r="C186" s="1077"/>
      <c r="D186" s="1077"/>
      <c r="E186" s="1077"/>
      <c r="F186" s="1065">
        <v>0.05</v>
      </c>
    </row>
    <row r="187" spans="1:6" ht="16" thickBot="1">
      <c r="A187" s="840" t="s">
        <v>526</v>
      </c>
      <c r="B187" s="834" t="s">
        <v>921</v>
      </c>
      <c r="C187" s="1077"/>
      <c r="D187" s="1077"/>
      <c r="E187" s="1077"/>
      <c r="F187" s="1065">
        <v>0.05</v>
      </c>
    </row>
    <row r="188" spans="1:6" ht="16" thickBot="1">
      <c r="A188" s="840" t="s">
        <v>526</v>
      </c>
      <c r="B188" s="834" t="s">
        <v>922</v>
      </c>
      <c r="C188" s="1077"/>
      <c r="D188" s="1077"/>
      <c r="E188" s="1077"/>
      <c r="F188" s="1065">
        <v>0.05</v>
      </c>
    </row>
    <row r="189" spans="1:6" ht="31" thickBot="1">
      <c r="A189" s="840" t="s">
        <v>526</v>
      </c>
      <c r="B189" s="834" t="s">
        <v>923</v>
      </c>
      <c r="C189" s="1077"/>
      <c r="D189" s="1077"/>
      <c r="E189" s="1077"/>
      <c r="F189" s="1065">
        <v>0.05</v>
      </c>
    </row>
    <row r="190" spans="1:6" ht="31" thickBot="1">
      <c r="A190" s="840" t="s">
        <v>526</v>
      </c>
      <c r="B190" s="834" t="s">
        <v>924</v>
      </c>
      <c r="C190" s="1077"/>
      <c r="D190" s="1077"/>
      <c r="E190" s="1077"/>
      <c r="F190" s="1065">
        <v>0.05</v>
      </c>
    </row>
    <row r="191" spans="1:6" ht="31" thickBot="1">
      <c r="A191" s="840" t="s">
        <v>526</v>
      </c>
      <c r="B191" s="834" t="s">
        <v>925</v>
      </c>
      <c r="C191" s="1077"/>
      <c r="D191" s="1077"/>
      <c r="E191" s="1077"/>
      <c r="F191" s="1065">
        <v>0.05</v>
      </c>
    </row>
    <row r="192" spans="1:6" ht="31" thickBot="1">
      <c r="A192" s="840" t="s">
        <v>526</v>
      </c>
      <c r="B192" s="834" t="s">
        <v>926</v>
      </c>
      <c r="C192" s="1077"/>
      <c r="D192" s="1077"/>
      <c r="E192" s="1077"/>
      <c r="F192" s="1065">
        <v>0.05</v>
      </c>
    </row>
    <row r="193" spans="1:6" ht="31" thickBot="1">
      <c r="A193" s="840" t="s">
        <v>526</v>
      </c>
      <c r="B193" s="834" t="s">
        <v>927</v>
      </c>
      <c r="C193" s="1077"/>
      <c r="D193" s="1077"/>
      <c r="E193" s="1077"/>
      <c r="F193" s="1065">
        <v>0.05</v>
      </c>
    </row>
    <row r="194" spans="1:6" ht="31" thickBot="1">
      <c r="A194" s="840" t="s">
        <v>526</v>
      </c>
      <c r="B194" s="834" t="s">
        <v>928</v>
      </c>
      <c r="C194" s="1077"/>
      <c r="D194" s="1077"/>
      <c r="E194" s="1077"/>
      <c r="F194" s="1065">
        <v>0.05</v>
      </c>
    </row>
    <row r="195" spans="1:6" ht="16" thickBot="1">
      <c r="A195" s="840" t="s">
        <v>526</v>
      </c>
      <c r="B195" s="834" t="s">
        <v>929</v>
      </c>
      <c r="C195" s="1077"/>
      <c r="D195" s="1077"/>
      <c r="E195" s="1077"/>
      <c r="F195" s="1065">
        <v>0.05</v>
      </c>
    </row>
    <row r="196" spans="1:6" ht="31" thickBot="1">
      <c r="A196" s="840" t="s">
        <v>526</v>
      </c>
      <c r="B196" s="834" t="s">
        <v>930</v>
      </c>
      <c r="C196" s="1077"/>
      <c r="D196" s="1077"/>
      <c r="E196" s="1077"/>
      <c r="F196" s="1065">
        <v>0.05</v>
      </c>
    </row>
    <row r="197" spans="1:6" ht="31" thickBot="1">
      <c r="A197" s="840" t="s">
        <v>526</v>
      </c>
      <c r="B197" s="834" t="s">
        <v>931</v>
      </c>
      <c r="C197" s="1077"/>
      <c r="D197" s="1077"/>
      <c r="E197" s="1077"/>
      <c r="F197" s="1065">
        <v>0.05</v>
      </c>
    </row>
    <row r="198" spans="1:6" ht="31" thickBot="1">
      <c r="A198" s="840" t="s">
        <v>526</v>
      </c>
      <c r="B198" s="834" t="s">
        <v>932</v>
      </c>
      <c r="C198" s="1077"/>
      <c r="D198" s="1077"/>
      <c r="E198" s="1077"/>
      <c r="F198" s="1065">
        <v>0.05</v>
      </c>
    </row>
    <row r="199" spans="1:6" ht="31" thickBot="1">
      <c r="A199" s="840" t="s">
        <v>526</v>
      </c>
      <c r="B199" s="834" t="s">
        <v>933</v>
      </c>
      <c r="C199" s="1077"/>
      <c r="D199" s="1077"/>
      <c r="E199" s="1077"/>
      <c r="F199" s="1065">
        <v>0.05</v>
      </c>
    </row>
    <row r="200" spans="1:6" ht="31" thickBot="1">
      <c r="A200" s="840" t="s">
        <v>526</v>
      </c>
      <c r="B200" s="834" t="s">
        <v>934</v>
      </c>
      <c r="C200" s="1077"/>
      <c r="D200" s="1077"/>
      <c r="E200" s="1077"/>
      <c r="F200" s="1065">
        <v>0.05</v>
      </c>
    </row>
    <row r="201" spans="1:6" ht="31" thickBot="1">
      <c r="A201" s="840" t="s">
        <v>526</v>
      </c>
      <c r="B201" s="834" t="s">
        <v>935</v>
      </c>
      <c r="C201" s="1077"/>
      <c r="D201" s="1077"/>
      <c r="E201" s="1077"/>
      <c r="F201" s="1065">
        <v>0.05</v>
      </c>
    </row>
    <row r="202" spans="1:6" ht="31" thickBot="1">
      <c r="A202" s="840" t="s">
        <v>526</v>
      </c>
      <c r="B202" s="834" t="s">
        <v>936</v>
      </c>
      <c r="C202" s="1077"/>
      <c r="D202" s="1077"/>
      <c r="E202" s="1077"/>
      <c r="F202" s="1065">
        <v>0.05</v>
      </c>
    </row>
    <row r="203" spans="1:6" ht="31" thickBot="1">
      <c r="A203" s="840" t="s">
        <v>526</v>
      </c>
      <c r="B203" s="834" t="s">
        <v>937</v>
      </c>
      <c r="C203" s="1077"/>
      <c r="D203" s="1077"/>
      <c r="E203" s="1077"/>
      <c r="F203" s="1065">
        <v>0.05</v>
      </c>
    </row>
    <row r="204" spans="1:6" ht="16" thickBot="1">
      <c r="A204" s="840" t="s">
        <v>526</v>
      </c>
      <c r="B204" s="834" t="s">
        <v>938</v>
      </c>
      <c r="C204" s="1077"/>
      <c r="D204" s="1077"/>
      <c r="E204" s="1077"/>
      <c r="F204" s="1065">
        <v>0.05</v>
      </c>
    </row>
    <row r="205" spans="1:6" ht="16" thickBot="1">
      <c r="A205" s="850" t="s">
        <v>526</v>
      </c>
      <c r="B205" s="846" t="s">
        <v>939</v>
      </c>
      <c r="C205" s="1074"/>
      <c r="D205" s="1074"/>
      <c r="E205" s="1074"/>
      <c r="F205" s="1067">
        <v>0.05</v>
      </c>
    </row>
    <row r="206" spans="1:6" ht="16" thickBot="1">
      <c r="A206" s="840" t="s">
        <v>528</v>
      </c>
      <c r="B206" s="841" t="s">
        <v>940</v>
      </c>
      <c r="C206" s="1062">
        <v>0.15</v>
      </c>
      <c r="D206" s="1062">
        <v>0.15</v>
      </c>
      <c r="E206" s="1062">
        <v>0.15</v>
      </c>
      <c r="F206" s="1063">
        <v>0.15</v>
      </c>
    </row>
    <row r="207" spans="1:6" ht="16" thickBot="1">
      <c r="A207" s="840" t="s">
        <v>528</v>
      </c>
      <c r="B207" s="834" t="s">
        <v>194</v>
      </c>
      <c r="C207" s="1064">
        <v>0.15</v>
      </c>
      <c r="D207" s="1064">
        <v>0.15</v>
      </c>
      <c r="E207" s="1064">
        <v>0.15</v>
      </c>
      <c r="F207" s="1065">
        <v>0.14399999999999999</v>
      </c>
    </row>
    <row r="208" spans="1:6" ht="16" thickBot="1">
      <c r="A208" s="840" t="s">
        <v>528</v>
      </c>
      <c r="B208" s="834" t="s">
        <v>207</v>
      </c>
      <c r="C208" s="1064">
        <v>0.15</v>
      </c>
      <c r="D208" s="1064">
        <v>0.15</v>
      </c>
      <c r="E208" s="1064">
        <v>0.15</v>
      </c>
      <c r="F208" s="1065">
        <v>0.15</v>
      </c>
    </row>
    <row r="209" spans="1:6" ht="16" thickBot="1">
      <c r="A209" s="840" t="s">
        <v>528</v>
      </c>
      <c r="B209" s="834" t="s">
        <v>220</v>
      </c>
      <c r="C209" s="1064">
        <v>0.13700000000000001</v>
      </c>
      <c r="D209" s="1064">
        <v>0.13700000000000001</v>
      </c>
      <c r="E209" s="1064">
        <v>0.14000000000000001</v>
      </c>
      <c r="F209" s="1065">
        <v>0.11700000000000001</v>
      </c>
    </row>
    <row r="210" spans="1:6" ht="16" thickBot="1">
      <c r="A210" s="840" t="s">
        <v>528</v>
      </c>
      <c r="B210" s="834" t="s">
        <v>941</v>
      </c>
      <c r="C210" s="1064">
        <v>0.15</v>
      </c>
      <c r="D210" s="1064">
        <v>0.15</v>
      </c>
      <c r="E210" s="1064">
        <v>0.15</v>
      </c>
      <c r="F210" s="1065">
        <v>0.13800000000000001</v>
      </c>
    </row>
    <row r="211" spans="1:6" ht="16" thickBot="1">
      <c r="A211" s="840" t="s">
        <v>528</v>
      </c>
      <c r="B211" s="834" t="s">
        <v>942</v>
      </c>
      <c r="C211" s="1064">
        <v>0.13700000000000001</v>
      </c>
      <c r="D211" s="1064">
        <v>0.13500000000000001</v>
      </c>
      <c r="E211" s="1064">
        <v>0.13600000000000001</v>
      </c>
      <c r="F211" s="1065">
        <v>0.1</v>
      </c>
    </row>
    <row r="212" spans="1:6" ht="16" thickBot="1">
      <c r="A212" s="840" t="s">
        <v>528</v>
      </c>
      <c r="B212" s="834" t="s">
        <v>943</v>
      </c>
      <c r="C212" s="1064">
        <v>0.15</v>
      </c>
      <c r="D212" s="1064">
        <v>0.15</v>
      </c>
      <c r="E212" s="1064">
        <v>0.14799999999999999</v>
      </c>
      <c r="F212" s="1065">
        <v>0.13600000000000001</v>
      </c>
    </row>
    <row r="213" spans="1:6" ht="16" thickBot="1">
      <c r="A213" s="840" t="s">
        <v>528</v>
      </c>
      <c r="B213" s="834" t="s">
        <v>265</v>
      </c>
      <c r="C213" s="1064">
        <v>0.15</v>
      </c>
      <c r="D213" s="1064">
        <v>0.15</v>
      </c>
      <c r="E213" s="1064">
        <v>0.15</v>
      </c>
      <c r="F213" s="1065">
        <v>0.13800000000000001</v>
      </c>
    </row>
    <row r="214" spans="1:6" ht="16" thickBot="1">
      <c r="A214" s="840" t="s">
        <v>528</v>
      </c>
      <c r="B214" s="834" t="s">
        <v>277</v>
      </c>
      <c r="C214" s="1064">
        <v>9.0999999999999998E-2</v>
      </c>
      <c r="D214" s="1064">
        <v>0.09</v>
      </c>
      <c r="E214" s="1064">
        <v>9.1999999999999998E-2</v>
      </c>
      <c r="F214" s="1076"/>
    </row>
    <row r="215" spans="1:6" ht="16" thickBot="1">
      <c r="A215" s="840" t="s">
        <v>528</v>
      </c>
      <c r="B215" s="834" t="s">
        <v>944</v>
      </c>
      <c r="C215" s="1064">
        <v>0.15</v>
      </c>
      <c r="D215" s="1064">
        <v>0.15</v>
      </c>
      <c r="E215" s="1064">
        <v>0.15</v>
      </c>
      <c r="F215" s="1065">
        <v>0.15</v>
      </c>
    </row>
    <row r="216" spans="1:6" ht="16" thickBot="1">
      <c r="A216" s="840" t="s">
        <v>528</v>
      </c>
      <c r="B216" s="834" t="s">
        <v>297</v>
      </c>
      <c r="C216" s="1064">
        <v>0.14699999999999999</v>
      </c>
      <c r="D216" s="1064">
        <v>0.14699999999999999</v>
      </c>
      <c r="E216" s="1064">
        <v>0.15</v>
      </c>
      <c r="F216" s="1065">
        <v>0.14000000000000001</v>
      </c>
    </row>
    <row r="217" spans="1:6" ht="16" thickBot="1">
      <c r="A217" s="840" t="s">
        <v>528</v>
      </c>
      <c r="B217" s="834" t="s">
        <v>307</v>
      </c>
      <c r="C217" s="1064">
        <v>0.15</v>
      </c>
      <c r="D217" s="1064">
        <v>0.15</v>
      </c>
      <c r="E217" s="1064">
        <v>0.15</v>
      </c>
      <c r="F217" s="1065">
        <v>0.15</v>
      </c>
    </row>
    <row r="218" spans="1:6" ht="16" thickBot="1">
      <c r="A218" s="840" t="s">
        <v>528</v>
      </c>
      <c r="B218" s="834" t="s">
        <v>945</v>
      </c>
      <c r="C218" s="1064">
        <v>0.15</v>
      </c>
      <c r="D218" s="1064">
        <v>0.15</v>
      </c>
      <c r="E218" s="1064">
        <v>0.15</v>
      </c>
      <c r="F218" s="1065">
        <v>0.15</v>
      </c>
    </row>
    <row r="219" spans="1:6" ht="16" thickBot="1">
      <c r="A219" s="840" t="s">
        <v>528</v>
      </c>
      <c r="B219" s="834" t="s">
        <v>328</v>
      </c>
      <c r="C219" s="1064">
        <v>0.15</v>
      </c>
      <c r="D219" s="1064">
        <v>0.15</v>
      </c>
      <c r="E219" s="1064">
        <v>0.15</v>
      </c>
      <c r="F219" s="1065">
        <v>0.14799999999999999</v>
      </c>
    </row>
    <row r="220" spans="1:6" ht="16" thickBot="1">
      <c r="A220" s="840" t="s">
        <v>528</v>
      </c>
      <c r="B220" s="834" t="s">
        <v>946</v>
      </c>
      <c r="C220" s="1064">
        <v>0.15</v>
      </c>
      <c r="D220" s="1064">
        <v>0.15</v>
      </c>
      <c r="E220" s="1064">
        <v>0.15</v>
      </c>
      <c r="F220" s="1065">
        <v>0.15</v>
      </c>
    </row>
    <row r="221" spans="1:6" ht="16" thickBot="1">
      <c r="A221" s="840" t="s">
        <v>528</v>
      </c>
      <c r="B221" s="834" t="s">
        <v>349</v>
      </c>
      <c r="C221" s="1064"/>
      <c r="D221" s="1077"/>
      <c r="E221" s="1077"/>
      <c r="F221" s="1065">
        <v>0.14799999999999999</v>
      </c>
    </row>
    <row r="222" spans="1:6" ht="16" thickBot="1">
      <c r="A222" s="840" t="s">
        <v>528</v>
      </c>
      <c r="B222" s="834" t="s">
        <v>359</v>
      </c>
      <c r="C222" s="1064"/>
      <c r="D222" s="1077"/>
      <c r="E222" s="1077"/>
      <c r="F222" s="1065">
        <v>0.1</v>
      </c>
    </row>
    <row r="223" spans="1:6" ht="16" thickBot="1">
      <c r="A223" s="840" t="s">
        <v>528</v>
      </c>
      <c r="B223" s="834" t="s">
        <v>369</v>
      </c>
      <c r="C223" s="1064"/>
      <c r="D223" s="1077"/>
      <c r="E223" s="1077"/>
      <c r="F223" s="1065">
        <v>0.15</v>
      </c>
    </row>
    <row r="224" spans="1:6" ht="16" thickBot="1">
      <c r="A224" s="840" t="s">
        <v>528</v>
      </c>
      <c r="B224" s="834" t="s">
        <v>379</v>
      </c>
      <c r="C224" s="1064"/>
      <c r="D224" s="1077"/>
      <c r="E224" s="1077"/>
      <c r="F224" s="1065">
        <v>0.15</v>
      </c>
    </row>
    <row r="225" spans="1:6" ht="16" thickBot="1">
      <c r="A225" s="840" t="s">
        <v>528</v>
      </c>
      <c r="B225" s="834" t="s">
        <v>947</v>
      </c>
      <c r="C225" s="1064">
        <v>0.15</v>
      </c>
      <c r="D225" s="1064">
        <v>0.15</v>
      </c>
      <c r="E225" s="1064">
        <v>0.15</v>
      </c>
      <c r="F225" s="1065">
        <v>0.15</v>
      </c>
    </row>
    <row r="226" spans="1:6" ht="16" thickBot="1">
      <c r="A226" s="840" t="s">
        <v>528</v>
      </c>
      <c r="B226" s="834" t="s">
        <v>397</v>
      </c>
      <c r="C226" s="1064">
        <v>0.15</v>
      </c>
      <c r="D226" s="1064">
        <v>0.15</v>
      </c>
      <c r="E226" s="1064">
        <v>0.15</v>
      </c>
      <c r="F226" s="1065">
        <v>0.14799999999999999</v>
      </c>
    </row>
    <row r="227" spans="1:6" ht="16" thickBot="1">
      <c r="A227" s="840" t="s">
        <v>528</v>
      </c>
      <c r="B227" s="834" t="s">
        <v>948</v>
      </c>
      <c r="C227" s="1064">
        <v>0.15</v>
      </c>
      <c r="D227" s="1064">
        <v>0.15</v>
      </c>
      <c r="E227" s="1064">
        <v>0.15</v>
      </c>
      <c r="F227" s="1065">
        <v>0.15</v>
      </c>
    </row>
    <row r="228" spans="1:6" ht="16" thickBot="1">
      <c r="A228" s="840" t="s">
        <v>528</v>
      </c>
      <c r="B228" s="834" t="s">
        <v>412</v>
      </c>
      <c r="C228" s="1064">
        <v>0.15</v>
      </c>
      <c r="D228" s="1064">
        <v>0.15</v>
      </c>
      <c r="E228" s="1064">
        <v>0.15</v>
      </c>
      <c r="F228" s="1065">
        <v>0.15</v>
      </c>
    </row>
    <row r="229" spans="1:6" ht="16" thickBot="1">
      <c r="A229" s="840" t="s">
        <v>528</v>
      </c>
      <c r="B229" s="834" t="s">
        <v>419</v>
      </c>
      <c r="C229" s="1064">
        <v>0.15</v>
      </c>
      <c r="D229" s="1064">
        <v>0.15</v>
      </c>
      <c r="E229" s="1064">
        <v>0.15</v>
      </c>
      <c r="F229" s="1076"/>
    </row>
    <row r="230" spans="1:6" ht="16" thickBot="1">
      <c r="A230" s="840" t="s">
        <v>528</v>
      </c>
      <c r="B230" s="834" t="s">
        <v>426</v>
      </c>
      <c r="C230" s="1064">
        <v>0.14499999999999999</v>
      </c>
      <c r="D230" s="1064">
        <v>0.14499999999999999</v>
      </c>
      <c r="E230" s="1064">
        <v>0.14399999999999999</v>
      </c>
      <c r="F230" s="1076"/>
    </row>
    <row r="231" spans="1:6" ht="16" thickBot="1">
      <c r="A231" s="840" t="s">
        <v>528</v>
      </c>
      <c r="B231" s="834" t="s">
        <v>949</v>
      </c>
      <c r="C231" s="1064">
        <v>0.128</v>
      </c>
      <c r="D231" s="1064">
        <v>0.125</v>
      </c>
      <c r="E231" s="1064">
        <v>0.13200000000000001</v>
      </c>
      <c r="F231" s="1076"/>
    </row>
    <row r="232" spans="1:6" ht="16" thickBot="1">
      <c r="A232" s="840" t="s">
        <v>528</v>
      </c>
      <c r="B232" s="834" t="s">
        <v>950</v>
      </c>
      <c r="C232" s="1064">
        <v>0.14499999999999999</v>
      </c>
      <c r="D232" s="1064">
        <v>0.14399999999999999</v>
      </c>
      <c r="E232" s="1064">
        <v>0.14599999999999999</v>
      </c>
      <c r="F232" s="1065">
        <v>0.13800000000000001</v>
      </c>
    </row>
    <row r="233" spans="1:6" ht="16" thickBot="1">
      <c r="A233" s="840" t="s">
        <v>528</v>
      </c>
      <c r="B233" s="834" t="s">
        <v>951</v>
      </c>
      <c r="C233" s="1064">
        <v>0.14499999999999999</v>
      </c>
      <c r="D233" s="1064">
        <v>0.14299999999999999</v>
      </c>
      <c r="E233" s="1064">
        <v>0.14199999999999999</v>
      </c>
      <c r="F233" s="1076"/>
    </row>
    <row r="234" spans="1:6" ht="16" thickBot="1">
      <c r="A234" s="840" t="s">
        <v>528</v>
      </c>
      <c r="B234" s="834" t="s">
        <v>952</v>
      </c>
      <c r="C234" s="1064">
        <v>0.14000000000000001</v>
      </c>
      <c r="D234" s="1064">
        <v>0.14000000000000001</v>
      </c>
      <c r="E234" s="1064">
        <v>0.14399999999999999</v>
      </c>
      <c r="F234" s="1076"/>
    </row>
    <row r="235" spans="1:6" ht="16" thickBot="1">
      <c r="A235" s="840" t="s">
        <v>528</v>
      </c>
      <c r="B235" s="834" t="s">
        <v>953</v>
      </c>
      <c r="C235" s="1064">
        <v>0.14099999999999999</v>
      </c>
      <c r="D235" s="1064">
        <v>0.14199999999999999</v>
      </c>
      <c r="E235" s="1064">
        <v>0.14499999999999999</v>
      </c>
      <c r="F235" s="1065">
        <v>0.15</v>
      </c>
    </row>
    <row r="236" spans="1:6" ht="16" thickBot="1">
      <c r="A236" s="840" t="s">
        <v>528</v>
      </c>
      <c r="B236" s="834" t="s">
        <v>461</v>
      </c>
      <c r="C236" s="1077"/>
      <c r="D236" s="1077"/>
      <c r="E236" s="1077"/>
      <c r="F236" s="1065">
        <v>0.14299999999999999</v>
      </c>
    </row>
    <row r="237" spans="1:6" ht="31" thickBot="1">
      <c r="A237" s="840" t="s">
        <v>528</v>
      </c>
      <c r="B237" s="834" t="s">
        <v>954</v>
      </c>
      <c r="C237" s="1077"/>
      <c r="D237" s="1077"/>
      <c r="E237" s="1077"/>
      <c r="F237" s="1065">
        <v>0.05</v>
      </c>
    </row>
    <row r="238" spans="1:6" ht="31" thickBot="1">
      <c r="A238" s="840" t="s">
        <v>528</v>
      </c>
      <c r="B238" s="834" t="s">
        <v>955</v>
      </c>
      <c r="C238" s="1077"/>
      <c r="D238" s="1077"/>
      <c r="E238" s="1077"/>
      <c r="F238" s="1065">
        <v>0.05</v>
      </c>
    </row>
    <row r="239" spans="1:6" ht="31" thickBot="1">
      <c r="A239" s="840" t="s">
        <v>528</v>
      </c>
      <c r="B239" s="834" t="s">
        <v>956</v>
      </c>
      <c r="C239" s="1077"/>
      <c r="D239" s="1077"/>
      <c r="E239" s="1077"/>
      <c r="F239" s="1065">
        <v>0.05</v>
      </c>
    </row>
    <row r="240" spans="1:6" ht="31" thickBot="1">
      <c r="A240" s="840" t="s">
        <v>528</v>
      </c>
      <c r="B240" s="834" t="s">
        <v>957</v>
      </c>
      <c r="C240" s="1077"/>
      <c r="D240" s="1077"/>
      <c r="E240" s="1077"/>
      <c r="F240" s="1065">
        <v>0.05</v>
      </c>
    </row>
    <row r="241" spans="1:6" ht="31" thickBot="1">
      <c r="A241" s="840" t="s">
        <v>528</v>
      </c>
      <c r="B241" s="834" t="s">
        <v>958</v>
      </c>
      <c r="C241" s="1077"/>
      <c r="D241" s="1077"/>
      <c r="E241" s="1077"/>
      <c r="F241" s="1065">
        <v>0.05</v>
      </c>
    </row>
    <row r="242" spans="1:6" ht="31" thickBot="1">
      <c r="A242" s="840" t="s">
        <v>528</v>
      </c>
      <c r="B242" s="834" t="s">
        <v>959</v>
      </c>
      <c r="C242" s="1077"/>
      <c r="D242" s="1077"/>
      <c r="E242" s="1077"/>
      <c r="F242" s="1065">
        <v>0.05</v>
      </c>
    </row>
    <row r="243" spans="1:6" ht="31" thickBot="1">
      <c r="A243" s="840" t="s">
        <v>528</v>
      </c>
      <c r="B243" s="834" t="s">
        <v>960</v>
      </c>
      <c r="C243" s="1077"/>
      <c r="D243" s="1077"/>
      <c r="E243" s="1077"/>
      <c r="F243" s="1065">
        <v>0.05</v>
      </c>
    </row>
    <row r="244" spans="1:6" ht="31" thickBot="1">
      <c r="A244" s="850" t="s">
        <v>528</v>
      </c>
      <c r="B244" s="846" t="s">
        <v>961</v>
      </c>
      <c r="C244" s="1074"/>
      <c r="D244" s="1074"/>
      <c r="E244" s="1074"/>
      <c r="F244" s="1067">
        <v>0.05</v>
      </c>
    </row>
    <row r="245" spans="1:6" ht="16" thickBot="1">
      <c r="A245" s="840" t="s">
        <v>530</v>
      </c>
      <c r="B245" s="841" t="s">
        <v>962</v>
      </c>
      <c r="C245" s="1062">
        <v>0.15</v>
      </c>
      <c r="D245" s="1062">
        <v>0.15</v>
      </c>
      <c r="E245" s="1062">
        <v>0.15</v>
      </c>
      <c r="F245" s="1063">
        <v>0.14299999999999999</v>
      </c>
    </row>
    <row r="246" spans="1:6" ht="16" thickBot="1">
      <c r="A246" s="840" t="s">
        <v>530</v>
      </c>
      <c r="B246" s="834" t="s">
        <v>195</v>
      </c>
      <c r="C246" s="1064">
        <v>0.15</v>
      </c>
      <c r="D246" s="1064">
        <v>0.15</v>
      </c>
      <c r="E246" s="1064">
        <v>0.15</v>
      </c>
      <c r="F246" s="1065">
        <v>0.114</v>
      </c>
    </row>
    <row r="247" spans="1:6" ht="16" thickBot="1">
      <c r="A247" s="840" t="s">
        <v>530</v>
      </c>
      <c r="B247" s="834" t="s">
        <v>963</v>
      </c>
      <c r="C247" s="1064">
        <v>0.15</v>
      </c>
      <c r="D247" s="1064">
        <v>0.15</v>
      </c>
      <c r="E247" s="1064">
        <v>0.15</v>
      </c>
      <c r="F247" s="1065">
        <v>0.15</v>
      </c>
    </row>
    <row r="248" spans="1:6" ht="16" thickBot="1">
      <c r="A248" s="840" t="s">
        <v>530</v>
      </c>
      <c r="B248" s="834" t="s">
        <v>964</v>
      </c>
      <c r="C248" s="1064">
        <v>0.15</v>
      </c>
      <c r="D248" s="1064">
        <v>0.15</v>
      </c>
      <c r="E248" s="1064">
        <v>0.15</v>
      </c>
      <c r="F248" s="1065">
        <v>0.14000000000000001</v>
      </c>
    </row>
    <row r="249" spans="1:6" ht="16" thickBot="1">
      <c r="A249" s="840" t="s">
        <v>530</v>
      </c>
      <c r="B249" s="834" t="s">
        <v>965</v>
      </c>
      <c r="C249" s="1064">
        <v>0.15</v>
      </c>
      <c r="D249" s="1064">
        <v>0.14899999999999999</v>
      </c>
      <c r="E249" s="1064">
        <v>0.15</v>
      </c>
      <c r="F249" s="1065">
        <v>0.1</v>
      </c>
    </row>
    <row r="250" spans="1:6" ht="16" thickBot="1">
      <c r="A250" s="840" t="s">
        <v>530</v>
      </c>
      <c r="B250" s="834" t="s">
        <v>966</v>
      </c>
      <c r="C250" s="1064">
        <v>0.15</v>
      </c>
      <c r="D250" s="1064">
        <v>0.15</v>
      </c>
      <c r="E250" s="1064">
        <v>0.15</v>
      </c>
      <c r="F250" s="1065">
        <v>0.14399999999999999</v>
      </c>
    </row>
    <row r="251" spans="1:6" ht="16" thickBot="1">
      <c r="A251" s="840" t="s">
        <v>530</v>
      </c>
      <c r="B251" s="834" t="s">
        <v>255</v>
      </c>
      <c r="C251" s="1064">
        <v>0.15</v>
      </c>
      <c r="D251" s="1064">
        <v>0.15</v>
      </c>
      <c r="E251" s="1064">
        <v>0.15</v>
      </c>
      <c r="F251" s="1065">
        <v>0.14299999999999999</v>
      </c>
    </row>
    <row r="252" spans="1:6" ht="16" thickBot="1">
      <c r="A252" s="840" t="s">
        <v>530</v>
      </c>
      <c r="B252" s="834" t="s">
        <v>266</v>
      </c>
      <c r="C252" s="1064">
        <v>0.15</v>
      </c>
      <c r="D252" s="1064">
        <v>0.15</v>
      </c>
      <c r="E252" s="1064">
        <v>0.15</v>
      </c>
      <c r="F252" s="1065">
        <v>0.1</v>
      </c>
    </row>
    <row r="253" spans="1:6" ht="16" thickBot="1">
      <c r="A253" s="840" t="s">
        <v>530</v>
      </c>
      <c r="B253" s="834" t="s">
        <v>278</v>
      </c>
      <c r="C253" s="1064">
        <v>0.15</v>
      </c>
      <c r="D253" s="1064">
        <v>0.15</v>
      </c>
      <c r="E253" s="1064">
        <v>0.15</v>
      </c>
      <c r="F253" s="1065">
        <v>0.1</v>
      </c>
    </row>
    <row r="254" spans="1:6" ht="16" thickBot="1">
      <c r="A254" s="840" t="s">
        <v>530</v>
      </c>
      <c r="B254" s="834" t="s">
        <v>288</v>
      </c>
      <c r="C254" s="1077"/>
      <c r="D254" s="1077"/>
      <c r="E254" s="1077"/>
      <c r="F254" s="1065">
        <v>0.15</v>
      </c>
    </row>
    <row r="255" spans="1:6" ht="16" thickBot="1">
      <c r="A255" s="840" t="s">
        <v>530</v>
      </c>
      <c r="B255" s="834" t="s">
        <v>298</v>
      </c>
      <c r="C255" s="1077"/>
      <c r="D255" s="1077"/>
      <c r="E255" s="1077"/>
      <c r="F255" s="1065">
        <v>0.14299999999999999</v>
      </c>
    </row>
    <row r="256" spans="1:6" ht="16" thickBot="1">
      <c r="A256" s="840" t="s">
        <v>530</v>
      </c>
      <c r="B256" s="834" t="s">
        <v>967</v>
      </c>
      <c r="C256" s="1064">
        <v>0.14599999999999999</v>
      </c>
      <c r="D256" s="1064">
        <v>0.14699999999999999</v>
      </c>
      <c r="E256" s="1064">
        <v>0.15</v>
      </c>
      <c r="F256" s="1065">
        <v>0.13200000000000001</v>
      </c>
    </row>
    <row r="257" spans="1:6" ht="16" thickBot="1">
      <c r="A257" s="840" t="s">
        <v>530</v>
      </c>
      <c r="B257" s="834" t="s">
        <v>318</v>
      </c>
      <c r="C257" s="1064">
        <v>0.15</v>
      </c>
      <c r="D257" s="1064">
        <v>0.15</v>
      </c>
      <c r="E257" s="1064">
        <v>0.15</v>
      </c>
      <c r="F257" s="1065">
        <v>0.13900000000000001</v>
      </c>
    </row>
    <row r="258" spans="1:6" ht="16" thickBot="1">
      <c r="A258" s="840" t="s">
        <v>530</v>
      </c>
      <c r="B258" s="834" t="s">
        <v>329</v>
      </c>
      <c r="C258" s="1064">
        <v>0.15</v>
      </c>
      <c r="D258" s="1064">
        <v>0.15</v>
      </c>
      <c r="E258" s="1064">
        <v>0.15</v>
      </c>
      <c r="F258" s="1065">
        <v>0.13</v>
      </c>
    </row>
    <row r="259" spans="1:6" ht="16" thickBot="1">
      <c r="A259" s="840" t="s">
        <v>530</v>
      </c>
      <c r="B259" s="834" t="s">
        <v>968</v>
      </c>
      <c r="C259" s="1064">
        <v>0.14799999999999999</v>
      </c>
      <c r="D259" s="1064">
        <v>0.14899999999999999</v>
      </c>
      <c r="E259" s="1064">
        <v>0.15</v>
      </c>
      <c r="F259" s="1065">
        <v>0.13700000000000001</v>
      </c>
    </row>
    <row r="260" spans="1:6" ht="16" thickBot="1">
      <c r="A260" s="840" t="s">
        <v>530</v>
      </c>
      <c r="B260" s="834" t="s">
        <v>350</v>
      </c>
      <c r="C260" s="1064">
        <v>0.15</v>
      </c>
      <c r="D260" s="1064">
        <v>0.15</v>
      </c>
      <c r="E260" s="1064">
        <v>0.15</v>
      </c>
      <c r="F260" s="1065">
        <v>0.14199999999999999</v>
      </c>
    </row>
    <row r="261" spans="1:6" ht="16" thickBot="1">
      <c r="A261" s="840" t="s">
        <v>530</v>
      </c>
      <c r="B261" s="834" t="s">
        <v>360</v>
      </c>
      <c r="C261" s="1064">
        <v>0.15</v>
      </c>
      <c r="D261" s="1064">
        <v>0.15</v>
      </c>
      <c r="E261" s="1064">
        <v>0.14899999999999999</v>
      </c>
      <c r="F261" s="1065">
        <v>0.14799999999999999</v>
      </c>
    </row>
    <row r="262" spans="1:6" ht="16" thickBot="1">
      <c r="A262" s="840" t="s">
        <v>530</v>
      </c>
      <c r="B262" s="834" t="s">
        <v>370</v>
      </c>
      <c r="C262" s="1064">
        <v>0.15</v>
      </c>
      <c r="D262" s="1064">
        <v>0.15</v>
      </c>
      <c r="E262" s="1064">
        <v>0.15</v>
      </c>
      <c r="F262" s="1076"/>
    </row>
    <row r="263" spans="1:6" ht="16" thickBot="1">
      <c r="A263" s="840" t="s">
        <v>530</v>
      </c>
      <c r="B263" s="834" t="s">
        <v>969</v>
      </c>
      <c r="C263" s="1064">
        <v>0.14899999999999999</v>
      </c>
      <c r="D263" s="1064">
        <v>0.14899999999999999</v>
      </c>
      <c r="E263" s="1064">
        <v>0.15</v>
      </c>
      <c r="F263" s="1065">
        <v>0.13</v>
      </c>
    </row>
    <row r="264" spans="1:6" ht="16" thickBot="1">
      <c r="A264" s="840" t="s">
        <v>530</v>
      </c>
      <c r="B264" s="834" t="s">
        <v>389</v>
      </c>
      <c r="C264" s="1064">
        <v>0.14799999999999999</v>
      </c>
      <c r="D264" s="1064">
        <v>0.14699999999999999</v>
      </c>
      <c r="E264" s="1064">
        <v>0.15</v>
      </c>
      <c r="F264" s="1065">
        <v>7.8E-2</v>
      </c>
    </row>
    <row r="265" spans="1:6" ht="16" thickBot="1">
      <c r="A265" s="840" t="s">
        <v>530</v>
      </c>
      <c r="B265" s="834" t="s">
        <v>398</v>
      </c>
      <c r="C265" s="1064">
        <v>0.15</v>
      </c>
      <c r="D265" s="1064">
        <v>0.15</v>
      </c>
      <c r="E265" s="1064">
        <v>0.15</v>
      </c>
      <c r="F265" s="1065">
        <v>7.3999999999999996E-2</v>
      </c>
    </row>
    <row r="266" spans="1:6" ht="16" thickBot="1">
      <c r="A266" s="840" t="s">
        <v>530</v>
      </c>
      <c r="B266" s="834" t="s">
        <v>406</v>
      </c>
      <c r="C266" s="1064">
        <v>0.14699999999999999</v>
      </c>
      <c r="D266" s="1064">
        <v>0.14699999999999999</v>
      </c>
      <c r="E266" s="1064">
        <v>0.15</v>
      </c>
      <c r="F266" s="1065">
        <v>0.14299999999999999</v>
      </c>
    </row>
    <row r="267" spans="1:6" ht="16" thickBot="1">
      <c r="A267" s="840" t="s">
        <v>530</v>
      </c>
      <c r="B267" s="834" t="s">
        <v>413</v>
      </c>
      <c r="C267" s="1064">
        <v>0.14199999999999999</v>
      </c>
      <c r="D267" s="1064">
        <v>0.14299999999999999</v>
      </c>
      <c r="E267" s="1064">
        <v>0.15</v>
      </c>
      <c r="F267" s="1076"/>
    </row>
    <row r="268" spans="1:6" ht="16" thickBot="1">
      <c r="A268" s="840" t="s">
        <v>530</v>
      </c>
      <c r="B268" s="834" t="s">
        <v>970</v>
      </c>
      <c r="C268" s="1064">
        <v>0.15</v>
      </c>
      <c r="D268" s="1064">
        <v>0.15</v>
      </c>
      <c r="E268" s="1064">
        <v>0.15</v>
      </c>
      <c r="F268" s="1065">
        <v>0.13</v>
      </c>
    </row>
    <row r="269" spans="1:6" ht="16" thickBot="1">
      <c r="A269" s="840" t="s">
        <v>530</v>
      </c>
      <c r="B269" s="834" t="s">
        <v>427</v>
      </c>
      <c r="C269" s="1064">
        <v>0.15</v>
      </c>
      <c r="D269" s="1064">
        <v>0.15</v>
      </c>
      <c r="E269" s="1064">
        <v>0.15</v>
      </c>
      <c r="F269" s="1065">
        <v>0.14299999999999999</v>
      </c>
    </row>
    <row r="270" spans="1:6" ht="16" thickBot="1">
      <c r="A270" s="840" t="s">
        <v>530</v>
      </c>
      <c r="B270" s="834" t="s">
        <v>434</v>
      </c>
      <c r="C270" s="1064">
        <v>0.14499999999999999</v>
      </c>
      <c r="D270" s="1064">
        <v>0.14499999999999999</v>
      </c>
      <c r="E270" s="1064">
        <v>0.15</v>
      </c>
      <c r="F270" s="1065">
        <v>0.14699999999999999</v>
      </c>
    </row>
    <row r="271" spans="1:6" ht="16" thickBot="1">
      <c r="A271" s="840" t="s">
        <v>530</v>
      </c>
      <c r="B271" s="834" t="s">
        <v>441</v>
      </c>
      <c r="C271" s="1064">
        <v>0.15</v>
      </c>
      <c r="D271" s="1064">
        <v>0.15</v>
      </c>
      <c r="E271" s="1064">
        <v>0.15</v>
      </c>
      <c r="F271" s="1065">
        <v>0.13800000000000001</v>
      </c>
    </row>
    <row r="272" spans="1:6" ht="16" thickBot="1">
      <c r="A272" s="840" t="s">
        <v>530</v>
      </c>
      <c r="B272" s="834" t="s">
        <v>448</v>
      </c>
      <c r="C272" s="1077"/>
      <c r="D272" s="1077"/>
      <c r="E272" s="1077"/>
      <c r="F272" s="1065">
        <v>0.14000000000000001</v>
      </c>
    </row>
    <row r="273" spans="1:6" ht="16" thickBot="1">
      <c r="A273" s="840" t="s">
        <v>530</v>
      </c>
      <c r="B273" s="834" t="s">
        <v>971</v>
      </c>
      <c r="C273" s="1064">
        <v>0.14199999999999999</v>
      </c>
      <c r="D273" s="1064">
        <v>0.14299999999999999</v>
      </c>
      <c r="E273" s="1064">
        <v>0.15</v>
      </c>
      <c r="F273" s="1065">
        <v>0.1</v>
      </c>
    </row>
    <row r="274" spans="1:6" ht="16" thickBot="1">
      <c r="A274" s="840" t="s">
        <v>530</v>
      </c>
      <c r="B274" s="834" t="s">
        <v>972</v>
      </c>
      <c r="C274" s="1064">
        <v>0.14799999999999999</v>
      </c>
      <c r="D274" s="1064">
        <v>0.14799999999999999</v>
      </c>
      <c r="E274" s="1064">
        <v>0.15</v>
      </c>
      <c r="F274" s="1065">
        <v>6.7000000000000004E-2</v>
      </c>
    </row>
    <row r="275" spans="1:6" ht="16" thickBot="1">
      <c r="A275" s="840" t="s">
        <v>530</v>
      </c>
      <c r="B275" s="834" t="s">
        <v>973</v>
      </c>
      <c r="C275" s="1064">
        <v>0.15</v>
      </c>
      <c r="D275" s="1064">
        <v>0.15</v>
      </c>
      <c r="E275" s="1064">
        <v>0.15</v>
      </c>
      <c r="F275" s="1065">
        <v>0.15</v>
      </c>
    </row>
    <row r="276" spans="1:6" ht="16" thickBot="1">
      <c r="A276" s="840" t="s">
        <v>530</v>
      </c>
      <c r="B276" s="834" t="s">
        <v>974</v>
      </c>
      <c r="C276" s="1064">
        <v>0.14499999999999999</v>
      </c>
      <c r="D276" s="1064">
        <v>0.14299999999999999</v>
      </c>
      <c r="E276" s="1064">
        <v>0.15</v>
      </c>
      <c r="F276" s="1065">
        <v>5.8999999999999997E-2</v>
      </c>
    </row>
    <row r="277" spans="1:6" ht="16" thickBot="1">
      <c r="A277" s="840" t="s">
        <v>530</v>
      </c>
      <c r="B277" s="834" t="s">
        <v>975</v>
      </c>
      <c r="C277" s="1064">
        <v>0.15</v>
      </c>
      <c r="D277" s="1064">
        <v>0.15</v>
      </c>
      <c r="E277" s="1064">
        <v>0.15</v>
      </c>
      <c r="F277" s="1065">
        <v>0.121</v>
      </c>
    </row>
    <row r="278" spans="1:6" ht="16" thickBot="1">
      <c r="A278" s="840" t="s">
        <v>530</v>
      </c>
      <c r="B278" s="834" t="s">
        <v>976</v>
      </c>
      <c r="C278" s="1064">
        <v>0.15</v>
      </c>
      <c r="D278" s="1064">
        <v>0.15</v>
      </c>
      <c r="E278" s="1064">
        <v>0.15</v>
      </c>
      <c r="F278" s="1065">
        <v>0.13800000000000001</v>
      </c>
    </row>
    <row r="279" spans="1:6" ht="31" thickBot="1">
      <c r="A279" s="840" t="s">
        <v>530</v>
      </c>
      <c r="B279" s="834" t="s">
        <v>977</v>
      </c>
      <c r="C279" s="1077"/>
      <c r="D279" s="1077"/>
      <c r="E279" s="1077"/>
      <c r="F279" s="1065">
        <v>0.05</v>
      </c>
    </row>
    <row r="280" spans="1:6" ht="31" thickBot="1">
      <c r="A280" s="840" t="s">
        <v>530</v>
      </c>
      <c r="B280" s="834" t="s">
        <v>978</v>
      </c>
      <c r="C280" s="1077"/>
      <c r="D280" s="1077"/>
      <c r="E280" s="1077"/>
      <c r="F280" s="1065">
        <v>0.05</v>
      </c>
    </row>
    <row r="281" spans="1:6" ht="31" thickBot="1">
      <c r="A281" s="840" t="s">
        <v>530</v>
      </c>
      <c r="B281" s="834" t="s">
        <v>979</v>
      </c>
      <c r="C281" s="1077"/>
      <c r="D281" s="1077"/>
      <c r="E281" s="1077"/>
      <c r="F281" s="1065">
        <v>0.05</v>
      </c>
    </row>
    <row r="282" spans="1:6" ht="31" thickBot="1">
      <c r="A282" s="840" t="s">
        <v>530</v>
      </c>
      <c r="B282" s="834" t="s">
        <v>980</v>
      </c>
      <c r="C282" s="1077"/>
      <c r="D282" s="1077"/>
      <c r="E282" s="1077"/>
      <c r="F282" s="1065">
        <v>0.05</v>
      </c>
    </row>
    <row r="283" spans="1:6" ht="31" thickBot="1">
      <c r="A283" s="840" t="s">
        <v>530</v>
      </c>
      <c r="B283" s="834" t="s">
        <v>981</v>
      </c>
      <c r="C283" s="1077"/>
      <c r="D283" s="1077"/>
      <c r="E283" s="1077"/>
      <c r="F283" s="1065">
        <v>0.05</v>
      </c>
    </row>
    <row r="284" spans="1:6" ht="31" thickBot="1">
      <c r="A284" s="840" t="s">
        <v>530</v>
      </c>
      <c r="B284" s="834" t="s">
        <v>982</v>
      </c>
      <c r="C284" s="1077"/>
      <c r="D284" s="1077"/>
      <c r="E284" s="1077"/>
      <c r="F284" s="1065">
        <v>0.05</v>
      </c>
    </row>
    <row r="285" spans="1:6" ht="31" thickBot="1">
      <c r="A285" s="840" t="s">
        <v>530</v>
      </c>
      <c r="B285" s="834" t="s">
        <v>983</v>
      </c>
      <c r="C285" s="1077"/>
      <c r="D285" s="1077"/>
      <c r="E285" s="1077"/>
      <c r="F285" s="1065">
        <v>0.05</v>
      </c>
    </row>
    <row r="286" spans="1:6" ht="31" thickBot="1">
      <c r="A286" s="840" t="s">
        <v>530</v>
      </c>
      <c r="B286" s="834" t="s">
        <v>984</v>
      </c>
      <c r="C286" s="1077"/>
      <c r="D286" s="1077"/>
      <c r="E286" s="1077"/>
      <c r="F286" s="1065">
        <v>0.05</v>
      </c>
    </row>
    <row r="287" spans="1:6" ht="31" thickBot="1">
      <c r="A287" s="840" t="s">
        <v>530</v>
      </c>
      <c r="B287" s="834" t="s">
        <v>985</v>
      </c>
      <c r="C287" s="1077"/>
      <c r="D287" s="1077"/>
      <c r="E287" s="1077"/>
      <c r="F287" s="1065">
        <v>0.05</v>
      </c>
    </row>
    <row r="288" spans="1:6" ht="31" thickBot="1">
      <c r="A288" s="840" t="s">
        <v>530</v>
      </c>
      <c r="B288" s="834" t="s">
        <v>986</v>
      </c>
      <c r="C288" s="1077"/>
      <c r="D288" s="1077"/>
      <c r="E288" s="1077"/>
      <c r="F288" s="1065">
        <v>0.05</v>
      </c>
    </row>
    <row r="289" spans="1:6" ht="31" thickBot="1">
      <c r="A289" s="850" t="s">
        <v>530</v>
      </c>
      <c r="B289" s="846" t="s">
        <v>987</v>
      </c>
      <c r="C289" s="1074"/>
      <c r="D289" s="1074"/>
      <c r="E289" s="1074"/>
      <c r="F289" s="1067">
        <v>0.05</v>
      </c>
    </row>
    <row r="290" spans="1:6" ht="16" thickBot="1">
      <c r="A290" s="840" t="s">
        <v>534</v>
      </c>
      <c r="B290" s="841" t="s">
        <v>988</v>
      </c>
      <c r="C290" s="1062">
        <v>0.15</v>
      </c>
      <c r="D290" s="1062">
        <v>0.15</v>
      </c>
      <c r="E290" s="1062">
        <v>0.15</v>
      </c>
      <c r="F290" s="1079"/>
    </row>
    <row r="291" spans="1:6" ht="16" thickBot="1">
      <c r="A291" s="840" t="s">
        <v>534</v>
      </c>
      <c r="B291" s="834" t="s">
        <v>196</v>
      </c>
      <c r="C291" s="1064">
        <v>0.15</v>
      </c>
      <c r="D291" s="1064">
        <v>0.15</v>
      </c>
      <c r="E291" s="1064">
        <v>0.15</v>
      </c>
      <c r="F291" s="1076"/>
    </row>
    <row r="292" spans="1:6" ht="16" thickBot="1">
      <c r="A292" s="840" t="s">
        <v>534</v>
      </c>
      <c r="B292" s="834" t="s">
        <v>989</v>
      </c>
      <c r="C292" s="1064">
        <v>0.15</v>
      </c>
      <c r="D292" s="1064">
        <v>0.15</v>
      </c>
      <c r="E292" s="1064">
        <v>0.15</v>
      </c>
      <c r="F292" s="1065">
        <v>0.14699999999999999</v>
      </c>
    </row>
    <row r="293" spans="1:6" ht="16" thickBot="1">
      <c r="A293" s="840" t="s">
        <v>534</v>
      </c>
      <c r="B293" s="834" t="s">
        <v>990</v>
      </c>
      <c r="C293" s="1077"/>
      <c r="D293" s="1077"/>
      <c r="E293" s="1077"/>
      <c r="F293" s="1065">
        <v>0.1</v>
      </c>
    </row>
    <row r="294" spans="1:6" ht="16" thickBot="1">
      <c r="A294" s="840" t="s">
        <v>534</v>
      </c>
      <c r="B294" s="834" t="s">
        <v>991</v>
      </c>
      <c r="C294" s="1064">
        <v>0.15</v>
      </c>
      <c r="D294" s="1064">
        <v>0.15</v>
      </c>
      <c r="E294" s="1064">
        <v>0.15</v>
      </c>
      <c r="F294" s="1065">
        <v>0.15</v>
      </c>
    </row>
    <row r="295" spans="1:6" ht="16" thickBot="1">
      <c r="A295" s="840" t="s">
        <v>534</v>
      </c>
      <c r="B295" s="834" t="s">
        <v>234</v>
      </c>
      <c r="C295" s="1064">
        <v>0.15</v>
      </c>
      <c r="D295" s="1064">
        <v>0.15</v>
      </c>
      <c r="E295" s="1064">
        <v>0.15</v>
      </c>
      <c r="F295" s="1065">
        <v>0.15</v>
      </c>
    </row>
    <row r="296" spans="1:6" ht="16" thickBot="1">
      <c r="A296" s="840" t="s">
        <v>534</v>
      </c>
      <c r="B296" s="834" t="s">
        <v>992</v>
      </c>
      <c r="C296" s="1064">
        <v>0.15</v>
      </c>
      <c r="D296" s="1064">
        <v>0.15</v>
      </c>
      <c r="E296" s="1064">
        <v>0.15</v>
      </c>
      <c r="F296" s="1065">
        <v>0.15</v>
      </c>
    </row>
    <row r="297" spans="1:6" ht="16" thickBot="1">
      <c r="A297" s="840" t="s">
        <v>534</v>
      </c>
      <c r="B297" s="834" t="s">
        <v>993</v>
      </c>
      <c r="C297" s="1064">
        <v>0.14799999999999999</v>
      </c>
      <c r="D297" s="1064">
        <v>0.14899999999999999</v>
      </c>
      <c r="E297" s="1064">
        <v>0.15</v>
      </c>
      <c r="F297" s="1065">
        <v>0.13700000000000001</v>
      </c>
    </row>
    <row r="298" spans="1:6" ht="16" thickBot="1">
      <c r="A298" s="840" t="s">
        <v>534</v>
      </c>
      <c r="B298" s="834" t="s">
        <v>267</v>
      </c>
      <c r="C298" s="1064">
        <v>0.13400000000000001</v>
      </c>
      <c r="D298" s="1064">
        <v>0.13400000000000001</v>
      </c>
      <c r="E298" s="1064">
        <v>0.14499999999999999</v>
      </c>
      <c r="F298" s="1065">
        <v>0.14799999999999999</v>
      </c>
    </row>
    <row r="299" spans="1:6" ht="16" thickBot="1">
      <c r="A299" s="840" t="s">
        <v>534</v>
      </c>
      <c r="B299" s="834" t="s">
        <v>279</v>
      </c>
      <c r="C299" s="1064">
        <v>0.15</v>
      </c>
      <c r="D299" s="1064">
        <v>0.15</v>
      </c>
      <c r="E299" s="1064">
        <v>0.15</v>
      </c>
      <c r="F299" s="1076"/>
    </row>
    <row r="300" spans="1:6" ht="16" thickBot="1">
      <c r="A300" s="840" t="s">
        <v>534</v>
      </c>
      <c r="B300" s="834" t="s">
        <v>994</v>
      </c>
      <c r="C300" s="1064">
        <v>0.15</v>
      </c>
      <c r="D300" s="1064">
        <v>0.15</v>
      </c>
      <c r="E300" s="1064">
        <v>0.15</v>
      </c>
      <c r="F300" s="1065">
        <v>0.15</v>
      </c>
    </row>
    <row r="301" spans="1:6" ht="16" thickBot="1">
      <c r="A301" s="840" t="s">
        <v>534</v>
      </c>
      <c r="B301" s="834" t="s">
        <v>299</v>
      </c>
      <c r="C301" s="1064">
        <v>0.15</v>
      </c>
      <c r="D301" s="1064">
        <v>0.15</v>
      </c>
      <c r="E301" s="1064">
        <v>0.15</v>
      </c>
      <c r="F301" s="1076"/>
    </row>
    <row r="302" spans="1:6" ht="16" thickBot="1">
      <c r="A302" s="840" t="s">
        <v>534</v>
      </c>
      <c r="B302" s="834" t="s">
        <v>995</v>
      </c>
      <c r="C302" s="1064">
        <v>0.15</v>
      </c>
      <c r="D302" s="1064">
        <v>0.15</v>
      </c>
      <c r="E302" s="1064">
        <v>0.15</v>
      </c>
      <c r="F302" s="1065">
        <v>0.15</v>
      </c>
    </row>
    <row r="303" spans="1:6" ht="16" thickBot="1">
      <c r="A303" s="840" t="s">
        <v>534</v>
      </c>
      <c r="B303" s="834" t="s">
        <v>319</v>
      </c>
      <c r="C303" s="1064">
        <v>0.15</v>
      </c>
      <c r="D303" s="1064">
        <v>0.15</v>
      </c>
      <c r="E303" s="1064">
        <v>0.15</v>
      </c>
      <c r="F303" s="1065">
        <v>0.15</v>
      </c>
    </row>
    <row r="304" spans="1:6" ht="16" thickBot="1">
      <c r="A304" s="840" t="s">
        <v>534</v>
      </c>
      <c r="B304" s="834" t="s">
        <v>330</v>
      </c>
      <c r="C304" s="1064">
        <v>0.15</v>
      </c>
      <c r="D304" s="1064">
        <v>0.15</v>
      </c>
      <c r="E304" s="1064">
        <v>0.15</v>
      </c>
      <c r="F304" s="1076"/>
    </row>
    <row r="305" spans="1:6" ht="16" thickBot="1">
      <c r="A305" s="840" t="s">
        <v>534</v>
      </c>
      <c r="B305" s="834" t="s">
        <v>996</v>
      </c>
      <c r="C305" s="1064">
        <v>0.15</v>
      </c>
      <c r="D305" s="1064">
        <v>0.15</v>
      </c>
      <c r="E305" s="1064">
        <v>0.15</v>
      </c>
      <c r="F305" s="1065">
        <v>0.14000000000000001</v>
      </c>
    </row>
    <row r="306" spans="1:6" ht="16" thickBot="1">
      <c r="A306" s="840" t="s">
        <v>534</v>
      </c>
      <c r="B306" s="834" t="s">
        <v>351</v>
      </c>
      <c r="C306" s="1064">
        <v>0.15</v>
      </c>
      <c r="D306" s="1064">
        <v>0.15</v>
      </c>
      <c r="E306" s="1064">
        <v>0.15</v>
      </c>
      <c r="F306" s="1076"/>
    </row>
    <row r="307" spans="1:6" ht="16" thickBot="1">
      <c r="A307" s="840" t="s">
        <v>534</v>
      </c>
      <c r="B307" s="834" t="s">
        <v>997</v>
      </c>
      <c r="C307" s="1064">
        <v>0.15</v>
      </c>
      <c r="D307" s="1064">
        <v>0.15</v>
      </c>
      <c r="E307" s="1064">
        <v>0.15</v>
      </c>
      <c r="F307" s="1065">
        <v>0.14299999999999999</v>
      </c>
    </row>
    <row r="308" spans="1:6" ht="16" thickBot="1">
      <c r="A308" s="840" t="s">
        <v>534</v>
      </c>
      <c r="B308" s="834" t="s">
        <v>371</v>
      </c>
      <c r="C308" s="1064">
        <v>0.15</v>
      </c>
      <c r="D308" s="1064">
        <v>0.15</v>
      </c>
      <c r="E308" s="1064">
        <v>0.15</v>
      </c>
      <c r="F308" s="1065">
        <v>0.15</v>
      </c>
    </row>
    <row r="309" spans="1:6" ht="16" thickBot="1">
      <c r="A309" s="840" t="s">
        <v>534</v>
      </c>
      <c r="B309" s="834" t="s">
        <v>381</v>
      </c>
      <c r="C309" s="1064">
        <v>0.15</v>
      </c>
      <c r="D309" s="1064">
        <v>0.15</v>
      </c>
      <c r="E309" s="1064">
        <v>0.15</v>
      </c>
      <c r="F309" s="1076"/>
    </row>
    <row r="310" spans="1:6" ht="16" thickBot="1">
      <c r="A310" s="840" t="s">
        <v>534</v>
      </c>
      <c r="B310" s="834" t="s">
        <v>998</v>
      </c>
      <c r="C310" s="1064">
        <v>0.15</v>
      </c>
      <c r="D310" s="1064">
        <v>0.15</v>
      </c>
      <c r="E310" s="1064">
        <v>0.15</v>
      </c>
      <c r="F310" s="1065">
        <v>0.13700000000000001</v>
      </c>
    </row>
    <row r="311" spans="1:6" ht="16" thickBot="1">
      <c r="A311" s="840" t="s">
        <v>534</v>
      </c>
      <c r="B311" s="834" t="s">
        <v>999</v>
      </c>
      <c r="C311" s="1064">
        <v>0.15</v>
      </c>
      <c r="D311" s="1064">
        <v>0.15</v>
      </c>
      <c r="E311" s="1064">
        <v>0.15</v>
      </c>
      <c r="F311" s="1065">
        <v>0.15</v>
      </c>
    </row>
    <row r="312" spans="1:6" ht="16" thickBot="1">
      <c r="A312" s="840" t="s">
        <v>534</v>
      </c>
      <c r="B312" s="834" t="s">
        <v>407</v>
      </c>
      <c r="C312" s="1064">
        <v>0.15</v>
      </c>
      <c r="D312" s="1064">
        <v>0.15</v>
      </c>
      <c r="E312" s="1064">
        <v>0.15</v>
      </c>
      <c r="F312" s="1065">
        <v>0.1</v>
      </c>
    </row>
    <row r="313" spans="1:6" ht="16" thickBot="1">
      <c r="A313" s="840" t="s">
        <v>534</v>
      </c>
      <c r="B313" s="834" t="s">
        <v>1000</v>
      </c>
      <c r="C313" s="1064">
        <v>0.15</v>
      </c>
      <c r="D313" s="1064">
        <v>0.15</v>
      </c>
      <c r="E313" s="1064">
        <v>0.15</v>
      </c>
      <c r="F313" s="1065">
        <v>0.15</v>
      </c>
    </row>
    <row r="314" spans="1:6" ht="31" thickBot="1">
      <c r="A314" s="840" t="s">
        <v>534</v>
      </c>
      <c r="B314" s="834" t="s">
        <v>1001</v>
      </c>
      <c r="C314" s="1077"/>
      <c r="D314" s="1077"/>
      <c r="E314" s="1077"/>
      <c r="F314" s="1065">
        <v>0.05</v>
      </c>
    </row>
    <row r="315" spans="1:6" ht="31" thickBot="1">
      <c r="A315" s="840" t="s">
        <v>534</v>
      </c>
      <c r="B315" s="834" t="s">
        <v>1002</v>
      </c>
      <c r="C315" s="1077"/>
      <c r="D315" s="1077"/>
      <c r="E315" s="1077"/>
      <c r="F315" s="1065">
        <v>0.05</v>
      </c>
    </row>
    <row r="316" spans="1:6" ht="31" thickBot="1">
      <c r="A316" s="850" t="s">
        <v>534</v>
      </c>
      <c r="B316" s="846" t="s">
        <v>1003</v>
      </c>
      <c r="C316" s="1074"/>
      <c r="D316" s="1074"/>
      <c r="E316" s="1074"/>
      <c r="F316" s="1067">
        <v>0.05</v>
      </c>
    </row>
    <row r="317" spans="1:6" ht="16" thickBot="1">
      <c r="A317" s="840" t="s">
        <v>1004</v>
      </c>
      <c r="B317" s="841" t="s">
        <v>1005</v>
      </c>
      <c r="C317" s="1062">
        <v>0.15</v>
      </c>
      <c r="D317" s="1062">
        <v>0.15</v>
      </c>
      <c r="E317" s="1062">
        <v>0.15</v>
      </c>
      <c r="F317" s="1063">
        <v>0.15</v>
      </c>
    </row>
    <row r="318" spans="1:6" ht="16" thickBot="1">
      <c r="A318" s="840" t="s">
        <v>1004</v>
      </c>
      <c r="B318" s="834" t="s">
        <v>1006</v>
      </c>
      <c r="C318" s="1064">
        <v>0.107</v>
      </c>
      <c r="D318" s="1064">
        <v>0.11</v>
      </c>
      <c r="E318" s="1064">
        <v>0.112</v>
      </c>
      <c r="F318" s="1076"/>
    </row>
    <row r="319" spans="1:6" ht="16" thickBot="1">
      <c r="A319" s="840" t="s">
        <v>1004</v>
      </c>
      <c r="B319" s="834" t="s">
        <v>1007</v>
      </c>
      <c r="C319" s="1064">
        <v>0.15</v>
      </c>
      <c r="D319" s="1064">
        <v>0.15</v>
      </c>
      <c r="E319" s="1064">
        <v>0.15</v>
      </c>
      <c r="F319" s="1065">
        <v>0.15</v>
      </c>
    </row>
    <row r="320" spans="1:6" ht="16" thickBot="1">
      <c r="A320" s="840" t="s">
        <v>1004</v>
      </c>
      <c r="B320" s="834" t="s">
        <v>223</v>
      </c>
      <c r="C320" s="1064">
        <v>0.15</v>
      </c>
      <c r="D320" s="1064">
        <v>0.15</v>
      </c>
      <c r="E320" s="1064">
        <v>0.15</v>
      </c>
      <c r="F320" s="1076"/>
    </row>
    <row r="321" spans="1:6" ht="16" thickBot="1">
      <c r="A321" s="840" t="s">
        <v>1004</v>
      </c>
      <c r="B321" s="834" t="s">
        <v>1008</v>
      </c>
      <c r="C321" s="1064">
        <v>0.15</v>
      </c>
      <c r="D321" s="1064">
        <v>0.15</v>
      </c>
      <c r="E321" s="1064">
        <v>0.15</v>
      </c>
      <c r="F321" s="1076"/>
    </row>
    <row r="322" spans="1:6" ht="16" thickBot="1">
      <c r="A322" s="840" t="s">
        <v>1004</v>
      </c>
      <c r="B322" s="834" t="s">
        <v>1009</v>
      </c>
      <c r="C322" s="1064">
        <v>0.15</v>
      </c>
      <c r="D322" s="1064">
        <v>0.15</v>
      </c>
      <c r="E322" s="1064">
        <v>0.15</v>
      </c>
      <c r="F322" s="1065">
        <v>0.15</v>
      </c>
    </row>
    <row r="323" spans="1:6" ht="16" thickBot="1">
      <c r="A323" s="840" t="s">
        <v>1004</v>
      </c>
      <c r="B323" s="834" t="s">
        <v>1010</v>
      </c>
      <c r="C323" s="1064">
        <v>0.15</v>
      </c>
      <c r="D323" s="1064">
        <v>0.15</v>
      </c>
      <c r="E323" s="1064">
        <v>0.15</v>
      </c>
      <c r="F323" s="1076"/>
    </row>
    <row r="324" spans="1:6" ht="16" thickBot="1">
      <c r="A324" s="840" t="s">
        <v>1004</v>
      </c>
      <c r="B324" s="834" t="s">
        <v>1011</v>
      </c>
      <c r="C324" s="1064">
        <v>0.15</v>
      </c>
      <c r="D324" s="1064">
        <v>0.15</v>
      </c>
      <c r="E324" s="1064">
        <v>0.15</v>
      </c>
      <c r="F324" s="1076"/>
    </row>
    <row r="325" spans="1:6" ht="16" thickBot="1">
      <c r="A325" s="840" t="s">
        <v>1004</v>
      </c>
      <c r="B325" s="834" t="s">
        <v>1012</v>
      </c>
      <c r="C325" s="1064">
        <v>0.15</v>
      </c>
      <c r="D325" s="1064">
        <v>0.15</v>
      </c>
      <c r="E325" s="1064">
        <v>0.15</v>
      </c>
      <c r="F325" s="1065">
        <v>0.14699999999999999</v>
      </c>
    </row>
    <row r="326" spans="1:6" ht="16" thickBot="1">
      <c r="A326" s="840" t="s">
        <v>1004</v>
      </c>
      <c r="B326" s="834" t="s">
        <v>290</v>
      </c>
      <c r="C326" s="1064">
        <v>0.15</v>
      </c>
      <c r="D326" s="1064">
        <v>0.15</v>
      </c>
      <c r="E326" s="1064">
        <v>0.15</v>
      </c>
      <c r="F326" s="1076"/>
    </row>
    <row r="327" spans="1:6" ht="16" thickBot="1">
      <c r="A327" s="840" t="s">
        <v>1004</v>
      </c>
      <c r="B327" s="834" t="s">
        <v>1013</v>
      </c>
      <c r="C327" s="1064">
        <v>0.15</v>
      </c>
      <c r="D327" s="1064">
        <v>0.15</v>
      </c>
      <c r="E327" s="1064">
        <v>0.15</v>
      </c>
      <c r="F327" s="1065">
        <v>0.15</v>
      </c>
    </row>
    <row r="328" spans="1:6" ht="16" thickBot="1">
      <c r="A328" s="840" t="s">
        <v>1004</v>
      </c>
      <c r="B328" s="834" t="s">
        <v>310</v>
      </c>
      <c r="C328" s="1064">
        <v>0.15</v>
      </c>
      <c r="D328" s="1064">
        <v>0.15</v>
      </c>
      <c r="E328" s="1064">
        <v>0.15</v>
      </c>
      <c r="F328" s="1065">
        <v>0.14099999999999999</v>
      </c>
    </row>
    <row r="329" spans="1:6" ht="16" thickBot="1">
      <c r="A329" s="840" t="s">
        <v>1004</v>
      </c>
      <c r="B329" s="834" t="s">
        <v>320</v>
      </c>
      <c r="C329" s="1064">
        <v>0.15</v>
      </c>
      <c r="D329" s="1064">
        <v>0.15</v>
      </c>
      <c r="E329" s="1064">
        <v>0.15</v>
      </c>
      <c r="F329" s="1065">
        <v>0.15</v>
      </c>
    </row>
    <row r="330" spans="1:6" ht="16" thickBot="1">
      <c r="A330" s="840" t="s">
        <v>1004</v>
      </c>
      <c r="B330" s="834" t="s">
        <v>331</v>
      </c>
      <c r="C330" s="1064">
        <v>0.15</v>
      </c>
      <c r="D330" s="1064">
        <v>0.15</v>
      </c>
      <c r="E330" s="1064">
        <v>0.15</v>
      </c>
      <c r="F330" s="1076"/>
    </row>
    <row r="331" spans="1:6" ht="16" thickBot="1">
      <c r="A331" s="840" t="s">
        <v>1004</v>
      </c>
      <c r="B331" s="834" t="s">
        <v>1014</v>
      </c>
      <c r="C331" s="1064">
        <v>0.15</v>
      </c>
      <c r="D331" s="1064">
        <v>0.15</v>
      </c>
      <c r="E331" s="1064">
        <v>0.15</v>
      </c>
      <c r="F331" s="1065">
        <v>0.15</v>
      </c>
    </row>
    <row r="332" spans="1:6" ht="16" thickBot="1">
      <c r="A332" s="840" t="s">
        <v>1004</v>
      </c>
      <c r="B332" s="834" t="s">
        <v>352</v>
      </c>
      <c r="C332" s="1064">
        <v>0.15</v>
      </c>
      <c r="D332" s="1064">
        <v>0.15</v>
      </c>
      <c r="E332" s="1064">
        <v>0.15</v>
      </c>
      <c r="F332" s="1065">
        <v>0.15</v>
      </c>
    </row>
    <row r="333" spans="1:6" ht="16" thickBot="1">
      <c r="A333" s="840" t="s">
        <v>1004</v>
      </c>
      <c r="B333" s="834" t="s">
        <v>1015</v>
      </c>
      <c r="C333" s="1064">
        <v>0.15</v>
      </c>
      <c r="D333" s="1064">
        <v>0.15</v>
      </c>
      <c r="E333" s="1064">
        <v>0.15</v>
      </c>
      <c r="F333" s="1065">
        <v>0.14099999999999999</v>
      </c>
    </row>
    <row r="334" spans="1:6" ht="16" thickBot="1">
      <c r="A334" s="840" t="s">
        <v>1004</v>
      </c>
      <c r="B334" s="834" t="s">
        <v>372</v>
      </c>
      <c r="C334" s="1064">
        <v>0.15</v>
      </c>
      <c r="D334" s="1064">
        <v>0.15</v>
      </c>
      <c r="E334" s="1064">
        <v>0.15</v>
      </c>
      <c r="F334" s="1065">
        <v>0.15</v>
      </c>
    </row>
    <row r="335" spans="1:6" ht="16" thickBot="1">
      <c r="A335" s="840" t="s">
        <v>1004</v>
      </c>
      <c r="B335" s="834" t="s">
        <v>382</v>
      </c>
      <c r="C335" s="1064">
        <v>0.15</v>
      </c>
      <c r="D335" s="1064">
        <v>0.15</v>
      </c>
      <c r="E335" s="1064">
        <v>0.15</v>
      </c>
      <c r="F335" s="1076"/>
    </row>
    <row r="336" spans="1:6" ht="16" thickBot="1">
      <c r="A336" s="840" t="s">
        <v>1004</v>
      </c>
      <c r="B336" s="834" t="s">
        <v>1016</v>
      </c>
      <c r="C336" s="1064">
        <v>0.15</v>
      </c>
      <c r="D336" s="1064">
        <v>0.15</v>
      </c>
      <c r="E336" s="1064">
        <v>0.15</v>
      </c>
      <c r="F336" s="1065">
        <v>0.11799999999999999</v>
      </c>
    </row>
    <row r="337" spans="1:6" ht="16" thickBot="1">
      <c r="A337" s="850" t="s">
        <v>1004</v>
      </c>
      <c r="B337" s="846" t="s">
        <v>400</v>
      </c>
      <c r="C337" s="1074"/>
      <c r="D337" s="1074"/>
      <c r="E337" s="1074"/>
      <c r="F337" s="1067">
        <v>0.14299999999999999</v>
      </c>
    </row>
    <row r="338" spans="1:6" ht="16" thickBot="1">
      <c r="A338" s="840" t="s">
        <v>1017</v>
      </c>
      <c r="B338" s="841" t="s">
        <v>1018</v>
      </c>
      <c r="C338" s="1062">
        <v>0.15</v>
      </c>
      <c r="D338" s="1062">
        <v>0.15</v>
      </c>
      <c r="E338" s="1062">
        <v>0.15</v>
      </c>
      <c r="F338" s="1079"/>
    </row>
    <row r="339" spans="1:6" ht="16" thickBot="1">
      <c r="A339" s="840" t="s">
        <v>1017</v>
      </c>
      <c r="B339" s="834" t="s">
        <v>1019</v>
      </c>
      <c r="C339" s="1064">
        <v>0.15</v>
      </c>
      <c r="D339" s="1064">
        <v>0.15</v>
      </c>
      <c r="E339" s="1064">
        <v>0.15</v>
      </c>
      <c r="F339" s="1076"/>
    </row>
    <row r="340" spans="1:6" ht="16" thickBot="1">
      <c r="A340" s="840" t="s">
        <v>1017</v>
      </c>
      <c r="B340" s="834" t="s">
        <v>1020</v>
      </c>
      <c r="C340" s="1064">
        <v>0.15</v>
      </c>
      <c r="D340" s="1064">
        <v>0.15</v>
      </c>
      <c r="E340" s="1064">
        <v>0.15</v>
      </c>
      <c r="F340" s="1076"/>
    </row>
    <row r="341" spans="1:6" ht="16" thickBot="1">
      <c r="A341" s="840" t="s">
        <v>1017</v>
      </c>
      <c r="B341" s="834" t="s">
        <v>1021</v>
      </c>
      <c r="C341" s="1064">
        <v>0.15</v>
      </c>
      <c r="D341" s="1064">
        <v>0.15</v>
      </c>
      <c r="E341" s="1064">
        <v>0.15</v>
      </c>
      <c r="F341" s="1065">
        <v>0.15</v>
      </c>
    </row>
    <row r="342" spans="1:6" ht="16" thickBot="1">
      <c r="A342" s="840" t="s">
        <v>1017</v>
      </c>
      <c r="B342" s="834" t="s">
        <v>1022</v>
      </c>
      <c r="C342" s="1064">
        <v>0.15</v>
      </c>
      <c r="D342" s="1064">
        <v>0.15</v>
      </c>
      <c r="E342" s="1064">
        <v>0.15</v>
      </c>
      <c r="F342" s="1065">
        <v>0.15</v>
      </c>
    </row>
    <row r="343" spans="1:6" ht="16" thickBot="1">
      <c r="A343" s="840" t="s">
        <v>1017</v>
      </c>
      <c r="B343" s="834" t="s">
        <v>1023</v>
      </c>
      <c r="C343" s="1064">
        <v>0.15</v>
      </c>
      <c r="D343" s="1064">
        <v>0.15</v>
      </c>
      <c r="E343" s="1064">
        <v>0.15</v>
      </c>
      <c r="F343" s="1065">
        <v>0.15</v>
      </c>
    </row>
    <row r="344" spans="1:6" ht="16"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3"/>
  <sheetViews>
    <sheetView workbookViewId="0">
      <selection activeCell="I1" sqref="I1"/>
    </sheetView>
  </sheetViews>
  <sheetFormatPr baseColWidth="10" defaultColWidth="8.83203125" defaultRowHeight="14"/>
  <cols>
    <col min="1" max="1" width="4.83203125" style="1638" customWidth="1"/>
    <col min="2" max="2" width="13.1640625" style="1644" customWidth="1"/>
    <col min="3" max="3" width="15.6640625" style="1644" customWidth="1"/>
    <col min="4" max="4" width="9.33203125" style="1644" bestFit="1" customWidth="1"/>
    <col min="5" max="5" width="13.5" style="1644" customWidth="1"/>
    <col min="6" max="6" width="9" style="1644"/>
    <col min="7" max="7" width="9.33203125" style="1644" bestFit="1" customWidth="1"/>
    <col min="8" max="8" width="12.1640625" style="1644" customWidth="1"/>
    <col min="9" max="9" width="9" style="1644"/>
    <col min="10" max="10" width="9.33203125" style="1644" bestFit="1" customWidth="1"/>
    <col min="11" max="11" width="4" style="1638" customWidth="1"/>
    <col min="12" max="12" width="5.1640625" style="1644" customWidth="1"/>
    <col min="13" max="13" width="13.6640625" style="1644" customWidth="1"/>
    <col min="14" max="256" width="9" style="1644"/>
    <col min="257" max="257" width="4.83203125" style="1635" customWidth="1"/>
    <col min="258" max="258" width="13.1640625" style="1635" customWidth="1"/>
    <col min="259" max="259" width="15.6640625" style="1635" customWidth="1"/>
    <col min="260" max="260" width="9.33203125" style="1635" bestFit="1" customWidth="1"/>
    <col min="261" max="261" width="13.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640625" style="1635" customWidth="1"/>
    <col min="269" max="269" width="13.6640625" style="1635" customWidth="1"/>
    <col min="270" max="512" width="9" style="1635"/>
    <col min="513" max="513" width="4.83203125" style="1635" customWidth="1"/>
    <col min="514" max="514" width="13.1640625" style="1635" customWidth="1"/>
    <col min="515" max="515" width="15.6640625" style="1635" customWidth="1"/>
    <col min="516" max="516" width="9.33203125" style="1635" bestFit="1" customWidth="1"/>
    <col min="517" max="517" width="13.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640625" style="1635" customWidth="1"/>
    <col min="525" max="525" width="13.6640625" style="1635" customWidth="1"/>
    <col min="526" max="768" width="9" style="1635"/>
    <col min="769" max="769" width="4.83203125" style="1635" customWidth="1"/>
    <col min="770" max="770" width="13.1640625" style="1635" customWidth="1"/>
    <col min="771" max="771" width="15.6640625" style="1635" customWidth="1"/>
    <col min="772" max="772" width="9.33203125" style="1635" bestFit="1" customWidth="1"/>
    <col min="773" max="773" width="13.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640625" style="1635" customWidth="1"/>
    <col min="781" max="781" width="13.6640625" style="1635" customWidth="1"/>
    <col min="782" max="1024" width="9" style="1635"/>
    <col min="1025" max="1025" width="4.83203125" style="1635" customWidth="1"/>
    <col min="1026" max="1026" width="13.1640625" style="1635" customWidth="1"/>
    <col min="1027" max="1027" width="15.6640625" style="1635" customWidth="1"/>
    <col min="1028" max="1028" width="9.33203125" style="1635" bestFit="1" customWidth="1"/>
    <col min="1029" max="1029" width="13.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640625" style="1635" customWidth="1"/>
    <col min="1037" max="1037" width="13.6640625" style="1635" customWidth="1"/>
    <col min="1038" max="1280" width="9" style="1635"/>
    <col min="1281" max="1281" width="4.83203125" style="1635" customWidth="1"/>
    <col min="1282" max="1282" width="13.1640625" style="1635" customWidth="1"/>
    <col min="1283" max="1283" width="15.6640625" style="1635" customWidth="1"/>
    <col min="1284" max="1284" width="9.33203125" style="1635" bestFit="1" customWidth="1"/>
    <col min="1285" max="1285" width="13.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640625" style="1635" customWidth="1"/>
    <col min="1293" max="1293" width="13.6640625" style="1635" customWidth="1"/>
    <col min="1294" max="1536" width="9" style="1635"/>
    <col min="1537" max="1537" width="4.83203125" style="1635" customWidth="1"/>
    <col min="1538" max="1538" width="13.1640625" style="1635" customWidth="1"/>
    <col min="1539" max="1539" width="15.6640625" style="1635" customWidth="1"/>
    <col min="1540" max="1540" width="9.33203125" style="1635" bestFit="1" customWidth="1"/>
    <col min="1541" max="1541" width="13.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640625" style="1635" customWidth="1"/>
    <col min="1549" max="1549" width="13.6640625" style="1635" customWidth="1"/>
    <col min="1550" max="1792" width="9" style="1635"/>
    <col min="1793" max="1793" width="4.83203125" style="1635" customWidth="1"/>
    <col min="1794" max="1794" width="13.1640625" style="1635" customWidth="1"/>
    <col min="1795" max="1795" width="15.6640625" style="1635" customWidth="1"/>
    <col min="1796" max="1796" width="9.33203125" style="1635" bestFit="1" customWidth="1"/>
    <col min="1797" max="1797" width="13.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640625" style="1635" customWidth="1"/>
    <col min="1805" max="1805" width="13.6640625" style="1635" customWidth="1"/>
    <col min="1806" max="2048" width="9" style="1635"/>
    <col min="2049" max="2049" width="4.83203125" style="1635" customWidth="1"/>
    <col min="2050" max="2050" width="13.1640625" style="1635" customWidth="1"/>
    <col min="2051" max="2051" width="15.6640625" style="1635" customWidth="1"/>
    <col min="2052" max="2052" width="9.33203125" style="1635" bestFit="1" customWidth="1"/>
    <col min="2053" max="2053" width="13.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640625" style="1635" customWidth="1"/>
    <col min="2061" max="2061" width="13.6640625" style="1635" customWidth="1"/>
    <col min="2062" max="2304" width="9" style="1635"/>
    <col min="2305" max="2305" width="4.83203125" style="1635" customWidth="1"/>
    <col min="2306" max="2306" width="13.1640625" style="1635" customWidth="1"/>
    <col min="2307" max="2307" width="15.6640625" style="1635" customWidth="1"/>
    <col min="2308" max="2308" width="9.33203125" style="1635" bestFit="1" customWidth="1"/>
    <col min="2309" max="2309" width="13.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640625" style="1635" customWidth="1"/>
    <col min="2317" max="2317" width="13.6640625" style="1635" customWidth="1"/>
    <col min="2318" max="2560" width="9" style="1635"/>
    <col min="2561" max="2561" width="4.83203125" style="1635" customWidth="1"/>
    <col min="2562" max="2562" width="13.1640625" style="1635" customWidth="1"/>
    <col min="2563" max="2563" width="15.6640625" style="1635" customWidth="1"/>
    <col min="2564" max="2564" width="9.33203125" style="1635" bestFit="1" customWidth="1"/>
    <col min="2565" max="2565" width="13.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640625" style="1635" customWidth="1"/>
    <col min="2573" max="2573" width="13.6640625" style="1635" customWidth="1"/>
    <col min="2574" max="2816" width="9" style="1635"/>
    <col min="2817" max="2817" width="4.83203125" style="1635" customWidth="1"/>
    <col min="2818" max="2818" width="13.1640625" style="1635" customWidth="1"/>
    <col min="2819" max="2819" width="15.6640625" style="1635" customWidth="1"/>
    <col min="2820" max="2820" width="9.33203125" style="1635" bestFit="1" customWidth="1"/>
    <col min="2821" max="2821" width="13.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640625" style="1635" customWidth="1"/>
    <col min="2829" max="2829" width="13.6640625" style="1635" customWidth="1"/>
    <col min="2830" max="3072" width="9" style="1635"/>
    <col min="3073" max="3073" width="4.83203125" style="1635" customWidth="1"/>
    <col min="3074" max="3074" width="13.1640625" style="1635" customWidth="1"/>
    <col min="3075" max="3075" width="15.6640625" style="1635" customWidth="1"/>
    <col min="3076" max="3076" width="9.33203125" style="1635" bestFit="1" customWidth="1"/>
    <col min="3077" max="3077" width="13.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640625" style="1635" customWidth="1"/>
    <col min="3085" max="3085" width="13.6640625" style="1635" customWidth="1"/>
    <col min="3086" max="3328" width="9" style="1635"/>
    <col min="3329" max="3329" width="4.83203125" style="1635" customWidth="1"/>
    <col min="3330" max="3330" width="13.1640625" style="1635" customWidth="1"/>
    <col min="3331" max="3331" width="15.6640625" style="1635" customWidth="1"/>
    <col min="3332" max="3332" width="9.33203125" style="1635" bestFit="1" customWidth="1"/>
    <col min="3333" max="3333" width="13.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640625" style="1635" customWidth="1"/>
    <col min="3341" max="3341" width="13.6640625" style="1635" customWidth="1"/>
    <col min="3342" max="3584" width="9" style="1635"/>
    <col min="3585" max="3585" width="4.83203125" style="1635" customWidth="1"/>
    <col min="3586" max="3586" width="13.1640625" style="1635" customWidth="1"/>
    <col min="3587" max="3587" width="15.6640625" style="1635" customWidth="1"/>
    <col min="3588" max="3588" width="9.33203125" style="1635" bestFit="1" customWidth="1"/>
    <col min="3589" max="3589" width="13.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640625" style="1635" customWidth="1"/>
    <col min="3597" max="3597" width="13.6640625" style="1635" customWidth="1"/>
    <col min="3598" max="3840" width="9" style="1635"/>
    <col min="3841" max="3841" width="4.83203125" style="1635" customWidth="1"/>
    <col min="3842" max="3842" width="13.1640625" style="1635" customWidth="1"/>
    <col min="3843" max="3843" width="15.6640625" style="1635" customWidth="1"/>
    <col min="3844" max="3844" width="9.33203125" style="1635" bestFit="1" customWidth="1"/>
    <col min="3845" max="3845" width="13.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640625" style="1635" customWidth="1"/>
    <col min="3853" max="3853" width="13.6640625" style="1635" customWidth="1"/>
    <col min="3854" max="4096" width="9" style="1635"/>
    <col min="4097" max="4097" width="4.83203125" style="1635" customWidth="1"/>
    <col min="4098" max="4098" width="13.1640625" style="1635" customWidth="1"/>
    <col min="4099" max="4099" width="15.6640625" style="1635" customWidth="1"/>
    <col min="4100" max="4100" width="9.33203125" style="1635" bestFit="1" customWidth="1"/>
    <col min="4101" max="4101" width="13.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640625" style="1635" customWidth="1"/>
    <col min="4109" max="4109" width="13.6640625" style="1635" customWidth="1"/>
    <col min="4110" max="4352" width="9" style="1635"/>
    <col min="4353" max="4353" width="4.83203125" style="1635" customWidth="1"/>
    <col min="4354" max="4354" width="13.1640625" style="1635" customWidth="1"/>
    <col min="4355" max="4355" width="15.6640625" style="1635" customWidth="1"/>
    <col min="4356" max="4356" width="9.33203125" style="1635" bestFit="1" customWidth="1"/>
    <col min="4357" max="4357" width="13.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640625" style="1635" customWidth="1"/>
    <col min="4365" max="4365" width="13.6640625" style="1635" customWidth="1"/>
    <col min="4366" max="4608" width="9" style="1635"/>
    <col min="4609" max="4609" width="4.83203125" style="1635" customWidth="1"/>
    <col min="4610" max="4610" width="13.1640625" style="1635" customWidth="1"/>
    <col min="4611" max="4611" width="15.6640625" style="1635" customWidth="1"/>
    <col min="4612" max="4612" width="9.33203125" style="1635" bestFit="1" customWidth="1"/>
    <col min="4613" max="4613" width="13.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640625" style="1635" customWidth="1"/>
    <col min="4621" max="4621" width="13.6640625" style="1635" customWidth="1"/>
    <col min="4622" max="4864" width="9" style="1635"/>
    <col min="4865" max="4865" width="4.83203125" style="1635" customWidth="1"/>
    <col min="4866" max="4866" width="13.1640625" style="1635" customWidth="1"/>
    <col min="4867" max="4867" width="15.6640625" style="1635" customWidth="1"/>
    <col min="4868" max="4868" width="9.33203125" style="1635" bestFit="1" customWidth="1"/>
    <col min="4869" max="4869" width="13.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640625" style="1635" customWidth="1"/>
    <col min="4877" max="4877" width="13.6640625" style="1635" customWidth="1"/>
    <col min="4878" max="5120" width="9" style="1635"/>
    <col min="5121" max="5121" width="4.83203125" style="1635" customWidth="1"/>
    <col min="5122" max="5122" width="13.1640625" style="1635" customWidth="1"/>
    <col min="5123" max="5123" width="15.6640625" style="1635" customWidth="1"/>
    <col min="5124" max="5124" width="9.33203125" style="1635" bestFit="1" customWidth="1"/>
    <col min="5125" max="5125" width="13.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640625" style="1635" customWidth="1"/>
    <col min="5133" max="5133" width="13.6640625" style="1635" customWidth="1"/>
    <col min="5134" max="5376" width="9" style="1635"/>
    <col min="5377" max="5377" width="4.83203125" style="1635" customWidth="1"/>
    <col min="5378" max="5378" width="13.1640625" style="1635" customWidth="1"/>
    <col min="5379" max="5379" width="15.6640625" style="1635" customWidth="1"/>
    <col min="5380" max="5380" width="9.33203125" style="1635" bestFit="1" customWidth="1"/>
    <col min="5381" max="5381" width="13.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640625" style="1635" customWidth="1"/>
    <col min="5389" max="5389" width="13.6640625" style="1635" customWidth="1"/>
    <col min="5390" max="5632" width="9" style="1635"/>
    <col min="5633" max="5633" width="4.83203125" style="1635" customWidth="1"/>
    <col min="5634" max="5634" width="13.1640625" style="1635" customWidth="1"/>
    <col min="5635" max="5635" width="15.6640625" style="1635" customWidth="1"/>
    <col min="5636" max="5636" width="9.33203125" style="1635" bestFit="1" customWidth="1"/>
    <col min="5637" max="5637" width="13.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640625" style="1635" customWidth="1"/>
    <col min="5645" max="5645" width="13.6640625" style="1635" customWidth="1"/>
    <col min="5646" max="5888" width="9" style="1635"/>
    <col min="5889" max="5889" width="4.83203125" style="1635" customWidth="1"/>
    <col min="5890" max="5890" width="13.1640625" style="1635" customWidth="1"/>
    <col min="5891" max="5891" width="15.6640625" style="1635" customWidth="1"/>
    <col min="5892" max="5892" width="9.33203125" style="1635" bestFit="1" customWidth="1"/>
    <col min="5893" max="5893" width="13.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640625" style="1635" customWidth="1"/>
    <col min="5901" max="5901" width="13.6640625" style="1635" customWidth="1"/>
    <col min="5902" max="6144" width="9" style="1635"/>
    <col min="6145" max="6145" width="4.83203125" style="1635" customWidth="1"/>
    <col min="6146" max="6146" width="13.1640625" style="1635" customWidth="1"/>
    <col min="6147" max="6147" width="15.6640625" style="1635" customWidth="1"/>
    <col min="6148" max="6148" width="9.33203125" style="1635" bestFit="1" customWidth="1"/>
    <col min="6149" max="6149" width="13.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640625" style="1635" customWidth="1"/>
    <col min="6157" max="6157" width="13.6640625" style="1635" customWidth="1"/>
    <col min="6158" max="6400" width="9" style="1635"/>
    <col min="6401" max="6401" width="4.83203125" style="1635" customWidth="1"/>
    <col min="6402" max="6402" width="13.1640625" style="1635" customWidth="1"/>
    <col min="6403" max="6403" width="15.6640625" style="1635" customWidth="1"/>
    <col min="6404" max="6404" width="9.33203125" style="1635" bestFit="1" customWidth="1"/>
    <col min="6405" max="6405" width="13.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640625" style="1635" customWidth="1"/>
    <col min="6413" max="6413" width="13.6640625" style="1635" customWidth="1"/>
    <col min="6414" max="6656" width="9" style="1635"/>
    <col min="6657" max="6657" width="4.83203125" style="1635" customWidth="1"/>
    <col min="6658" max="6658" width="13.1640625" style="1635" customWidth="1"/>
    <col min="6659" max="6659" width="15.6640625" style="1635" customWidth="1"/>
    <col min="6660" max="6660" width="9.33203125" style="1635" bestFit="1" customWidth="1"/>
    <col min="6661" max="6661" width="13.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640625" style="1635" customWidth="1"/>
    <col min="6669" max="6669" width="13.6640625" style="1635" customWidth="1"/>
    <col min="6670" max="6912" width="9" style="1635"/>
    <col min="6913" max="6913" width="4.83203125" style="1635" customWidth="1"/>
    <col min="6914" max="6914" width="13.1640625" style="1635" customWidth="1"/>
    <col min="6915" max="6915" width="15.6640625" style="1635" customWidth="1"/>
    <col min="6916" max="6916" width="9.33203125" style="1635" bestFit="1" customWidth="1"/>
    <col min="6917" max="6917" width="13.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640625" style="1635" customWidth="1"/>
    <col min="6925" max="6925" width="13.6640625" style="1635" customWidth="1"/>
    <col min="6926" max="7168" width="9" style="1635"/>
    <col min="7169" max="7169" width="4.83203125" style="1635" customWidth="1"/>
    <col min="7170" max="7170" width="13.1640625" style="1635" customWidth="1"/>
    <col min="7171" max="7171" width="15.6640625" style="1635" customWidth="1"/>
    <col min="7172" max="7172" width="9.33203125" style="1635" bestFit="1" customWidth="1"/>
    <col min="7173" max="7173" width="13.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640625" style="1635" customWidth="1"/>
    <col min="7181" max="7181" width="13.6640625" style="1635" customWidth="1"/>
    <col min="7182" max="7424" width="9" style="1635"/>
    <col min="7425" max="7425" width="4.83203125" style="1635" customWidth="1"/>
    <col min="7426" max="7426" width="13.1640625" style="1635" customWidth="1"/>
    <col min="7427" max="7427" width="15.6640625" style="1635" customWidth="1"/>
    <col min="7428" max="7428" width="9.33203125" style="1635" bestFit="1" customWidth="1"/>
    <col min="7429" max="7429" width="13.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640625" style="1635" customWidth="1"/>
    <col min="7437" max="7437" width="13.6640625" style="1635" customWidth="1"/>
    <col min="7438" max="7680" width="9" style="1635"/>
    <col min="7681" max="7681" width="4.83203125" style="1635" customWidth="1"/>
    <col min="7682" max="7682" width="13.1640625" style="1635" customWidth="1"/>
    <col min="7683" max="7683" width="15.6640625" style="1635" customWidth="1"/>
    <col min="7684" max="7684" width="9.33203125" style="1635" bestFit="1" customWidth="1"/>
    <col min="7685" max="7685" width="13.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640625" style="1635" customWidth="1"/>
    <col min="7693" max="7693" width="13.6640625" style="1635" customWidth="1"/>
    <col min="7694" max="7936" width="9" style="1635"/>
    <col min="7937" max="7937" width="4.83203125" style="1635" customWidth="1"/>
    <col min="7938" max="7938" width="13.1640625" style="1635" customWidth="1"/>
    <col min="7939" max="7939" width="15.6640625" style="1635" customWidth="1"/>
    <col min="7940" max="7940" width="9.33203125" style="1635" bestFit="1" customWidth="1"/>
    <col min="7941" max="7941" width="13.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640625" style="1635" customWidth="1"/>
    <col min="7949" max="7949" width="13.6640625" style="1635" customWidth="1"/>
    <col min="7950" max="8192" width="9" style="1635"/>
    <col min="8193" max="8193" width="4.83203125" style="1635" customWidth="1"/>
    <col min="8194" max="8194" width="13.1640625" style="1635" customWidth="1"/>
    <col min="8195" max="8195" width="15.6640625" style="1635" customWidth="1"/>
    <col min="8196" max="8196" width="9.33203125" style="1635" bestFit="1" customWidth="1"/>
    <col min="8197" max="8197" width="13.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640625" style="1635" customWidth="1"/>
    <col min="8205" max="8205" width="13.6640625" style="1635" customWidth="1"/>
    <col min="8206" max="8448" width="9" style="1635"/>
    <col min="8449" max="8449" width="4.83203125" style="1635" customWidth="1"/>
    <col min="8450" max="8450" width="13.1640625" style="1635" customWidth="1"/>
    <col min="8451" max="8451" width="15.6640625" style="1635" customWidth="1"/>
    <col min="8452" max="8452" width="9.33203125" style="1635" bestFit="1" customWidth="1"/>
    <col min="8453" max="8453" width="13.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640625" style="1635" customWidth="1"/>
    <col min="8461" max="8461" width="13.6640625" style="1635" customWidth="1"/>
    <col min="8462" max="8704" width="9" style="1635"/>
    <col min="8705" max="8705" width="4.83203125" style="1635" customWidth="1"/>
    <col min="8706" max="8706" width="13.1640625" style="1635" customWidth="1"/>
    <col min="8707" max="8707" width="15.6640625" style="1635" customWidth="1"/>
    <col min="8708" max="8708" width="9.33203125" style="1635" bestFit="1" customWidth="1"/>
    <col min="8709" max="8709" width="13.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640625" style="1635" customWidth="1"/>
    <col min="8717" max="8717" width="13.6640625" style="1635" customWidth="1"/>
    <col min="8718" max="8960" width="9" style="1635"/>
    <col min="8961" max="8961" width="4.83203125" style="1635" customWidth="1"/>
    <col min="8962" max="8962" width="13.1640625" style="1635" customWidth="1"/>
    <col min="8963" max="8963" width="15.6640625" style="1635" customWidth="1"/>
    <col min="8964" max="8964" width="9.33203125" style="1635" bestFit="1" customWidth="1"/>
    <col min="8965" max="8965" width="13.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640625" style="1635" customWidth="1"/>
    <col min="8973" max="8973" width="13.6640625" style="1635" customWidth="1"/>
    <col min="8974" max="9216" width="9" style="1635"/>
    <col min="9217" max="9217" width="4.83203125" style="1635" customWidth="1"/>
    <col min="9218" max="9218" width="13.1640625" style="1635" customWidth="1"/>
    <col min="9219" max="9219" width="15.6640625" style="1635" customWidth="1"/>
    <col min="9220" max="9220" width="9.33203125" style="1635" bestFit="1" customWidth="1"/>
    <col min="9221" max="9221" width="13.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640625" style="1635" customWidth="1"/>
    <col min="9229" max="9229" width="13.6640625" style="1635" customWidth="1"/>
    <col min="9230" max="9472" width="9" style="1635"/>
    <col min="9473" max="9473" width="4.83203125" style="1635" customWidth="1"/>
    <col min="9474" max="9474" width="13.1640625" style="1635" customWidth="1"/>
    <col min="9475" max="9475" width="15.6640625" style="1635" customWidth="1"/>
    <col min="9476" max="9476" width="9.33203125" style="1635" bestFit="1" customWidth="1"/>
    <col min="9477" max="9477" width="13.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640625" style="1635" customWidth="1"/>
    <col min="9485" max="9485" width="13.6640625" style="1635" customWidth="1"/>
    <col min="9486" max="9728" width="9" style="1635"/>
    <col min="9729" max="9729" width="4.83203125" style="1635" customWidth="1"/>
    <col min="9730" max="9730" width="13.1640625" style="1635" customWidth="1"/>
    <col min="9731" max="9731" width="15.6640625" style="1635" customWidth="1"/>
    <col min="9732" max="9732" width="9.33203125" style="1635" bestFit="1" customWidth="1"/>
    <col min="9733" max="9733" width="13.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640625" style="1635" customWidth="1"/>
    <col min="9741" max="9741" width="13.6640625" style="1635" customWidth="1"/>
    <col min="9742" max="9984" width="9" style="1635"/>
    <col min="9985" max="9985" width="4.83203125" style="1635" customWidth="1"/>
    <col min="9986" max="9986" width="13.1640625" style="1635" customWidth="1"/>
    <col min="9987" max="9987" width="15.6640625" style="1635" customWidth="1"/>
    <col min="9988" max="9988" width="9.33203125" style="1635" bestFit="1" customWidth="1"/>
    <col min="9989" max="9989" width="13.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640625" style="1635" customWidth="1"/>
    <col min="9997" max="9997" width="13.6640625" style="1635" customWidth="1"/>
    <col min="9998" max="10240" width="9" style="1635"/>
    <col min="10241" max="10241" width="4.83203125" style="1635" customWidth="1"/>
    <col min="10242" max="10242" width="13.1640625" style="1635" customWidth="1"/>
    <col min="10243" max="10243" width="15.6640625" style="1635" customWidth="1"/>
    <col min="10244" max="10244" width="9.33203125" style="1635" bestFit="1" customWidth="1"/>
    <col min="10245" max="10245" width="13.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640625" style="1635" customWidth="1"/>
    <col min="10253" max="10253" width="13.6640625" style="1635" customWidth="1"/>
    <col min="10254" max="10496" width="9" style="1635"/>
    <col min="10497" max="10497" width="4.83203125" style="1635" customWidth="1"/>
    <col min="10498" max="10498" width="13.1640625" style="1635" customWidth="1"/>
    <col min="10499" max="10499" width="15.6640625" style="1635" customWidth="1"/>
    <col min="10500" max="10500" width="9.33203125" style="1635" bestFit="1" customWidth="1"/>
    <col min="10501" max="10501" width="13.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640625" style="1635" customWidth="1"/>
    <col min="10509" max="10509" width="13.6640625" style="1635" customWidth="1"/>
    <col min="10510" max="10752" width="9" style="1635"/>
    <col min="10753" max="10753" width="4.83203125" style="1635" customWidth="1"/>
    <col min="10754" max="10754" width="13.1640625" style="1635" customWidth="1"/>
    <col min="10755" max="10755" width="15.6640625" style="1635" customWidth="1"/>
    <col min="10756" max="10756" width="9.33203125" style="1635" bestFit="1" customWidth="1"/>
    <col min="10757" max="10757" width="13.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640625" style="1635" customWidth="1"/>
    <col min="10765" max="10765" width="13.6640625" style="1635" customWidth="1"/>
    <col min="10766" max="11008" width="9" style="1635"/>
    <col min="11009" max="11009" width="4.83203125" style="1635" customWidth="1"/>
    <col min="11010" max="11010" width="13.1640625" style="1635" customWidth="1"/>
    <col min="11011" max="11011" width="15.6640625" style="1635" customWidth="1"/>
    <col min="11012" max="11012" width="9.33203125" style="1635" bestFit="1" customWidth="1"/>
    <col min="11013" max="11013" width="13.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640625" style="1635" customWidth="1"/>
    <col min="11021" max="11021" width="13.6640625" style="1635" customWidth="1"/>
    <col min="11022" max="11264" width="9" style="1635"/>
    <col min="11265" max="11265" width="4.83203125" style="1635" customWidth="1"/>
    <col min="11266" max="11266" width="13.1640625" style="1635" customWidth="1"/>
    <col min="11267" max="11267" width="15.6640625" style="1635" customWidth="1"/>
    <col min="11268" max="11268" width="9.33203125" style="1635" bestFit="1" customWidth="1"/>
    <col min="11269" max="11269" width="13.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640625" style="1635" customWidth="1"/>
    <col min="11277" max="11277" width="13.6640625" style="1635" customWidth="1"/>
    <col min="11278" max="11520" width="9" style="1635"/>
    <col min="11521" max="11521" width="4.83203125" style="1635" customWidth="1"/>
    <col min="11522" max="11522" width="13.1640625" style="1635" customWidth="1"/>
    <col min="11523" max="11523" width="15.6640625" style="1635" customWidth="1"/>
    <col min="11524" max="11524" width="9.33203125" style="1635" bestFit="1" customWidth="1"/>
    <col min="11525" max="11525" width="13.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640625" style="1635" customWidth="1"/>
    <col min="11533" max="11533" width="13.6640625" style="1635" customWidth="1"/>
    <col min="11534" max="11776" width="9" style="1635"/>
    <col min="11777" max="11777" width="4.83203125" style="1635" customWidth="1"/>
    <col min="11778" max="11778" width="13.1640625" style="1635" customWidth="1"/>
    <col min="11779" max="11779" width="15.6640625" style="1635" customWidth="1"/>
    <col min="11780" max="11780" width="9.33203125" style="1635" bestFit="1" customWidth="1"/>
    <col min="11781" max="11781" width="13.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640625" style="1635" customWidth="1"/>
    <col min="11789" max="11789" width="13.6640625" style="1635" customWidth="1"/>
    <col min="11790" max="12032" width="9" style="1635"/>
    <col min="12033" max="12033" width="4.83203125" style="1635" customWidth="1"/>
    <col min="12034" max="12034" width="13.1640625" style="1635" customWidth="1"/>
    <col min="12035" max="12035" width="15.6640625" style="1635" customWidth="1"/>
    <col min="12036" max="12036" width="9.33203125" style="1635" bestFit="1" customWidth="1"/>
    <col min="12037" max="12037" width="13.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640625" style="1635" customWidth="1"/>
    <col min="12045" max="12045" width="13.6640625" style="1635" customWidth="1"/>
    <col min="12046" max="12288" width="9" style="1635"/>
    <col min="12289" max="12289" width="4.83203125" style="1635" customWidth="1"/>
    <col min="12290" max="12290" width="13.1640625" style="1635" customWidth="1"/>
    <col min="12291" max="12291" width="15.6640625" style="1635" customWidth="1"/>
    <col min="12292" max="12292" width="9.33203125" style="1635" bestFit="1" customWidth="1"/>
    <col min="12293" max="12293" width="13.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640625" style="1635" customWidth="1"/>
    <col min="12301" max="12301" width="13.6640625" style="1635" customWidth="1"/>
    <col min="12302" max="12544" width="9" style="1635"/>
    <col min="12545" max="12545" width="4.83203125" style="1635" customWidth="1"/>
    <col min="12546" max="12546" width="13.1640625" style="1635" customWidth="1"/>
    <col min="12547" max="12547" width="15.6640625" style="1635" customWidth="1"/>
    <col min="12548" max="12548" width="9.33203125" style="1635" bestFit="1" customWidth="1"/>
    <col min="12549" max="12549" width="13.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640625" style="1635" customWidth="1"/>
    <col min="12557" max="12557" width="13.6640625" style="1635" customWidth="1"/>
    <col min="12558" max="12800" width="9" style="1635"/>
    <col min="12801" max="12801" width="4.83203125" style="1635" customWidth="1"/>
    <col min="12802" max="12802" width="13.1640625" style="1635" customWidth="1"/>
    <col min="12803" max="12803" width="15.6640625" style="1635" customWidth="1"/>
    <col min="12804" max="12804" width="9.33203125" style="1635" bestFit="1" customWidth="1"/>
    <col min="12805" max="12805" width="13.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640625" style="1635" customWidth="1"/>
    <col min="12813" max="12813" width="13.6640625" style="1635" customWidth="1"/>
    <col min="12814" max="13056" width="9" style="1635"/>
    <col min="13057" max="13057" width="4.83203125" style="1635" customWidth="1"/>
    <col min="13058" max="13058" width="13.1640625" style="1635" customWidth="1"/>
    <col min="13059" max="13059" width="15.6640625" style="1635" customWidth="1"/>
    <col min="13060" max="13060" width="9.33203125" style="1635" bestFit="1" customWidth="1"/>
    <col min="13061" max="13061" width="13.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640625" style="1635" customWidth="1"/>
    <col min="13069" max="13069" width="13.6640625" style="1635" customWidth="1"/>
    <col min="13070" max="13312" width="9" style="1635"/>
    <col min="13313" max="13313" width="4.83203125" style="1635" customWidth="1"/>
    <col min="13314" max="13314" width="13.1640625" style="1635" customWidth="1"/>
    <col min="13315" max="13315" width="15.6640625" style="1635" customWidth="1"/>
    <col min="13316" max="13316" width="9.33203125" style="1635" bestFit="1" customWidth="1"/>
    <col min="13317" max="13317" width="13.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640625" style="1635" customWidth="1"/>
    <col min="13325" max="13325" width="13.6640625" style="1635" customWidth="1"/>
    <col min="13326" max="13568" width="9" style="1635"/>
    <col min="13569" max="13569" width="4.83203125" style="1635" customWidth="1"/>
    <col min="13570" max="13570" width="13.1640625" style="1635" customWidth="1"/>
    <col min="13571" max="13571" width="15.6640625" style="1635" customWidth="1"/>
    <col min="13572" max="13572" width="9.33203125" style="1635" bestFit="1" customWidth="1"/>
    <col min="13573" max="13573" width="13.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640625" style="1635" customWidth="1"/>
    <col min="13581" max="13581" width="13.6640625" style="1635" customWidth="1"/>
    <col min="13582" max="13824" width="9" style="1635"/>
    <col min="13825" max="13825" width="4.83203125" style="1635" customWidth="1"/>
    <col min="13826" max="13826" width="13.1640625" style="1635" customWidth="1"/>
    <col min="13827" max="13827" width="15.6640625" style="1635" customWidth="1"/>
    <col min="13828" max="13828" width="9.33203125" style="1635" bestFit="1" customWidth="1"/>
    <col min="13829" max="13829" width="13.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640625" style="1635" customWidth="1"/>
    <col min="13837" max="13837" width="13.6640625" style="1635" customWidth="1"/>
    <col min="13838" max="14080" width="9" style="1635"/>
    <col min="14081" max="14081" width="4.83203125" style="1635" customWidth="1"/>
    <col min="14082" max="14082" width="13.1640625" style="1635" customWidth="1"/>
    <col min="14083" max="14083" width="15.6640625" style="1635" customWidth="1"/>
    <col min="14084" max="14084" width="9.33203125" style="1635" bestFit="1" customWidth="1"/>
    <col min="14085" max="14085" width="13.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640625" style="1635" customWidth="1"/>
    <col min="14093" max="14093" width="13.6640625" style="1635" customWidth="1"/>
    <col min="14094" max="14336" width="9" style="1635"/>
    <col min="14337" max="14337" width="4.83203125" style="1635" customWidth="1"/>
    <col min="14338" max="14338" width="13.1640625" style="1635" customWidth="1"/>
    <col min="14339" max="14339" width="15.6640625" style="1635" customWidth="1"/>
    <col min="14340" max="14340" width="9.33203125" style="1635" bestFit="1" customWidth="1"/>
    <col min="14341" max="14341" width="13.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640625" style="1635" customWidth="1"/>
    <col min="14349" max="14349" width="13.6640625" style="1635" customWidth="1"/>
    <col min="14350" max="14592" width="9" style="1635"/>
    <col min="14593" max="14593" width="4.83203125" style="1635" customWidth="1"/>
    <col min="14594" max="14594" width="13.1640625" style="1635" customWidth="1"/>
    <col min="14595" max="14595" width="15.6640625" style="1635" customWidth="1"/>
    <col min="14596" max="14596" width="9.33203125" style="1635" bestFit="1" customWidth="1"/>
    <col min="14597" max="14597" width="13.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640625" style="1635" customWidth="1"/>
    <col min="14605" max="14605" width="13.6640625" style="1635" customWidth="1"/>
    <col min="14606" max="14848" width="9" style="1635"/>
    <col min="14849" max="14849" width="4.83203125" style="1635" customWidth="1"/>
    <col min="14850" max="14850" width="13.1640625" style="1635" customWidth="1"/>
    <col min="14851" max="14851" width="15.6640625" style="1635" customWidth="1"/>
    <col min="14852" max="14852" width="9.33203125" style="1635" bestFit="1" customWidth="1"/>
    <col min="14853" max="14853" width="13.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640625" style="1635" customWidth="1"/>
    <col min="14861" max="14861" width="13.6640625" style="1635" customWidth="1"/>
    <col min="14862" max="15104" width="9" style="1635"/>
    <col min="15105" max="15105" width="4.83203125" style="1635" customWidth="1"/>
    <col min="15106" max="15106" width="13.1640625" style="1635" customWidth="1"/>
    <col min="15107" max="15107" width="15.6640625" style="1635" customWidth="1"/>
    <col min="15108" max="15108" width="9.33203125" style="1635" bestFit="1" customWidth="1"/>
    <col min="15109" max="15109" width="13.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640625" style="1635" customWidth="1"/>
    <col min="15117" max="15117" width="13.6640625" style="1635" customWidth="1"/>
    <col min="15118" max="15360" width="9" style="1635"/>
    <col min="15361" max="15361" width="4.83203125" style="1635" customWidth="1"/>
    <col min="15362" max="15362" width="13.1640625" style="1635" customWidth="1"/>
    <col min="15363" max="15363" width="15.6640625" style="1635" customWidth="1"/>
    <col min="15364" max="15364" width="9.33203125" style="1635" bestFit="1" customWidth="1"/>
    <col min="15365" max="15365" width="13.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640625" style="1635" customWidth="1"/>
    <col min="15373" max="15373" width="13.6640625" style="1635" customWidth="1"/>
    <col min="15374" max="15616" width="9" style="1635"/>
    <col min="15617" max="15617" width="4.83203125" style="1635" customWidth="1"/>
    <col min="15618" max="15618" width="13.1640625" style="1635" customWidth="1"/>
    <col min="15619" max="15619" width="15.6640625" style="1635" customWidth="1"/>
    <col min="15620" max="15620" width="9.33203125" style="1635" bestFit="1" customWidth="1"/>
    <col min="15621" max="15621" width="13.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640625" style="1635" customWidth="1"/>
    <col min="15629" max="15629" width="13.6640625" style="1635" customWidth="1"/>
    <col min="15630" max="15872" width="9" style="1635"/>
    <col min="15873" max="15873" width="4.83203125" style="1635" customWidth="1"/>
    <col min="15874" max="15874" width="13.1640625" style="1635" customWidth="1"/>
    <col min="15875" max="15875" width="15.6640625" style="1635" customWidth="1"/>
    <col min="15876" max="15876" width="9.33203125" style="1635" bestFit="1" customWidth="1"/>
    <col min="15877" max="15877" width="13.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640625" style="1635" customWidth="1"/>
    <col min="15885" max="15885" width="13.6640625" style="1635" customWidth="1"/>
    <col min="15886" max="16128" width="9" style="1635"/>
    <col min="16129" max="16129" width="4.83203125" style="1635" customWidth="1"/>
    <col min="16130" max="16130" width="13.1640625" style="1635" customWidth="1"/>
    <col min="16131" max="16131" width="15.6640625" style="1635" customWidth="1"/>
    <col min="16132" max="16132" width="9.33203125" style="1635" bestFit="1" customWidth="1"/>
    <col min="16133" max="16133" width="13.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640625" style="1635" customWidth="1"/>
    <col min="16141" max="16141" width="13.6640625" style="1635" customWidth="1"/>
    <col min="16142" max="16384" width="9" style="1635"/>
  </cols>
  <sheetData>
    <row r="1" spans="1:257" s="1699" customFormat="1" ht="15" thickBot="1">
      <c r="A1" s="1693"/>
      <c r="B1" s="1700" t="s">
        <v>1295</v>
      </c>
      <c r="C1" s="1694">
        <f>项目基本情况!D3</f>
        <v>43847</v>
      </c>
      <c r="D1" s="1700" t="s">
        <v>1296</v>
      </c>
      <c r="E1" s="1695">
        <f>'数据-取费表'!B22</f>
        <v>0</v>
      </c>
      <c r="F1" s="1700" t="s">
        <v>1297</v>
      </c>
      <c r="G1" s="1696" t="e">
        <f ca="1">INDIRECT("d"&amp;$K$1)/100</f>
        <v>#VALUE!</v>
      </c>
      <c r="H1" s="1700" t="s">
        <v>1327</v>
      </c>
      <c r="I1" s="1696">
        <f ca="1">F4/100</f>
        <v>1.4999999999999999E-2</v>
      </c>
      <c r="J1" s="1701">
        <f>IF(C1&gt;C13,0,MATCH(C1,C$13:C$100,-1))+IF(SUMIF(C13:C100,C1,D13:D100)=0,13,12)</f>
        <v>13</v>
      </c>
      <c r="K1" s="1701">
        <f ca="1">MATCH(E1,C3:C7,1)+IF(SUMIF(C3:C7,E1,D3:D7)=0,2,1)</f>
        <v>2</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6"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19">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4">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ht="15">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6">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ht="15">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ht="15">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ht="15">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ht="15">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ht="15">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ht="15">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ht="15">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ht="15">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ht="15">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ht="15">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ht="15">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baseColWidth="10" defaultColWidth="8.83203125" defaultRowHeight="14"/>
  <sheetData>
    <row r="1" spans="1:13" ht="28">
      <c r="A1" s="1782" t="s">
        <v>1367</v>
      </c>
      <c r="E1" s="1776" t="s">
        <v>1371</v>
      </c>
      <c r="F1" s="1777" t="s">
        <v>1375</v>
      </c>
    </row>
    <row r="2" spans="1:13" ht="22">
      <c r="A2" s="1783" t="s">
        <v>1368</v>
      </c>
    </row>
    <row r="3" spans="1:13" ht="17">
      <c r="A3" s="1784" t="s">
        <v>1369</v>
      </c>
    </row>
    <row r="4" spans="1:13">
      <c r="A4" s="1774" t="s">
        <v>1370</v>
      </c>
      <c r="B4" s="1779" t="s">
        <v>1372</v>
      </c>
      <c r="C4" s="1780"/>
      <c r="D4" s="1781"/>
      <c r="E4" s="1779" t="s">
        <v>27</v>
      </c>
      <c r="F4" s="1780"/>
      <c r="G4" s="1781"/>
      <c r="H4" s="1779" t="s">
        <v>1373</v>
      </c>
      <c r="I4" s="1780"/>
      <c r="J4" s="1781"/>
      <c r="K4" s="1779" t="s">
        <v>6</v>
      </c>
      <c r="L4" s="1780"/>
      <c r="M4" s="1781"/>
    </row>
    <row r="5" spans="1:13">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H3:Q28"/>
  <sheetViews>
    <sheetView workbookViewId="0">
      <selection activeCell="I100" sqref="I100"/>
    </sheetView>
  </sheetViews>
  <sheetFormatPr baseColWidth="10" defaultColWidth="8.83203125" defaultRowHeight="14"/>
  <sheetData>
    <row r="3" spans="16:17">
      <c r="P3">
        <f>30000/Q3</f>
        <v>0.57590416954618751</v>
      </c>
      <c r="Q3">
        <v>52092</v>
      </c>
    </row>
    <row r="5" spans="16:17">
      <c r="P5">
        <f>30000/'比较法-住宅'!C49</f>
        <v>0.57590416954618751</v>
      </c>
    </row>
    <row r="28" spans="8:8">
      <c r="H28" s="2965" t="s">
        <v>3102</v>
      </c>
    </row>
  </sheetData>
  <phoneticPr fontId="144"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outlinePr summaryBelow="0" summaryRight="0"/>
    <pageSetUpPr autoPageBreaks="0" fitToPage="1"/>
  </sheetPr>
  <dimension ref="A1:G23"/>
  <sheetViews>
    <sheetView workbookViewId="0">
      <selection activeCell="A26" sqref="A26"/>
    </sheetView>
  </sheetViews>
  <sheetFormatPr baseColWidth="10" defaultColWidth="8.83203125" defaultRowHeight="13"/>
  <cols>
    <col min="1" max="1" width="13.83203125" style="2979" customWidth="1"/>
    <col min="2" max="4" width="10.6640625" style="2979" customWidth="1"/>
    <col min="5" max="5" width="12.1640625" style="2979" customWidth="1"/>
    <col min="6" max="7" width="13.83203125" style="2979" customWidth="1"/>
    <col min="8" max="256" width="9" style="2979"/>
    <col min="257" max="257" width="13.83203125" style="2979" customWidth="1"/>
    <col min="258" max="260" width="10.6640625" style="2979" customWidth="1"/>
    <col min="261" max="261" width="12.1640625" style="2979" customWidth="1"/>
    <col min="262" max="263" width="13.83203125" style="2979" customWidth="1"/>
    <col min="264" max="512" width="9" style="2979"/>
    <col min="513" max="513" width="13.83203125" style="2979" customWidth="1"/>
    <col min="514" max="516" width="10.6640625" style="2979" customWidth="1"/>
    <col min="517" max="517" width="12.1640625" style="2979" customWidth="1"/>
    <col min="518" max="519" width="13.83203125" style="2979" customWidth="1"/>
    <col min="520" max="768" width="9" style="2979"/>
    <col min="769" max="769" width="13.83203125" style="2979" customWidth="1"/>
    <col min="770" max="772" width="10.6640625" style="2979" customWidth="1"/>
    <col min="773" max="773" width="12.1640625" style="2979" customWidth="1"/>
    <col min="774" max="775" width="13.83203125" style="2979" customWidth="1"/>
    <col min="776" max="1024" width="9" style="2979"/>
    <col min="1025" max="1025" width="13.83203125" style="2979" customWidth="1"/>
    <col min="1026" max="1028" width="10.6640625" style="2979" customWidth="1"/>
    <col min="1029" max="1029" width="12.1640625" style="2979" customWidth="1"/>
    <col min="1030" max="1031" width="13.83203125" style="2979" customWidth="1"/>
    <col min="1032" max="1280" width="9" style="2979"/>
    <col min="1281" max="1281" width="13.83203125" style="2979" customWidth="1"/>
    <col min="1282" max="1284" width="10.6640625" style="2979" customWidth="1"/>
    <col min="1285" max="1285" width="12.1640625" style="2979" customWidth="1"/>
    <col min="1286" max="1287" width="13.83203125" style="2979" customWidth="1"/>
    <col min="1288" max="1536" width="9" style="2979"/>
    <col min="1537" max="1537" width="13.83203125" style="2979" customWidth="1"/>
    <col min="1538" max="1540" width="10.6640625" style="2979" customWidth="1"/>
    <col min="1541" max="1541" width="12.1640625" style="2979" customWidth="1"/>
    <col min="1542" max="1543" width="13.83203125" style="2979" customWidth="1"/>
    <col min="1544" max="1792" width="9" style="2979"/>
    <col min="1793" max="1793" width="13.83203125" style="2979" customWidth="1"/>
    <col min="1794" max="1796" width="10.6640625" style="2979" customWidth="1"/>
    <col min="1797" max="1797" width="12.1640625" style="2979" customWidth="1"/>
    <col min="1798" max="1799" width="13.83203125" style="2979" customWidth="1"/>
    <col min="1800" max="2048" width="9" style="2979"/>
    <col min="2049" max="2049" width="13.83203125" style="2979" customWidth="1"/>
    <col min="2050" max="2052" width="10.6640625" style="2979" customWidth="1"/>
    <col min="2053" max="2053" width="12.1640625" style="2979" customWidth="1"/>
    <col min="2054" max="2055" width="13.83203125" style="2979" customWidth="1"/>
    <col min="2056" max="2304" width="9" style="2979"/>
    <col min="2305" max="2305" width="13.83203125" style="2979" customWidth="1"/>
    <col min="2306" max="2308" width="10.6640625" style="2979" customWidth="1"/>
    <col min="2309" max="2309" width="12.1640625" style="2979" customWidth="1"/>
    <col min="2310" max="2311" width="13.83203125" style="2979" customWidth="1"/>
    <col min="2312" max="2560" width="9" style="2979"/>
    <col min="2561" max="2561" width="13.83203125" style="2979" customWidth="1"/>
    <col min="2562" max="2564" width="10.6640625" style="2979" customWidth="1"/>
    <col min="2565" max="2565" width="12.1640625" style="2979" customWidth="1"/>
    <col min="2566" max="2567" width="13.83203125" style="2979" customWidth="1"/>
    <col min="2568" max="2816" width="9" style="2979"/>
    <col min="2817" max="2817" width="13.83203125" style="2979" customWidth="1"/>
    <col min="2818" max="2820" width="10.6640625" style="2979" customWidth="1"/>
    <col min="2821" max="2821" width="12.1640625" style="2979" customWidth="1"/>
    <col min="2822" max="2823" width="13.83203125" style="2979" customWidth="1"/>
    <col min="2824" max="3072" width="9" style="2979"/>
    <col min="3073" max="3073" width="13.83203125" style="2979" customWidth="1"/>
    <col min="3074" max="3076" width="10.6640625" style="2979" customWidth="1"/>
    <col min="3077" max="3077" width="12.1640625" style="2979" customWidth="1"/>
    <col min="3078" max="3079" width="13.83203125" style="2979" customWidth="1"/>
    <col min="3080" max="3328" width="9" style="2979"/>
    <col min="3329" max="3329" width="13.83203125" style="2979" customWidth="1"/>
    <col min="3330" max="3332" width="10.6640625" style="2979" customWidth="1"/>
    <col min="3333" max="3333" width="12.1640625" style="2979" customWidth="1"/>
    <col min="3334" max="3335" width="13.83203125" style="2979" customWidth="1"/>
    <col min="3336" max="3584" width="9" style="2979"/>
    <col min="3585" max="3585" width="13.83203125" style="2979" customWidth="1"/>
    <col min="3586" max="3588" width="10.6640625" style="2979" customWidth="1"/>
    <col min="3589" max="3589" width="12.1640625" style="2979" customWidth="1"/>
    <col min="3590" max="3591" width="13.83203125" style="2979" customWidth="1"/>
    <col min="3592" max="3840" width="9" style="2979"/>
    <col min="3841" max="3841" width="13.83203125" style="2979" customWidth="1"/>
    <col min="3842" max="3844" width="10.6640625" style="2979" customWidth="1"/>
    <col min="3845" max="3845" width="12.1640625" style="2979" customWidth="1"/>
    <col min="3846" max="3847" width="13.83203125" style="2979" customWidth="1"/>
    <col min="3848" max="4096" width="9" style="2979"/>
    <col min="4097" max="4097" width="13.83203125" style="2979" customWidth="1"/>
    <col min="4098" max="4100" width="10.6640625" style="2979" customWidth="1"/>
    <col min="4101" max="4101" width="12.1640625" style="2979" customWidth="1"/>
    <col min="4102" max="4103" width="13.83203125" style="2979" customWidth="1"/>
    <col min="4104" max="4352" width="9" style="2979"/>
    <col min="4353" max="4353" width="13.83203125" style="2979" customWidth="1"/>
    <col min="4354" max="4356" width="10.6640625" style="2979" customWidth="1"/>
    <col min="4357" max="4357" width="12.1640625" style="2979" customWidth="1"/>
    <col min="4358" max="4359" width="13.83203125" style="2979" customWidth="1"/>
    <col min="4360" max="4608" width="9" style="2979"/>
    <col min="4609" max="4609" width="13.83203125" style="2979" customWidth="1"/>
    <col min="4610" max="4612" width="10.6640625" style="2979" customWidth="1"/>
    <col min="4613" max="4613" width="12.1640625" style="2979" customWidth="1"/>
    <col min="4614" max="4615" width="13.83203125" style="2979" customWidth="1"/>
    <col min="4616" max="4864" width="9" style="2979"/>
    <col min="4865" max="4865" width="13.83203125" style="2979" customWidth="1"/>
    <col min="4866" max="4868" width="10.6640625" style="2979" customWidth="1"/>
    <col min="4869" max="4869" width="12.1640625" style="2979" customWidth="1"/>
    <col min="4870" max="4871" width="13.83203125" style="2979" customWidth="1"/>
    <col min="4872" max="5120" width="9" style="2979"/>
    <col min="5121" max="5121" width="13.83203125" style="2979" customWidth="1"/>
    <col min="5122" max="5124" width="10.6640625" style="2979" customWidth="1"/>
    <col min="5125" max="5125" width="12.1640625" style="2979" customWidth="1"/>
    <col min="5126" max="5127" width="13.83203125" style="2979" customWidth="1"/>
    <col min="5128" max="5376" width="9" style="2979"/>
    <col min="5377" max="5377" width="13.83203125" style="2979" customWidth="1"/>
    <col min="5378" max="5380" width="10.6640625" style="2979" customWidth="1"/>
    <col min="5381" max="5381" width="12.1640625" style="2979" customWidth="1"/>
    <col min="5382" max="5383" width="13.83203125" style="2979" customWidth="1"/>
    <col min="5384" max="5632" width="9" style="2979"/>
    <col min="5633" max="5633" width="13.83203125" style="2979" customWidth="1"/>
    <col min="5634" max="5636" width="10.6640625" style="2979" customWidth="1"/>
    <col min="5637" max="5637" width="12.1640625" style="2979" customWidth="1"/>
    <col min="5638" max="5639" width="13.83203125" style="2979" customWidth="1"/>
    <col min="5640" max="5888" width="9" style="2979"/>
    <col min="5889" max="5889" width="13.83203125" style="2979" customWidth="1"/>
    <col min="5890" max="5892" width="10.6640625" style="2979" customWidth="1"/>
    <col min="5893" max="5893" width="12.1640625" style="2979" customWidth="1"/>
    <col min="5894" max="5895" width="13.83203125" style="2979" customWidth="1"/>
    <col min="5896" max="6144" width="9" style="2979"/>
    <col min="6145" max="6145" width="13.83203125" style="2979" customWidth="1"/>
    <col min="6146" max="6148" width="10.6640625" style="2979" customWidth="1"/>
    <col min="6149" max="6149" width="12.1640625" style="2979" customWidth="1"/>
    <col min="6150" max="6151" width="13.83203125" style="2979" customWidth="1"/>
    <col min="6152" max="6400" width="9" style="2979"/>
    <col min="6401" max="6401" width="13.83203125" style="2979" customWidth="1"/>
    <col min="6402" max="6404" width="10.6640625" style="2979" customWidth="1"/>
    <col min="6405" max="6405" width="12.1640625" style="2979" customWidth="1"/>
    <col min="6406" max="6407" width="13.83203125" style="2979" customWidth="1"/>
    <col min="6408" max="6656" width="9" style="2979"/>
    <col min="6657" max="6657" width="13.83203125" style="2979" customWidth="1"/>
    <col min="6658" max="6660" width="10.6640625" style="2979" customWidth="1"/>
    <col min="6661" max="6661" width="12.1640625" style="2979" customWidth="1"/>
    <col min="6662" max="6663" width="13.83203125" style="2979" customWidth="1"/>
    <col min="6664" max="6912" width="9" style="2979"/>
    <col min="6913" max="6913" width="13.83203125" style="2979" customWidth="1"/>
    <col min="6914" max="6916" width="10.6640625" style="2979" customWidth="1"/>
    <col min="6917" max="6917" width="12.1640625" style="2979" customWidth="1"/>
    <col min="6918" max="6919" width="13.83203125" style="2979" customWidth="1"/>
    <col min="6920" max="7168" width="9" style="2979"/>
    <col min="7169" max="7169" width="13.83203125" style="2979" customWidth="1"/>
    <col min="7170" max="7172" width="10.6640625" style="2979" customWidth="1"/>
    <col min="7173" max="7173" width="12.1640625" style="2979" customWidth="1"/>
    <col min="7174" max="7175" width="13.83203125" style="2979" customWidth="1"/>
    <col min="7176" max="7424" width="9" style="2979"/>
    <col min="7425" max="7425" width="13.83203125" style="2979" customWidth="1"/>
    <col min="7426" max="7428" width="10.6640625" style="2979" customWidth="1"/>
    <col min="7429" max="7429" width="12.1640625" style="2979" customWidth="1"/>
    <col min="7430" max="7431" width="13.83203125" style="2979" customWidth="1"/>
    <col min="7432" max="7680" width="9" style="2979"/>
    <col min="7681" max="7681" width="13.83203125" style="2979" customWidth="1"/>
    <col min="7682" max="7684" width="10.6640625" style="2979" customWidth="1"/>
    <col min="7685" max="7685" width="12.1640625" style="2979" customWidth="1"/>
    <col min="7686" max="7687" width="13.83203125" style="2979" customWidth="1"/>
    <col min="7688" max="7936" width="9" style="2979"/>
    <col min="7937" max="7937" width="13.83203125" style="2979" customWidth="1"/>
    <col min="7938" max="7940" width="10.6640625" style="2979" customWidth="1"/>
    <col min="7941" max="7941" width="12.1640625" style="2979" customWidth="1"/>
    <col min="7942" max="7943" width="13.83203125" style="2979" customWidth="1"/>
    <col min="7944" max="8192" width="9" style="2979"/>
    <col min="8193" max="8193" width="13.83203125" style="2979" customWidth="1"/>
    <col min="8194" max="8196" width="10.6640625" style="2979" customWidth="1"/>
    <col min="8197" max="8197" width="12.1640625" style="2979" customWidth="1"/>
    <col min="8198" max="8199" width="13.83203125" style="2979" customWidth="1"/>
    <col min="8200" max="8448" width="9" style="2979"/>
    <col min="8449" max="8449" width="13.83203125" style="2979" customWidth="1"/>
    <col min="8450" max="8452" width="10.6640625" style="2979" customWidth="1"/>
    <col min="8453" max="8453" width="12.1640625" style="2979" customWidth="1"/>
    <col min="8454" max="8455" width="13.83203125" style="2979" customWidth="1"/>
    <col min="8456" max="8704" width="9" style="2979"/>
    <col min="8705" max="8705" width="13.83203125" style="2979" customWidth="1"/>
    <col min="8706" max="8708" width="10.6640625" style="2979" customWidth="1"/>
    <col min="8709" max="8709" width="12.1640625" style="2979" customWidth="1"/>
    <col min="8710" max="8711" width="13.83203125" style="2979" customWidth="1"/>
    <col min="8712" max="8960" width="9" style="2979"/>
    <col min="8961" max="8961" width="13.83203125" style="2979" customWidth="1"/>
    <col min="8962" max="8964" width="10.6640625" style="2979" customWidth="1"/>
    <col min="8965" max="8965" width="12.1640625" style="2979" customWidth="1"/>
    <col min="8966" max="8967" width="13.83203125" style="2979" customWidth="1"/>
    <col min="8968" max="9216" width="9" style="2979"/>
    <col min="9217" max="9217" width="13.83203125" style="2979" customWidth="1"/>
    <col min="9218" max="9220" width="10.6640625" style="2979" customWidth="1"/>
    <col min="9221" max="9221" width="12.1640625" style="2979" customWidth="1"/>
    <col min="9222" max="9223" width="13.83203125" style="2979" customWidth="1"/>
    <col min="9224" max="9472" width="9" style="2979"/>
    <col min="9473" max="9473" width="13.83203125" style="2979" customWidth="1"/>
    <col min="9474" max="9476" width="10.6640625" style="2979" customWidth="1"/>
    <col min="9477" max="9477" width="12.1640625" style="2979" customWidth="1"/>
    <col min="9478" max="9479" width="13.83203125" style="2979" customWidth="1"/>
    <col min="9480" max="9728" width="9" style="2979"/>
    <col min="9729" max="9729" width="13.83203125" style="2979" customWidth="1"/>
    <col min="9730" max="9732" width="10.6640625" style="2979" customWidth="1"/>
    <col min="9733" max="9733" width="12.1640625" style="2979" customWidth="1"/>
    <col min="9734" max="9735" width="13.83203125" style="2979" customWidth="1"/>
    <col min="9736" max="9984" width="9" style="2979"/>
    <col min="9985" max="9985" width="13.83203125" style="2979" customWidth="1"/>
    <col min="9986" max="9988" width="10.6640625" style="2979" customWidth="1"/>
    <col min="9989" max="9989" width="12.1640625" style="2979" customWidth="1"/>
    <col min="9990" max="9991" width="13.83203125" style="2979" customWidth="1"/>
    <col min="9992" max="10240" width="9" style="2979"/>
    <col min="10241" max="10241" width="13.83203125" style="2979" customWidth="1"/>
    <col min="10242" max="10244" width="10.6640625" style="2979" customWidth="1"/>
    <col min="10245" max="10245" width="12.1640625" style="2979" customWidth="1"/>
    <col min="10246" max="10247" width="13.83203125" style="2979" customWidth="1"/>
    <col min="10248" max="10496" width="9" style="2979"/>
    <col min="10497" max="10497" width="13.83203125" style="2979" customWidth="1"/>
    <col min="10498" max="10500" width="10.6640625" style="2979" customWidth="1"/>
    <col min="10501" max="10501" width="12.1640625" style="2979" customWidth="1"/>
    <col min="10502" max="10503" width="13.83203125" style="2979" customWidth="1"/>
    <col min="10504" max="10752" width="9" style="2979"/>
    <col min="10753" max="10753" width="13.83203125" style="2979" customWidth="1"/>
    <col min="10754" max="10756" width="10.6640625" style="2979" customWidth="1"/>
    <col min="10757" max="10757" width="12.1640625" style="2979" customWidth="1"/>
    <col min="10758" max="10759" width="13.83203125" style="2979" customWidth="1"/>
    <col min="10760" max="11008" width="9" style="2979"/>
    <col min="11009" max="11009" width="13.83203125" style="2979" customWidth="1"/>
    <col min="11010" max="11012" width="10.6640625" style="2979" customWidth="1"/>
    <col min="11013" max="11013" width="12.1640625" style="2979" customWidth="1"/>
    <col min="11014" max="11015" width="13.83203125" style="2979" customWidth="1"/>
    <col min="11016" max="11264" width="9" style="2979"/>
    <col min="11265" max="11265" width="13.83203125" style="2979" customWidth="1"/>
    <col min="11266" max="11268" width="10.6640625" style="2979" customWidth="1"/>
    <col min="11269" max="11269" width="12.1640625" style="2979" customWidth="1"/>
    <col min="11270" max="11271" width="13.83203125" style="2979" customWidth="1"/>
    <col min="11272" max="11520" width="9" style="2979"/>
    <col min="11521" max="11521" width="13.83203125" style="2979" customWidth="1"/>
    <col min="11522" max="11524" width="10.6640625" style="2979" customWidth="1"/>
    <col min="11525" max="11525" width="12.1640625" style="2979" customWidth="1"/>
    <col min="11526" max="11527" width="13.83203125" style="2979" customWidth="1"/>
    <col min="11528" max="11776" width="9" style="2979"/>
    <col min="11777" max="11777" width="13.83203125" style="2979" customWidth="1"/>
    <col min="11778" max="11780" width="10.6640625" style="2979" customWidth="1"/>
    <col min="11781" max="11781" width="12.1640625" style="2979" customWidth="1"/>
    <col min="11782" max="11783" width="13.83203125" style="2979" customWidth="1"/>
    <col min="11784" max="12032" width="9" style="2979"/>
    <col min="12033" max="12033" width="13.83203125" style="2979" customWidth="1"/>
    <col min="12034" max="12036" width="10.6640625" style="2979" customWidth="1"/>
    <col min="12037" max="12037" width="12.1640625" style="2979" customWidth="1"/>
    <col min="12038" max="12039" width="13.83203125" style="2979" customWidth="1"/>
    <col min="12040" max="12288" width="9" style="2979"/>
    <col min="12289" max="12289" width="13.83203125" style="2979" customWidth="1"/>
    <col min="12290" max="12292" width="10.6640625" style="2979" customWidth="1"/>
    <col min="12293" max="12293" width="12.1640625" style="2979" customWidth="1"/>
    <col min="12294" max="12295" width="13.83203125" style="2979" customWidth="1"/>
    <col min="12296" max="12544" width="9" style="2979"/>
    <col min="12545" max="12545" width="13.83203125" style="2979" customWidth="1"/>
    <col min="12546" max="12548" width="10.6640625" style="2979" customWidth="1"/>
    <col min="12549" max="12549" width="12.1640625" style="2979" customWidth="1"/>
    <col min="12550" max="12551" width="13.83203125" style="2979" customWidth="1"/>
    <col min="12552" max="12800" width="9" style="2979"/>
    <col min="12801" max="12801" width="13.83203125" style="2979" customWidth="1"/>
    <col min="12802" max="12804" width="10.6640625" style="2979" customWidth="1"/>
    <col min="12805" max="12805" width="12.1640625" style="2979" customWidth="1"/>
    <col min="12806" max="12807" width="13.83203125" style="2979" customWidth="1"/>
    <col min="12808" max="13056" width="9" style="2979"/>
    <col min="13057" max="13057" width="13.83203125" style="2979" customWidth="1"/>
    <col min="13058" max="13060" width="10.6640625" style="2979" customWidth="1"/>
    <col min="13061" max="13061" width="12.1640625" style="2979" customWidth="1"/>
    <col min="13062" max="13063" width="13.83203125" style="2979" customWidth="1"/>
    <col min="13064" max="13312" width="9" style="2979"/>
    <col min="13313" max="13313" width="13.83203125" style="2979" customWidth="1"/>
    <col min="13314" max="13316" width="10.6640625" style="2979" customWidth="1"/>
    <col min="13317" max="13317" width="12.1640625" style="2979" customWidth="1"/>
    <col min="13318" max="13319" width="13.83203125" style="2979" customWidth="1"/>
    <col min="13320" max="13568" width="9" style="2979"/>
    <col min="13569" max="13569" width="13.83203125" style="2979" customWidth="1"/>
    <col min="13570" max="13572" width="10.6640625" style="2979" customWidth="1"/>
    <col min="13573" max="13573" width="12.1640625" style="2979" customWidth="1"/>
    <col min="13574" max="13575" width="13.83203125" style="2979" customWidth="1"/>
    <col min="13576" max="13824" width="9" style="2979"/>
    <col min="13825" max="13825" width="13.83203125" style="2979" customWidth="1"/>
    <col min="13826" max="13828" width="10.6640625" style="2979" customWidth="1"/>
    <col min="13829" max="13829" width="12.1640625" style="2979" customWidth="1"/>
    <col min="13830" max="13831" width="13.83203125" style="2979" customWidth="1"/>
    <col min="13832" max="14080" width="9" style="2979"/>
    <col min="14081" max="14081" width="13.83203125" style="2979" customWidth="1"/>
    <col min="14082" max="14084" width="10.6640625" style="2979" customWidth="1"/>
    <col min="14085" max="14085" width="12.1640625" style="2979" customWidth="1"/>
    <col min="14086" max="14087" width="13.83203125" style="2979" customWidth="1"/>
    <col min="14088" max="14336" width="9" style="2979"/>
    <col min="14337" max="14337" width="13.83203125" style="2979" customWidth="1"/>
    <col min="14338" max="14340" width="10.6640625" style="2979" customWidth="1"/>
    <col min="14341" max="14341" width="12.1640625" style="2979" customWidth="1"/>
    <col min="14342" max="14343" width="13.83203125" style="2979" customWidth="1"/>
    <col min="14344" max="14592" width="9" style="2979"/>
    <col min="14593" max="14593" width="13.83203125" style="2979" customWidth="1"/>
    <col min="14594" max="14596" width="10.6640625" style="2979" customWidth="1"/>
    <col min="14597" max="14597" width="12.1640625" style="2979" customWidth="1"/>
    <col min="14598" max="14599" width="13.83203125" style="2979" customWidth="1"/>
    <col min="14600" max="14848" width="9" style="2979"/>
    <col min="14849" max="14849" width="13.83203125" style="2979" customWidth="1"/>
    <col min="14850" max="14852" width="10.6640625" style="2979" customWidth="1"/>
    <col min="14853" max="14853" width="12.1640625" style="2979" customWidth="1"/>
    <col min="14854" max="14855" width="13.83203125" style="2979" customWidth="1"/>
    <col min="14856" max="15104" width="9" style="2979"/>
    <col min="15105" max="15105" width="13.83203125" style="2979" customWidth="1"/>
    <col min="15106" max="15108" width="10.6640625" style="2979" customWidth="1"/>
    <col min="15109" max="15109" width="12.1640625" style="2979" customWidth="1"/>
    <col min="15110" max="15111" width="13.83203125" style="2979" customWidth="1"/>
    <col min="15112" max="15360" width="9" style="2979"/>
    <col min="15361" max="15361" width="13.83203125" style="2979" customWidth="1"/>
    <col min="15362" max="15364" width="10.6640625" style="2979" customWidth="1"/>
    <col min="15365" max="15365" width="12.1640625" style="2979" customWidth="1"/>
    <col min="15366" max="15367" width="13.83203125" style="2979" customWidth="1"/>
    <col min="15368" max="15616" width="9" style="2979"/>
    <col min="15617" max="15617" width="13.83203125" style="2979" customWidth="1"/>
    <col min="15618" max="15620" width="10.6640625" style="2979" customWidth="1"/>
    <col min="15621" max="15621" width="12.1640625" style="2979" customWidth="1"/>
    <col min="15622" max="15623" width="13.83203125" style="2979" customWidth="1"/>
    <col min="15624" max="15872" width="9" style="2979"/>
    <col min="15873" max="15873" width="13.83203125" style="2979" customWidth="1"/>
    <col min="15874" max="15876" width="10.6640625" style="2979" customWidth="1"/>
    <col min="15877" max="15877" width="12.1640625" style="2979" customWidth="1"/>
    <col min="15878" max="15879" width="13.83203125" style="2979" customWidth="1"/>
    <col min="15880" max="16128" width="9" style="2979"/>
    <col min="16129" max="16129" width="13.83203125" style="2979" customWidth="1"/>
    <col min="16130" max="16132" width="10.6640625" style="2979" customWidth="1"/>
    <col min="16133" max="16133" width="12.1640625" style="2979" customWidth="1"/>
    <col min="16134" max="16135" width="13.83203125" style="2979" customWidth="1"/>
    <col min="16136" max="16384" width="9" style="2979"/>
  </cols>
  <sheetData>
    <row r="1" spans="1:7">
      <c r="A1" s="2979" t="s">
        <v>3125</v>
      </c>
      <c r="B1" s="2979" t="s">
        <v>3126</v>
      </c>
      <c r="C1" s="2979" t="s">
        <v>3127</v>
      </c>
      <c r="D1" s="2979" t="s">
        <v>3128</v>
      </c>
      <c r="E1" s="2979" t="s">
        <v>3129</v>
      </c>
      <c r="F1" s="2979" t="s">
        <v>3130</v>
      </c>
      <c r="G1" s="2979" t="s">
        <v>3131</v>
      </c>
    </row>
    <row r="2" spans="1:7">
      <c r="A2" s="2979" t="s">
        <v>3132</v>
      </c>
      <c r="B2" s="2979">
        <v>11</v>
      </c>
      <c r="C2" s="2979">
        <v>1027</v>
      </c>
      <c r="D2" s="2979">
        <v>49741</v>
      </c>
      <c r="E2" s="2979">
        <v>5107.45</v>
      </c>
      <c r="F2" s="2979" t="s">
        <v>1326</v>
      </c>
      <c r="G2" s="2979" t="s">
        <v>1326</v>
      </c>
    </row>
    <row r="3" spans="1:7">
      <c r="A3" s="2979" t="s">
        <v>3133</v>
      </c>
      <c r="B3" s="2979">
        <v>7</v>
      </c>
      <c r="C3" s="2979">
        <v>676</v>
      </c>
      <c r="D3" s="2979">
        <v>51522</v>
      </c>
      <c r="E3" s="2979">
        <v>3482.55</v>
      </c>
      <c r="F3" s="2979" t="s">
        <v>1326</v>
      </c>
      <c r="G3" s="2979" t="s">
        <v>1326</v>
      </c>
    </row>
    <row r="4" spans="1:7">
      <c r="A4" s="2979" t="s">
        <v>3134</v>
      </c>
      <c r="B4" s="2979">
        <v>22</v>
      </c>
      <c r="C4" s="2979">
        <v>2125</v>
      </c>
      <c r="D4" s="2979">
        <v>51159</v>
      </c>
      <c r="E4" s="2979">
        <v>10868.76</v>
      </c>
      <c r="F4" s="2979" t="s">
        <v>1326</v>
      </c>
      <c r="G4" s="2979" t="s">
        <v>1326</v>
      </c>
    </row>
    <row r="5" spans="1:7">
      <c r="A5" s="2979" t="s">
        <v>3135</v>
      </c>
      <c r="B5" s="2979">
        <v>8</v>
      </c>
      <c r="C5" s="2979">
        <v>789</v>
      </c>
      <c r="D5" s="2979">
        <v>51555</v>
      </c>
      <c r="E5" s="2979">
        <v>4068.25</v>
      </c>
      <c r="F5" s="2979" t="s">
        <v>1326</v>
      </c>
      <c r="G5" s="2979" t="s">
        <v>1326</v>
      </c>
    </row>
    <row r="6" spans="1:7">
      <c r="A6" s="2979" t="s">
        <v>3136</v>
      </c>
      <c r="B6" s="2979">
        <v>7</v>
      </c>
      <c r="C6" s="2979">
        <v>642</v>
      </c>
      <c r="D6" s="2979">
        <v>50091</v>
      </c>
      <c r="E6" s="2979">
        <v>3217.3</v>
      </c>
      <c r="F6" s="2979" t="s">
        <v>1326</v>
      </c>
      <c r="G6" s="2979" t="s">
        <v>1326</v>
      </c>
    </row>
    <row r="7" spans="1:7">
      <c r="A7" s="2979" t="s">
        <v>3137</v>
      </c>
      <c r="B7" s="2979">
        <v>5</v>
      </c>
      <c r="C7" s="2979">
        <v>470</v>
      </c>
      <c r="D7" s="2979">
        <v>50869</v>
      </c>
      <c r="E7" s="2979">
        <v>2391.77</v>
      </c>
      <c r="F7" s="2979" t="s">
        <v>1326</v>
      </c>
      <c r="G7" s="2979" t="s">
        <v>1326</v>
      </c>
    </row>
    <row r="8" spans="1:7">
      <c r="A8" s="2979" t="s">
        <v>3138</v>
      </c>
      <c r="B8" s="2979">
        <v>8</v>
      </c>
      <c r="C8" s="2979">
        <v>718</v>
      </c>
      <c r="D8" s="2979">
        <v>48924</v>
      </c>
      <c r="E8" s="2979">
        <v>3510.82</v>
      </c>
      <c r="F8" s="2979" t="s">
        <v>1326</v>
      </c>
      <c r="G8" s="2979" t="s">
        <v>1326</v>
      </c>
    </row>
    <row r="9" spans="1:7">
      <c r="A9" s="2979" t="s">
        <v>3139</v>
      </c>
      <c r="B9" s="2979">
        <v>22</v>
      </c>
      <c r="C9" s="2979">
        <v>2014</v>
      </c>
      <c r="D9" s="2979">
        <v>50375</v>
      </c>
      <c r="E9" s="2979">
        <v>10146.92</v>
      </c>
      <c r="F9" s="2979" t="s">
        <v>1326</v>
      </c>
      <c r="G9" s="2979" t="s">
        <v>1326</v>
      </c>
    </row>
    <row r="10" spans="1:7">
      <c r="A10" s="2979" t="s">
        <v>3140</v>
      </c>
      <c r="B10" s="2979">
        <v>25</v>
      </c>
      <c r="C10" s="2979">
        <v>2329</v>
      </c>
      <c r="D10" s="2979">
        <v>50180</v>
      </c>
      <c r="E10" s="2979">
        <v>11687.85</v>
      </c>
      <c r="F10" s="2979" t="s">
        <v>1326</v>
      </c>
      <c r="G10" s="2979" t="s">
        <v>1326</v>
      </c>
    </row>
    <row r="11" spans="1:7">
      <c r="A11" s="2979" t="s">
        <v>3141</v>
      </c>
      <c r="B11" s="2979">
        <v>20</v>
      </c>
      <c r="C11" s="2979">
        <v>1892</v>
      </c>
      <c r="D11" s="2979">
        <v>50627</v>
      </c>
      <c r="E11" s="2979">
        <v>9578.56</v>
      </c>
      <c r="F11" s="2979" t="s">
        <v>1326</v>
      </c>
      <c r="G11" s="2979" t="s">
        <v>1326</v>
      </c>
    </row>
    <row r="12" spans="1:7">
      <c r="A12" s="2979" t="s">
        <v>3142</v>
      </c>
      <c r="B12" s="2979">
        <v>23</v>
      </c>
      <c r="C12" s="2979">
        <v>2180</v>
      </c>
      <c r="D12" s="2979">
        <v>51029</v>
      </c>
      <c r="E12" s="2979">
        <v>11126.03</v>
      </c>
      <c r="F12" s="2979" t="s">
        <v>1326</v>
      </c>
      <c r="G12" s="2979" t="s">
        <v>1326</v>
      </c>
    </row>
    <row r="13" spans="1:7">
      <c r="A13" s="2979" t="s">
        <v>3143</v>
      </c>
      <c r="B13" s="2979">
        <v>21</v>
      </c>
      <c r="C13" s="2979">
        <v>1894</v>
      </c>
      <c r="D13" s="2979">
        <v>50748</v>
      </c>
      <c r="E13" s="2979">
        <v>9612.1</v>
      </c>
      <c r="F13" s="2979" t="s">
        <v>1326</v>
      </c>
      <c r="G13" s="2979" t="s">
        <v>1326</v>
      </c>
    </row>
    <row r="14" spans="1:7">
      <c r="A14" s="2979" t="s">
        <v>3144</v>
      </c>
      <c r="B14" s="2979">
        <v>33</v>
      </c>
      <c r="C14" s="2979">
        <v>3004</v>
      </c>
      <c r="D14" s="2979">
        <v>50816</v>
      </c>
      <c r="E14" s="2979">
        <v>15267.58</v>
      </c>
      <c r="F14" s="2979" t="s">
        <v>1326</v>
      </c>
      <c r="G14" s="2979" t="s">
        <v>1326</v>
      </c>
    </row>
    <row r="15" spans="1:7">
      <c r="A15" s="2979" t="s">
        <v>3145</v>
      </c>
      <c r="B15" s="2979">
        <v>20</v>
      </c>
      <c r="C15" s="2979">
        <v>1785</v>
      </c>
      <c r="D15" s="2979">
        <v>52394</v>
      </c>
      <c r="E15" s="2979">
        <v>9351.14</v>
      </c>
      <c r="F15" s="2979" t="s">
        <v>1326</v>
      </c>
      <c r="G15" s="2979" t="s">
        <v>1326</v>
      </c>
    </row>
    <row r="16" spans="1:7">
      <c r="A16" s="2979" t="s">
        <v>3146</v>
      </c>
      <c r="B16" s="2979">
        <v>23</v>
      </c>
      <c r="C16" s="2979">
        <v>1909</v>
      </c>
      <c r="D16" s="2979">
        <v>53022</v>
      </c>
      <c r="E16" s="2979">
        <v>10124.15</v>
      </c>
      <c r="F16" s="2979" t="s">
        <v>1326</v>
      </c>
      <c r="G16" s="2979" t="s">
        <v>1326</v>
      </c>
    </row>
    <row r="17" spans="1:7">
      <c r="A17" s="2979" t="s">
        <v>3147</v>
      </c>
      <c r="B17" s="2979">
        <v>31</v>
      </c>
      <c r="C17" s="2979">
        <v>2378</v>
      </c>
      <c r="D17" s="2979">
        <v>53073</v>
      </c>
      <c r="E17" s="2979">
        <v>12622.59</v>
      </c>
      <c r="F17" s="2979" t="s">
        <v>1326</v>
      </c>
      <c r="G17" s="2979" t="s">
        <v>1326</v>
      </c>
    </row>
    <row r="18" spans="1:7">
      <c r="A18" s="2979" t="s">
        <v>3148</v>
      </c>
      <c r="B18" s="2979">
        <v>24</v>
      </c>
      <c r="C18" s="2979">
        <v>1610</v>
      </c>
      <c r="D18" s="2979">
        <v>53096</v>
      </c>
      <c r="E18" s="2979">
        <v>8551.02</v>
      </c>
      <c r="F18" s="2979" t="s">
        <v>1326</v>
      </c>
      <c r="G18" s="2979" t="s">
        <v>1326</v>
      </c>
    </row>
    <row r="19" spans="1:7">
      <c r="A19" s="2979" t="s">
        <v>3149</v>
      </c>
      <c r="B19" s="2979">
        <v>6</v>
      </c>
      <c r="C19" s="2979">
        <v>420</v>
      </c>
      <c r="D19" s="2979">
        <v>53563</v>
      </c>
      <c r="E19" s="2979">
        <v>2251.63</v>
      </c>
      <c r="F19" s="2979" t="s">
        <v>1326</v>
      </c>
      <c r="G19" s="2979" t="s">
        <v>1326</v>
      </c>
    </row>
    <row r="20" spans="1:7">
      <c r="A20" s="2979" t="s">
        <v>3150</v>
      </c>
      <c r="B20" s="2979">
        <v>316</v>
      </c>
      <c r="C20" s="2979">
        <v>27864</v>
      </c>
      <c r="D20" s="2979">
        <v>51308</v>
      </c>
      <c r="E20" s="2979">
        <v>142966.49</v>
      </c>
      <c r="F20" s="2979" t="s">
        <v>1326</v>
      </c>
      <c r="G20" s="2979" t="s">
        <v>1326</v>
      </c>
    </row>
    <row r="23" spans="1:7" ht="14">
      <c r="A23" s="2980" t="s">
        <v>3151</v>
      </c>
      <c r="B23" s="2979">
        <f>SUM(B9:B19)</f>
        <v>248</v>
      </c>
      <c r="C23" s="2979">
        <f>SUM(C9:C19)</f>
        <v>21415</v>
      </c>
      <c r="D23" s="2981">
        <f>ROUND(E23*10000/C23,0)</f>
        <v>51515</v>
      </c>
      <c r="E23" s="2979">
        <f>SUM(E9:E19)</f>
        <v>110319.56999999999</v>
      </c>
    </row>
  </sheetData>
  <phoneticPr fontId="144" type="noConversion"/>
  <pageMargins left="0.75" right="0.75" top="1" bottom="1" header="0.5" footer="0.5"/>
  <pageSetup orientation="portrait" horizontalDpi="300" verticalDpi="300"/>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outlinePr summaryBelow="0" summaryRight="0"/>
    <pageSetUpPr autoPageBreaks="0" fitToPage="1"/>
  </sheetPr>
  <dimension ref="A1:J15"/>
  <sheetViews>
    <sheetView workbookViewId="0"/>
  </sheetViews>
  <sheetFormatPr baseColWidth="10" defaultColWidth="9" defaultRowHeight="13"/>
  <cols>
    <col min="1" max="16384" width="9" style="2979"/>
  </cols>
  <sheetData>
    <row r="1" spans="1:10">
      <c r="A1" s="2979" t="s">
        <v>3125</v>
      </c>
      <c r="B1" s="2979" t="s">
        <v>3155</v>
      </c>
      <c r="C1" s="2979" t="s">
        <v>3156</v>
      </c>
      <c r="D1" s="2979" t="s">
        <v>3157</v>
      </c>
      <c r="E1" s="2979" t="s">
        <v>3158</v>
      </c>
      <c r="F1" s="2979" t="s">
        <v>3159</v>
      </c>
      <c r="G1" s="2979" t="s">
        <v>3160</v>
      </c>
      <c r="H1" s="2979" t="s">
        <v>3127</v>
      </c>
      <c r="I1" s="2979" t="s">
        <v>3129</v>
      </c>
      <c r="J1" s="2979" t="s">
        <v>3161</v>
      </c>
    </row>
    <row r="2" spans="1:10">
      <c r="A2" s="2979" t="s">
        <v>3162</v>
      </c>
      <c r="B2" s="2979" t="s">
        <v>3163</v>
      </c>
      <c r="C2" s="2979" t="s">
        <v>1326</v>
      </c>
      <c r="D2" s="2979" t="s">
        <v>3164</v>
      </c>
      <c r="E2" s="2979" t="s">
        <v>3165</v>
      </c>
      <c r="F2" s="2979" t="s">
        <v>3166</v>
      </c>
      <c r="G2" s="2979" t="s">
        <v>3167</v>
      </c>
      <c r="H2" s="2979" t="s">
        <v>3168</v>
      </c>
      <c r="I2" s="2979" t="s">
        <v>3169</v>
      </c>
      <c r="J2" s="2979" t="s">
        <v>3170</v>
      </c>
    </row>
    <row r="3" spans="1:10">
      <c r="A3" s="2979" t="s">
        <v>3162</v>
      </c>
      <c r="B3" s="2979" t="s">
        <v>3171</v>
      </c>
      <c r="C3" s="2979" t="s">
        <v>1326</v>
      </c>
      <c r="D3" s="2979" t="s">
        <v>3172</v>
      </c>
      <c r="E3" s="2979" t="s">
        <v>3165</v>
      </c>
      <c r="F3" s="2979" t="s">
        <v>3166</v>
      </c>
      <c r="G3" s="2979" t="s">
        <v>3167</v>
      </c>
      <c r="H3" s="2979" t="s">
        <v>3173</v>
      </c>
      <c r="I3" s="2979" t="s">
        <v>3174</v>
      </c>
      <c r="J3" s="2979" t="s">
        <v>3175</v>
      </c>
    </row>
    <row r="4" spans="1:10">
      <c r="A4" s="2979" t="s">
        <v>3176</v>
      </c>
      <c r="B4" s="2979" t="s">
        <v>3171</v>
      </c>
      <c r="C4" s="2979" t="s">
        <v>1326</v>
      </c>
      <c r="D4" s="2979" t="s">
        <v>3177</v>
      </c>
      <c r="E4" s="2979" t="s">
        <v>3165</v>
      </c>
      <c r="F4" s="2979" t="s">
        <v>3166</v>
      </c>
      <c r="G4" s="2979" t="s">
        <v>3167</v>
      </c>
      <c r="H4" s="2979" t="s">
        <v>3173</v>
      </c>
      <c r="I4" s="2979" t="s">
        <v>3178</v>
      </c>
      <c r="J4" s="2979" t="s">
        <v>3179</v>
      </c>
    </row>
    <row r="5" spans="1:10">
      <c r="A5" s="2979" t="s">
        <v>3180</v>
      </c>
      <c r="B5" s="2979" t="s">
        <v>3163</v>
      </c>
      <c r="C5" s="2979" t="s">
        <v>1326</v>
      </c>
      <c r="D5" s="2979" t="s">
        <v>3181</v>
      </c>
      <c r="E5" s="2979" t="s">
        <v>3165</v>
      </c>
      <c r="F5" s="2979" t="s">
        <v>3166</v>
      </c>
      <c r="G5" s="2979" t="s">
        <v>3182</v>
      </c>
      <c r="H5" s="2979" t="s">
        <v>3183</v>
      </c>
      <c r="I5" s="2979" t="s">
        <v>3184</v>
      </c>
      <c r="J5" s="2979" t="s">
        <v>3185</v>
      </c>
    </row>
    <row r="6" spans="1:10">
      <c r="A6" s="2979" t="s">
        <v>3180</v>
      </c>
      <c r="B6" s="2979" t="s">
        <v>3171</v>
      </c>
      <c r="C6" s="2979" t="s">
        <v>1326</v>
      </c>
      <c r="D6" s="2979" t="s">
        <v>3186</v>
      </c>
      <c r="E6" s="2979" t="s">
        <v>3165</v>
      </c>
      <c r="F6" s="2979" t="s">
        <v>3166</v>
      </c>
      <c r="G6" s="2979" t="s">
        <v>3167</v>
      </c>
      <c r="H6" s="2979" t="s">
        <v>3173</v>
      </c>
      <c r="I6" s="2979" t="s">
        <v>3178</v>
      </c>
      <c r="J6" s="2979" t="s">
        <v>3179</v>
      </c>
    </row>
    <row r="7" spans="1:10">
      <c r="A7" s="2979" t="s">
        <v>3187</v>
      </c>
      <c r="B7" s="2979" t="s">
        <v>3163</v>
      </c>
      <c r="C7" s="2979" t="s">
        <v>1326</v>
      </c>
      <c r="D7" s="2979" t="s">
        <v>3188</v>
      </c>
      <c r="E7" s="2979" t="s">
        <v>3165</v>
      </c>
      <c r="F7" s="2979" t="s">
        <v>3166</v>
      </c>
      <c r="G7" s="2979" t="s">
        <v>3182</v>
      </c>
      <c r="H7" s="2979" t="s">
        <v>3183</v>
      </c>
      <c r="I7" s="2979" t="s">
        <v>3189</v>
      </c>
      <c r="J7" s="2979" t="s">
        <v>3190</v>
      </c>
    </row>
    <row r="8" spans="1:10">
      <c r="A8" s="2979" t="s">
        <v>3191</v>
      </c>
      <c r="B8" s="2979" t="s">
        <v>3171</v>
      </c>
      <c r="C8" s="2979" t="s">
        <v>1326</v>
      </c>
      <c r="D8" s="2979" t="s">
        <v>3192</v>
      </c>
      <c r="E8" s="2979" t="s">
        <v>3165</v>
      </c>
      <c r="F8" s="2979" t="s">
        <v>3166</v>
      </c>
      <c r="G8" s="2979" t="s">
        <v>3167</v>
      </c>
      <c r="H8" s="2979" t="s">
        <v>3168</v>
      </c>
      <c r="I8" s="2979" t="s">
        <v>3193</v>
      </c>
      <c r="J8" s="2979" t="s">
        <v>3194</v>
      </c>
    </row>
    <row r="9" spans="1:10">
      <c r="A9" s="2979" t="s">
        <v>3191</v>
      </c>
      <c r="B9" s="2979" t="s">
        <v>3171</v>
      </c>
      <c r="C9" s="2979" t="s">
        <v>1326</v>
      </c>
      <c r="D9" s="2979" t="s">
        <v>3195</v>
      </c>
      <c r="E9" s="2979" t="s">
        <v>3165</v>
      </c>
      <c r="F9" s="2979" t="s">
        <v>3166</v>
      </c>
      <c r="G9" s="2979" t="s">
        <v>3167</v>
      </c>
      <c r="H9" s="2979" t="s">
        <v>3173</v>
      </c>
      <c r="I9" s="2979" t="s">
        <v>3196</v>
      </c>
      <c r="J9" s="2979" t="s">
        <v>3197</v>
      </c>
    </row>
    <row r="10" spans="1:10">
      <c r="A10" s="2979" t="s">
        <v>3198</v>
      </c>
      <c r="B10" s="2979" t="s">
        <v>3171</v>
      </c>
      <c r="C10" s="2979" t="s">
        <v>1326</v>
      </c>
      <c r="D10" s="2979" t="s">
        <v>3199</v>
      </c>
      <c r="E10" s="2979" t="s">
        <v>3165</v>
      </c>
      <c r="F10" s="2979" t="s">
        <v>3166</v>
      </c>
      <c r="G10" s="2979" t="s">
        <v>3167</v>
      </c>
      <c r="H10" s="2979" t="s">
        <v>3173</v>
      </c>
      <c r="I10" s="2979" t="s">
        <v>3200</v>
      </c>
      <c r="J10" s="2979" t="s">
        <v>3201</v>
      </c>
    </row>
    <row r="11" spans="1:10">
      <c r="A11" s="2979" t="s">
        <v>3198</v>
      </c>
      <c r="B11" s="2979" t="s">
        <v>3163</v>
      </c>
      <c r="C11" s="2979" t="s">
        <v>1326</v>
      </c>
      <c r="D11" s="2979" t="s">
        <v>3202</v>
      </c>
      <c r="E11" s="2979" t="s">
        <v>3165</v>
      </c>
      <c r="F11" s="2979" t="s">
        <v>3166</v>
      </c>
      <c r="G11" s="2979" t="s">
        <v>3182</v>
      </c>
      <c r="H11" s="2979" t="s">
        <v>3183</v>
      </c>
      <c r="I11" s="2979" t="s">
        <v>3203</v>
      </c>
      <c r="J11" s="2979" t="s">
        <v>3204</v>
      </c>
    </row>
    <row r="12" spans="1:10">
      <c r="A12" s="2979" t="s">
        <v>3205</v>
      </c>
      <c r="B12" s="2979" t="s">
        <v>3163</v>
      </c>
      <c r="C12" s="2979" t="s">
        <v>1326</v>
      </c>
      <c r="D12" s="2979" t="s">
        <v>3206</v>
      </c>
      <c r="E12" s="2979" t="s">
        <v>3165</v>
      </c>
      <c r="F12" s="2979" t="s">
        <v>3166</v>
      </c>
      <c r="G12" s="2979" t="s">
        <v>3182</v>
      </c>
      <c r="H12" s="2979" t="s">
        <v>3183</v>
      </c>
      <c r="I12" s="2979" t="s">
        <v>3207</v>
      </c>
      <c r="J12" s="2979" t="s">
        <v>3208</v>
      </c>
    </row>
    <row r="13" spans="1:10">
      <c r="A13" s="2979" t="s">
        <v>3209</v>
      </c>
      <c r="B13" s="2979" t="s">
        <v>3163</v>
      </c>
      <c r="C13" s="2979" t="s">
        <v>1326</v>
      </c>
      <c r="D13" s="2979" t="s">
        <v>3210</v>
      </c>
      <c r="E13" s="2979" t="s">
        <v>3165</v>
      </c>
      <c r="F13" s="2979" t="s">
        <v>3166</v>
      </c>
      <c r="G13" s="2979" t="s">
        <v>3182</v>
      </c>
      <c r="H13" s="2979" t="s">
        <v>3211</v>
      </c>
      <c r="I13" s="2979" t="s">
        <v>3212</v>
      </c>
      <c r="J13" s="2979" t="s">
        <v>3213</v>
      </c>
    </row>
    <row r="14" spans="1:10">
      <c r="A14" s="2979" t="s">
        <v>3214</v>
      </c>
      <c r="B14" s="2979" t="s">
        <v>3171</v>
      </c>
      <c r="C14" s="2979" t="s">
        <v>1326</v>
      </c>
      <c r="D14" s="2979" t="s">
        <v>3215</v>
      </c>
      <c r="E14" s="2979" t="s">
        <v>3165</v>
      </c>
      <c r="F14" s="2979" t="s">
        <v>3166</v>
      </c>
      <c r="G14" s="2979" t="s">
        <v>3167</v>
      </c>
      <c r="H14" s="2979" t="s">
        <v>3168</v>
      </c>
      <c r="I14" s="2979" t="s">
        <v>3216</v>
      </c>
      <c r="J14" s="2979" t="s">
        <v>3217</v>
      </c>
    </row>
    <row r="15" spans="1:10">
      <c r="A15" s="2979" t="s">
        <v>3214</v>
      </c>
      <c r="B15" s="2979" t="s">
        <v>3163</v>
      </c>
      <c r="C15" s="2979" t="s">
        <v>1326</v>
      </c>
      <c r="D15" s="2979" t="s">
        <v>3218</v>
      </c>
      <c r="E15" s="2979" t="s">
        <v>3165</v>
      </c>
      <c r="F15" s="2979" t="s">
        <v>3166</v>
      </c>
      <c r="G15" s="2979" t="s">
        <v>3182</v>
      </c>
      <c r="H15" s="2979" t="s">
        <v>3211</v>
      </c>
      <c r="I15" s="2979" t="s">
        <v>3219</v>
      </c>
      <c r="J15" s="2979" t="s">
        <v>3220</v>
      </c>
    </row>
  </sheetData>
  <phoneticPr fontId="144" type="noConversion"/>
  <pageMargins left="0.75" right="0.75" top="1" bottom="1" header="0.5" footer="0.5"/>
  <pageSetup orientation="portrait" horizontalDpi="300" verticalDpi="300"/>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outlinePr summaryBelow="0" summaryRight="0"/>
    <pageSetUpPr autoPageBreaks="0" fitToPage="1"/>
  </sheetPr>
  <dimension ref="A1:J249"/>
  <sheetViews>
    <sheetView workbookViewId="0">
      <selection activeCell="L100" sqref="L100"/>
    </sheetView>
  </sheetViews>
  <sheetFormatPr baseColWidth="10" defaultColWidth="9" defaultRowHeight="13"/>
  <cols>
    <col min="1" max="16384" width="9" style="2979"/>
  </cols>
  <sheetData>
    <row r="1" spans="1:10">
      <c r="A1" s="2979" t="s">
        <v>3125</v>
      </c>
      <c r="B1" s="2979" t="s">
        <v>3155</v>
      </c>
      <c r="C1" s="2979" t="s">
        <v>3156</v>
      </c>
      <c r="D1" s="2979" t="s">
        <v>3157</v>
      </c>
      <c r="E1" s="2979" t="s">
        <v>3158</v>
      </c>
      <c r="F1" s="2979" t="s">
        <v>3159</v>
      </c>
      <c r="G1" s="2979" t="s">
        <v>3160</v>
      </c>
      <c r="H1" s="2979" t="s">
        <v>3127</v>
      </c>
      <c r="I1" s="2979" t="s">
        <v>3129</v>
      </c>
      <c r="J1" s="2979" t="s">
        <v>3161</v>
      </c>
    </row>
    <row r="2" spans="1:10">
      <c r="A2" s="2979" t="s">
        <v>3221</v>
      </c>
      <c r="B2" s="2979" t="s">
        <v>3222</v>
      </c>
      <c r="C2" s="2979" t="s">
        <v>1326</v>
      </c>
      <c r="D2" s="2979" t="s">
        <v>3223</v>
      </c>
      <c r="E2" s="2979" t="s">
        <v>3224</v>
      </c>
      <c r="F2" s="2979" t="s">
        <v>3166</v>
      </c>
      <c r="G2" s="2979" t="s">
        <v>3182</v>
      </c>
      <c r="H2" s="2979" t="s">
        <v>3183</v>
      </c>
      <c r="I2" s="2979" t="s">
        <v>3225</v>
      </c>
      <c r="J2" s="2979" t="s">
        <v>3226</v>
      </c>
    </row>
    <row r="3" spans="1:10">
      <c r="A3" s="2979" t="s">
        <v>3221</v>
      </c>
      <c r="B3" s="2979" t="s">
        <v>3222</v>
      </c>
      <c r="C3" s="2979" t="s">
        <v>1326</v>
      </c>
      <c r="D3" s="2979" t="s">
        <v>3227</v>
      </c>
      <c r="E3" s="2979" t="s">
        <v>3224</v>
      </c>
      <c r="F3" s="2979" t="s">
        <v>3166</v>
      </c>
      <c r="G3" s="2979" t="s">
        <v>3182</v>
      </c>
      <c r="H3" s="2979" t="s">
        <v>3183</v>
      </c>
      <c r="I3" s="2979" t="s">
        <v>3228</v>
      </c>
      <c r="J3" s="2979" t="s">
        <v>3229</v>
      </c>
    </row>
    <row r="4" spans="1:10">
      <c r="A4" s="2979" t="s">
        <v>3221</v>
      </c>
      <c r="B4" s="2979" t="s">
        <v>3230</v>
      </c>
      <c r="C4" s="2979" t="s">
        <v>1326</v>
      </c>
      <c r="D4" s="2979" t="s">
        <v>3231</v>
      </c>
      <c r="E4" s="2979" t="s">
        <v>3224</v>
      </c>
      <c r="F4" s="2979" t="s">
        <v>3166</v>
      </c>
      <c r="G4" s="2979" t="s">
        <v>3182</v>
      </c>
      <c r="H4" s="2979" t="s">
        <v>3183</v>
      </c>
      <c r="I4" s="2979" t="s">
        <v>3232</v>
      </c>
      <c r="J4" s="2979" t="s">
        <v>3233</v>
      </c>
    </row>
    <row r="5" spans="1:10">
      <c r="A5" s="2979" t="s">
        <v>3234</v>
      </c>
      <c r="B5" s="2979" t="s">
        <v>3222</v>
      </c>
      <c r="C5" s="2979" t="s">
        <v>1326</v>
      </c>
      <c r="D5" s="2979" t="s">
        <v>3235</v>
      </c>
      <c r="E5" s="2979" t="s">
        <v>3224</v>
      </c>
      <c r="F5" s="2979" t="s">
        <v>3166</v>
      </c>
      <c r="G5" s="2979" t="s">
        <v>3182</v>
      </c>
      <c r="H5" s="2979" t="s">
        <v>3183</v>
      </c>
      <c r="I5" s="2979" t="s">
        <v>3225</v>
      </c>
      <c r="J5" s="2979" t="s">
        <v>3226</v>
      </c>
    </row>
    <row r="6" spans="1:10">
      <c r="A6" s="2979" t="s">
        <v>3234</v>
      </c>
      <c r="B6" s="2979" t="s">
        <v>3230</v>
      </c>
      <c r="C6" s="2979" t="s">
        <v>1326</v>
      </c>
      <c r="D6" s="2979" t="s">
        <v>3236</v>
      </c>
      <c r="E6" s="2979" t="s">
        <v>3224</v>
      </c>
      <c r="F6" s="2979" t="s">
        <v>3166</v>
      </c>
      <c r="G6" s="2979" t="s">
        <v>3182</v>
      </c>
      <c r="H6" s="2979" t="s">
        <v>3183</v>
      </c>
      <c r="I6" s="2979" t="s">
        <v>3237</v>
      </c>
      <c r="J6" s="2979" t="s">
        <v>3226</v>
      </c>
    </row>
    <row r="7" spans="1:10">
      <c r="A7" s="2979" t="s">
        <v>3234</v>
      </c>
      <c r="B7" s="2979" t="s">
        <v>3238</v>
      </c>
      <c r="C7" s="2979" t="s">
        <v>1326</v>
      </c>
      <c r="D7" s="2979" t="s">
        <v>3239</v>
      </c>
      <c r="E7" s="2979" t="s">
        <v>3224</v>
      </c>
      <c r="F7" s="2979" t="s">
        <v>3166</v>
      </c>
      <c r="G7" s="2979" t="s">
        <v>3182</v>
      </c>
      <c r="H7" s="2979" t="s">
        <v>3183</v>
      </c>
      <c r="I7" s="2979" t="s">
        <v>3240</v>
      </c>
      <c r="J7" s="2979" t="s">
        <v>3241</v>
      </c>
    </row>
    <row r="8" spans="1:10">
      <c r="A8" s="2979" t="s">
        <v>3242</v>
      </c>
      <c r="B8" s="2979" t="s">
        <v>3243</v>
      </c>
      <c r="C8" s="2979" t="s">
        <v>1326</v>
      </c>
      <c r="D8" s="2979" t="s">
        <v>3244</v>
      </c>
      <c r="E8" s="2979" t="s">
        <v>3224</v>
      </c>
      <c r="F8" s="2979" t="s">
        <v>3166</v>
      </c>
      <c r="G8" s="2979" t="s">
        <v>3182</v>
      </c>
      <c r="H8" s="2979" t="s">
        <v>3183</v>
      </c>
      <c r="I8" s="2979" t="s">
        <v>3245</v>
      </c>
      <c r="J8" s="2979" t="s">
        <v>3246</v>
      </c>
    </row>
    <row r="9" spans="1:10">
      <c r="A9" s="2979" t="s">
        <v>3247</v>
      </c>
      <c r="B9" s="2979" t="s">
        <v>3163</v>
      </c>
      <c r="C9" s="2979" t="s">
        <v>1326</v>
      </c>
      <c r="D9" s="2979" t="s">
        <v>3235</v>
      </c>
      <c r="E9" s="2979" t="s">
        <v>3224</v>
      </c>
      <c r="F9" s="2979" t="s">
        <v>3166</v>
      </c>
      <c r="G9" s="2979" t="s">
        <v>3182</v>
      </c>
      <c r="H9" s="2979" t="s">
        <v>3248</v>
      </c>
      <c r="I9" s="2979" t="s">
        <v>3249</v>
      </c>
      <c r="J9" s="2979" t="s">
        <v>3250</v>
      </c>
    </row>
    <row r="10" spans="1:10">
      <c r="A10" s="2979" t="s">
        <v>3251</v>
      </c>
      <c r="B10" s="2979" t="s">
        <v>3252</v>
      </c>
      <c r="C10" s="2979" t="s">
        <v>1326</v>
      </c>
      <c r="D10" s="2979" t="s">
        <v>3253</v>
      </c>
      <c r="E10" s="2979" t="s">
        <v>3224</v>
      </c>
      <c r="F10" s="2979" t="s">
        <v>3166</v>
      </c>
      <c r="G10" s="2979" t="s">
        <v>3182</v>
      </c>
      <c r="H10" s="2979" t="s">
        <v>3254</v>
      </c>
      <c r="I10" s="2979" t="s">
        <v>3255</v>
      </c>
      <c r="J10" s="2979" t="s">
        <v>3256</v>
      </c>
    </row>
    <row r="11" spans="1:10">
      <c r="A11" s="2979" t="s">
        <v>3257</v>
      </c>
      <c r="B11" s="2979" t="s">
        <v>3238</v>
      </c>
      <c r="C11" s="2979" t="s">
        <v>1326</v>
      </c>
      <c r="D11" s="2979" t="s">
        <v>3235</v>
      </c>
      <c r="E11" s="2979" t="s">
        <v>3224</v>
      </c>
      <c r="F11" s="2979" t="s">
        <v>3166</v>
      </c>
      <c r="G11" s="2979" t="s">
        <v>3182</v>
      </c>
      <c r="H11" s="2979" t="s">
        <v>3183</v>
      </c>
      <c r="I11" s="2979" t="s">
        <v>3258</v>
      </c>
      <c r="J11" s="2979" t="s">
        <v>3259</v>
      </c>
    </row>
    <row r="12" spans="1:10">
      <c r="A12" s="2979" t="s">
        <v>3162</v>
      </c>
      <c r="B12" s="2979" t="s">
        <v>3260</v>
      </c>
      <c r="C12" s="2979" t="s">
        <v>1326</v>
      </c>
      <c r="D12" s="2979" t="s">
        <v>3223</v>
      </c>
      <c r="E12" s="2979" t="s">
        <v>3224</v>
      </c>
      <c r="F12" s="2979" t="s">
        <v>3166</v>
      </c>
      <c r="G12" s="2979" t="s">
        <v>3182</v>
      </c>
      <c r="H12" s="2979" t="s">
        <v>3183</v>
      </c>
      <c r="I12" s="2979" t="s">
        <v>3261</v>
      </c>
      <c r="J12" s="2979" t="s">
        <v>3262</v>
      </c>
    </row>
    <row r="13" spans="1:10">
      <c r="A13" s="2979" t="s">
        <v>3162</v>
      </c>
      <c r="B13" s="2979" t="s">
        <v>3243</v>
      </c>
      <c r="C13" s="2979" t="s">
        <v>1326</v>
      </c>
      <c r="D13" s="2979" t="s">
        <v>3263</v>
      </c>
      <c r="E13" s="2979" t="s">
        <v>3224</v>
      </c>
      <c r="F13" s="2979" t="s">
        <v>3166</v>
      </c>
      <c r="G13" s="2979" t="s">
        <v>3167</v>
      </c>
      <c r="H13" s="2979" t="s">
        <v>3254</v>
      </c>
      <c r="I13" s="2979" t="s">
        <v>3255</v>
      </c>
      <c r="J13" s="2979" t="s">
        <v>3264</v>
      </c>
    </row>
    <row r="14" spans="1:10">
      <c r="A14" s="2979" t="s">
        <v>3265</v>
      </c>
      <c r="B14" s="2979" t="s">
        <v>3171</v>
      </c>
      <c r="C14" s="2979" t="s">
        <v>1326</v>
      </c>
      <c r="D14" s="2979" t="s">
        <v>3266</v>
      </c>
      <c r="E14" s="2979" t="s">
        <v>3224</v>
      </c>
      <c r="F14" s="2979" t="s">
        <v>3166</v>
      </c>
      <c r="G14" s="2979" t="s">
        <v>3182</v>
      </c>
      <c r="H14" s="2979" t="s">
        <v>3267</v>
      </c>
      <c r="I14" s="2979" t="s">
        <v>3268</v>
      </c>
      <c r="J14" s="2979" t="s">
        <v>3269</v>
      </c>
    </row>
    <row r="15" spans="1:10">
      <c r="A15" s="2979" t="s">
        <v>3270</v>
      </c>
      <c r="B15" s="2979" t="s">
        <v>3230</v>
      </c>
      <c r="C15" s="2979" t="s">
        <v>1326</v>
      </c>
      <c r="D15" s="2979" t="s">
        <v>3271</v>
      </c>
      <c r="E15" s="2979" t="s">
        <v>3224</v>
      </c>
      <c r="F15" s="2979" t="s">
        <v>3166</v>
      </c>
      <c r="G15" s="2979" t="s">
        <v>3182</v>
      </c>
      <c r="H15" s="2979" t="s">
        <v>3183</v>
      </c>
      <c r="I15" s="2979" t="s">
        <v>3272</v>
      </c>
      <c r="J15" s="2979" t="s">
        <v>3229</v>
      </c>
    </row>
    <row r="16" spans="1:10">
      <c r="A16" s="2979" t="s">
        <v>3198</v>
      </c>
      <c r="B16" s="2979" t="s">
        <v>3171</v>
      </c>
      <c r="C16" s="2979" t="s">
        <v>1326</v>
      </c>
      <c r="D16" s="2979" t="s">
        <v>3273</v>
      </c>
      <c r="E16" s="2979" t="s">
        <v>3224</v>
      </c>
      <c r="F16" s="2979" t="s">
        <v>3166</v>
      </c>
      <c r="G16" s="2979" t="s">
        <v>3182</v>
      </c>
      <c r="H16" s="2979" t="s">
        <v>3183</v>
      </c>
      <c r="I16" s="2979" t="s">
        <v>3274</v>
      </c>
      <c r="J16" s="2979" t="s">
        <v>3275</v>
      </c>
    </row>
    <row r="17" spans="1:10">
      <c r="A17" s="2979" t="s">
        <v>3276</v>
      </c>
      <c r="B17" s="2979" t="s">
        <v>3252</v>
      </c>
      <c r="C17" s="2979" t="s">
        <v>1326</v>
      </c>
      <c r="D17" s="2979" t="s">
        <v>3277</v>
      </c>
      <c r="E17" s="2979" t="s">
        <v>3224</v>
      </c>
      <c r="F17" s="2979" t="s">
        <v>3166</v>
      </c>
      <c r="G17" s="2979" t="s">
        <v>3278</v>
      </c>
      <c r="H17" s="2979" t="s">
        <v>3279</v>
      </c>
      <c r="I17" s="2979" t="s">
        <v>3280</v>
      </c>
      <c r="J17" s="2979" t="s">
        <v>3281</v>
      </c>
    </row>
    <row r="18" spans="1:10">
      <c r="A18" s="2979" t="s">
        <v>3276</v>
      </c>
      <c r="B18" s="2979" t="s">
        <v>3222</v>
      </c>
      <c r="C18" s="2979" t="s">
        <v>1326</v>
      </c>
      <c r="D18" s="2979" t="s">
        <v>3282</v>
      </c>
      <c r="E18" s="2979" t="s">
        <v>3224</v>
      </c>
      <c r="F18" s="2979" t="s">
        <v>3166</v>
      </c>
      <c r="G18" s="2979" t="s">
        <v>3182</v>
      </c>
      <c r="H18" s="2979" t="s">
        <v>3183</v>
      </c>
      <c r="I18" s="2979" t="s">
        <v>3283</v>
      </c>
      <c r="J18" s="2979" t="s">
        <v>3284</v>
      </c>
    </row>
    <row r="19" spans="1:10">
      <c r="A19" s="2979" t="s">
        <v>3276</v>
      </c>
      <c r="B19" s="2979" t="s">
        <v>3238</v>
      </c>
      <c r="C19" s="2979" t="s">
        <v>1326</v>
      </c>
      <c r="D19" s="2979" t="s">
        <v>3285</v>
      </c>
      <c r="E19" s="2979" t="s">
        <v>3224</v>
      </c>
      <c r="F19" s="2979" t="s">
        <v>3166</v>
      </c>
      <c r="G19" s="2979" t="s">
        <v>3182</v>
      </c>
      <c r="H19" s="2979" t="s">
        <v>3183</v>
      </c>
      <c r="I19" s="2979" t="s">
        <v>3286</v>
      </c>
      <c r="J19" s="2979" t="s">
        <v>3287</v>
      </c>
    </row>
    <row r="20" spans="1:10">
      <c r="A20" s="2979" t="s">
        <v>3288</v>
      </c>
      <c r="B20" s="2979" t="s">
        <v>3163</v>
      </c>
      <c r="C20" s="2979" t="s">
        <v>1326</v>
      </c>
      <c r="D20" s="2979" t="s">
        <v>3289</v>
      </c>
      <c r="E20" s="2979" t="s">
        <v>3224</v>
      </c>
      <c r="F20" s="2979" t="s">
        <v>3166</v>
      </c>
      <c r="G20" s="2979" t="s">
        <v>3182</v>
      </c>
      <c r="H20" s="2979" t="s">
        <v>3248</v>
      </c>
      <c r="I20" s="2979" t="s">
        <v>3290</v>
      </c>
      <c r="J20" s="2979" t="s">
        <v>3291</v>
      </c>
    </row>
    <row r="21" spans="1:10">
      <c r="A21" s="2979" t="s">
        <v>3205</v>
      </c>
      <c r="B21" s="2979" t="s">
        <v>3222</v>
      </c>
      <c r="C21" s="2979" t="s">
        <v>1326</v>
      </c>
      <c r="D21" s="2979" t="s">
        <v>3292</v>
      </c>
      <c r="E21" s="2979" t="s">
        <v>3224</v>
      </c>
      <c r="F21" s="2979" t="s">
        <v>3166</v>
      </c>
      <c r="G21" s="2979" t="s">
        <v>3182</v>
      </c>
      <c r="H21" s="2979" t="s">
        <v>3183</v>
      </c>
      <c r="I21" s="2979" t="s">
        <v>3293</v>
      </c>
      <c r="J21" s="2979" t="s">
        <v>3294</v>
      </c>
    </row>
    <row r="22" spans="1:10">
      <c r="A22" s="2979" t="s">
        <v>3205</v>
      </c>
      <c r="B22" s="2979" t="s">
        <v>3238</v>
      </c>
      <c r="C22" s="2979" t="s">
        <v>1326</v>
      </c>
      <c r="D22" s="2979" t="s">
        <v>3271</v>
      </c>
      <c r="E22" s="2979" t="s">
        <v>3224</v>
      </c>
      <c r="F22" s="2979" t="s">
        <v>3166</v>
      </c>
      <c r="G22" s="2979" t="s">
        <v>3295</v>
      </c>
      <c r="H22" s="2979" t="s">
        <v>3296</v>
      </c>
      <c r="I22" s="2979" t="s">
        <v>3297</v>
      </c>
      <c r="J22" s="2979" t="s">
        <v>3298</v>
      </c>
    </row>
    <row r="23" spans="1:10">
      <c r="A23" s="2979" t="s">
        <v>3205</v>
      </c>
      <c r="B23" s="2979" t="s">
        <v>3243</v>
      </c>
      <c r="C23" s="2979" t="s">
        <v>1326</v>
      </c>
      <c r="D23" s="2979" t="s">
        <v>3223</v>
      </c>
      <c r="E23" s="2979" t="s">
        <v>3224</v>
      </c>
      <c r="F23" s="2979" t="s">
        <v>3166</v>
      </c>
      <c r="G23" s="2979" t="s">
        <v>3182</v>
      </c>
      <c r="H23" s="2979" t="s">
        <v>3183</v>
      </c>
      <c r="I23" s="2979" t="s">
        <v>3299</v>
      </c>
      <c r="J23" s="2979" t="s">
        <v>3226</v>
      </c>
    </row>
    <row r="24" spans="1:10">
      <c r="A24" s="2979" t="s">
        <v>3214</v>
      </c>
      <c r="B24" s="2979" t="s">
        <v>3243</v>
      </c>
      <c r="C24" s="2979" t="s">
        <v>1326</v>
      </c>
      <c r="D24" s="2979" t="s">
        <v>3300</v>
      </c>
      <c r="E24" s="2979" t="s">
        <v>3224</v>
      </c>
      <c r="F24" s="2979" t="s">
        <v>3166</v>
      </c>
      <c r="G24" s="2979" t="s">
        <v>3182</v>
      </c>
      <c r="H24" s="2979" t="s">
        <v>3183</v>
      </c>
      <c r="I24" s="2979" t="s">
        <v>3301</v>
      </c>
      <c r="J24" s="2979" t="s">
        <v>3233</v>
      </c>
    </row>
    <row r="25" spans="1:10">
      <c r="A25" s="2979" t="s">
        <v>3302</v>
      </c>
      <c r="B25" s="2979" t="s">
        <v>3252</v>
      </c>
      <c r="C25" s="2979" t="s">
        <v>1326</v>
      </c>
      <c r="D25" s="2979" t="s">
        <v>3303</v>
      </c>
      <c r="E25" s="2979" t="s">
        <v>3224</v>
      </c>
      <c r="F25" s="2979" t="s">
        <v>3166</v>
      </c>
      <c r="G25" s="2979" t="s">
        <v>3167</v>
      </c>
      <c r="H25" s="2979" t="s">
        <v>3304</v>
      </c>
      <c r="I25" s="2979" t="s">
        <v>3305</v>
      </c>
      <c r="J25" s="2979" t="s">
        <v>3306</v>
      </c>
    </row>
    <row r="26" spans="1:10">
      <c r="A26" s="2979" t="s">
        <v>3302</v>
      </c>
      <c r="B26" s="2979" t="s">
        <v>3171</v>
      </c>
      <c r="C26" s="2979" t="s">
        <v>1326</v>
      </c>
      <c r="D26" s="2979" t="s">
        <v>3292</v>
      </c>
      <c r="E26" s="2979" t="s">
        <v>3224</v>
      </c>
      <c r="F26" s="2979" t="s">
        <v>3166</v>
      </c>
      <c r="G26" s="2979" t="s">
        <v>3182</v>
      </c>
      <c r="H26" s="2979" t="s">
        <v>3183</v>
      </c>
      <c r="I26" s="2979" t="s">
        <v>3307</v>
      </c>
      <c r="J26" s="2979" t="s">
        <v>3308</v>
      </c>
    </row>
    <row r="27" spans="1:10">
      <c r="A27" s="2979" t="s">
        <v>3302</v>
      </c>
      <c r="B27" s="2979" t="s">
        <v>3222</v>
      </c>
      <c r="C27" s="2979" t="s">
        <v>1326</v>
      </c>
      <c r="D27" s="2979" t="s">
        <v>3309</v>
      </c>
      <c r="E27" s="2979" t="s">
        <v>3224</v>
      </c>
      <c r="F27" s="2979" t="s">
        <v>3166</v>
      </c>
      <c r="G27" s="2979" t="s">
        <v>3182</v>
      </c>
      <c r="H27" s="2979" t="s">
        <v>3183</v>
      </c>
      <c r="I27" s="2979" t="s">
        <v>3310</v>
      </c>
      <c r="J27" s="2979" t="s">
        <v>3284</v>
      </c>
    </row>
    <row r="28" spans="1:10">
      <c r="A28" s="2979" t="s">
        <v>3311</v>
      </c>
      <c r="B28" s="2979" t="s">
        <v>3163</v>
      </c>
      <c r="C28" s="2979" t="s">
        <v>1326</v>
      </c>
      <c r="D28" s="2979" t="s">
        <v>3312</v>
      </c>
      <c r="E28" s="2979" t="s">
        <v>3224</v>
      </c>
      <c r="F28" s="2979" t="s">
        <v>3166</v>
      </c>
      <c r="G28" s="2979" t="s">
        <v>3182</v>
      </c>
      <c r="H28" s="2979" t="s">
        <v>3248</v>
      </c>
      <c r="I28" s="2979" t="s">
        <v>3313</v>
      </c>
      <c r="J28" s="2979" t="s">
        <v>3314</v>
      </c>
    </row>
    <row r="29" spans="1:10">
      <c r="A29" s="2979" t="s">
        <v>3311</v>
      </c>
      <c r="B29" s="2979" t="s">
        <v>3252</v>
      </c>
      <c r="C29" s="2979" t="s">
        <v>1326</v>
      </c>
      <c r="D29" s="2979" t="s">
        <v>3315</v>
      </c>
      <c r="E29" s="2979" t="s">
        <v>3224</v>
      </c>
      <c r="F29" s="2979" t="s">
        <v>3166</v>
      </c>
      <c r="G29" s="2979" t="s">
        <v>3167</v>
      </c>
      <c r="H29" s="2979" t="s">
        <v>3304</v>
      </c>
      <c r="I29" s="2979" t="s">
        <v>3305</v>
      </c>
      <c r="J29" s="2979" t="s">
        <v>3306</v>
      </c>
    </row>
    <row r="30" spans="1:10">
      <c r="A30" s="2979" t="s">
        <v>3316</v>
      </c>
      <c r="B30" s="2979" t="s">
        <v>3260</v>
      </c>
      <c r="C30" s="2979" t="s">
        <v>1326</v>
      </c>
      <c r="D30" s="2979" t="s">
        <v>3271</v>
      </c>
      <c r="E30" s="2979" t="s">
        <v>3224</v>
      </c>
      <c r="F30" s="2979" t="s">
        <v>3166</v>
      </c>
      <c r="G30" s="2979" t="s">
        <v>3295</v>
      </c>
      <c r="H30" s="2979" t="s">
        <v>3296</v>
      </c>
      <c r="I30" s="2979" t="s">
        <v>3317</v>
      </c>
      <c r="J30" s="2979" t="s">
        <v>3318</v>
      </c>
    </row>
    <row r="31" spans="1:10">
      <c r="A31" s="2979" t="s">
        <v>3316</v>
      </c>
      <c r="B31" s="2979" t="s">
        <v>3222</v>
      </c>
      <c r="C31" s="2979" t="s">
        <v>1326</v>
      </c>
      <c r="D31" s="2979" t="s">
        <v>3319</v>
      </c>
      <c r="E31" s="2979" t="s">
        <v>3224</v>
      </c>
      <c r="F31" s="2979" t="s">
        <v>3166</v>
      </c>
      <c r="G31" s="2979" t="s">
        <v>3182</v>
      </c>
      <c r="H31" s="2979" t="s">
        <v>3183</v>
      </c>
      <c r="I31" s="2979" t="s">
        <v>3320</v>
      </c>
      <c r="J31" s="2979" t="s">
        <v>3321</v>
      </c>
    </row>
    <row r="32" spans="1:10">
      <c r="A32" s="2979" t="s">
        <v>3322</v>
      </c>
      <c r="B32" s="2979" t="s">
        <v>3171</v>
      </c>
      <c r="C32" s="2979" t="s">
        <v>1326</v>
      </c>
      <c r="D32" s="2979" t="s">
        <v>3253</v>
      </c>
      <c r="E32" s="2979" t="s">
        <v>3224</v>
      </c>
      <c r="F32" s="2979" t="s">
        <v>3166</v>
      </c>
      <c r="G32" s="2979" t="s">
        <v>3182</v>
      </c>
      <c r="H32" s="2979" t="s">
        <v>3267</v>
      </c>
      <c r="I32" s="2979" t="s">
        <v>3268</v>
      </c>
      <c r="J32" s="2979" t="s">
        <v>3269</v>
      </c>
    </row>
    <row r="33" spans="1:10">
      <c r="A33" s="2979" t="s">
        <v>3322</v>
      </c>
      <c r="B33" s="2979" t="s">
        <v>3230</v>
      </c>
      <c r="C33" s="2979" t="s">
        <v>1326</v>
      </c>
      <c r="D33" s="2979" t="s">
        <v>3323</v>
      </c>
      <c r="E33" s="2979" t="s">
        <v>3224</v>
      </c>
      <c r="F33" s="2979" t="s">
        <v>3166</v>
      </c>
      <c r="G33" s="2979" t="s">
        <v>3182</v>
      </c>
      <c r="H33" s="2979" t="s">
        <v>3211</v>
      </c>
      <c r="I33" s="2979" t="s">
        <v>3324</v>
      </c>
      <c r="J33" s="2979" t="s">
        <v>3325</v>
      </c>
    </row>
    <row r="34" spans="1:10">
      <c r="A34" s="2979" t="s">
        <v>3326</v>
      </c>
      <c r="B34" s="2979" t="s">
        <v>3171</v>
      </c>
      <c r="C34" s="2979" t="s">
        <v>1326</v>
      </c>
      <c r="D34" s="2979" t="s">
        <v>3327</v>
      </c>
      <c r="E34" s="2979" t="s">
        <v>3224</v>
      </c>
      <c r="F34" s="2979" t="s">
        <v>3166</v>
      </c>
      <c r="G34" s="2979" t="s">
        <v>3182</v>
      </c>
      <c r="H34" s="2979" t="s">
        <v>3183</v>
      </c>
      <c r="I34" s="2979" t="s">
        <v>3328</v>
      </c>
      <c r="J34" s="2979" t="s">
        <v>3329</v>
      </c>
    </row>
    <row r="35" spans="1:10">
      <c r="A35" s="2979" t="s">
        <v>3330</v>
      </c>
      <c r="B35" s="2979" t="s">
        <v>3252</v>
      </c>
      <c r="C35" s="2979" t="s">
        <v>1326</v>
      </c>
      <c r="D35" s="2979" t="s">
        <v>3236</v>
      </c>
      <c r="E35" s="2979" t="s">
        <v>3224</v>
      </c>
      <c r="F35" s="2979" t="s">
        <v>3166</v>
      </c>
      <c r="G35" s="2979" t="s">
        <v>3182</v>
      </c>
      <c r="H35" s="2979" t="s">
        <v>3254</v>
      </c>
      <c r="I35" s="2979" t="s">
        <v>3255</v>
      </c>
      <c r="J35" s="2979" t="s">
        <v>3256</v>
      </c>
    </row>
    <row r="36" spans="1:10">
      <c r="A36" s="2979" t="s">
        <v>3330</v>
      </c>
      <c r="B36" s="2979" t="s">
        <v>3238</v>
      </c>
      <c r="C36" s="2979" t="s">
        <v>1326</v>
      </c>
      <c r="D36" s="2979" t="s">
        <v>3331</v>
      </c>
      <c r="E36" s="2979" t="s">
        <v>3224</v>
      </c>
      <c r="F36" s="2979" t="s">
        <v>3166</v>
      </c>
      <c r="G36" s="2979" t="s">
        <v>3295</v>
      </c>
      <c r="H36" s="2979" t="s">
        <v>3296</v>
      </c>
      <c r="I36" s="2979" t="s">
        <v>3332</v>
      </c>
      <c r="J36" s="2979" t="s">
        <v>3333</v>
      </c>
    </row>
    <row r="37" spans="1:10">
      <c r="A37" s="2979" t="s">
        <v>3334</v>
      </c>
      <c r="B37" s="2979" t="s">
        <v>3230</v>
      </c>
      <c r="C37" s="2979" t="s">
        <v>1326</v>
      </c>
      <c r="D37" s="2979" t="s">
        <v>3289</v>
      </c>
      <c r="E37" s="2979" t="s">
        <v>3224</v>
      </c>
      <c r="F37" s="2979" t="s">
        <v>3166</v>
      </c>
      <c r="G37" s="2979" t="s">
        <v>3182</v>
      </c>
      <c r="H37" s="2979" t="s">
        <v>3183</v>
      </c>
      <c r="I37" s="2979" t="s">
        <v>3335</v>
      </c>
      <c r="J37" s="2979" t="s">
        <v>3294</v>
      </c>
    </row>
    <row r="38" spans="1:10">
      <c r="A38" s="2979" t="s">
        <v>3336</v>
      </c>
      <c r="B38" s="2979" t="s">
        <v>3230</v>
      </c>
      <c r="C38" s="2979" t="s">
        <v>1326</v>
      </c>
      <c r="D38" s="2979" t="s">
        <v>3337</v>
      </c>
      <c r="E38" s="2979" t="s">
        <v>3224</v>
      </c>
      <c r="F38" s="2979" t="s">
        <v>3166</v>
      </c>
      <c r="G38" s="2979" t="s">
        <v>3182</v>
      </c>
      <c r="H38" s="2979" t="s">
        <v>3183</v>
      </c>
      <c r="I38" s="2979" t="s">
        <v>3338</v>
      </c>
      <c r="J38" s="2979" t="s">
        <v>3325</v>
      </c>
    </row>
    <row r="39" spans="1:10">
      <c r="A39" s="2979" t="s">
        <v>3336</v>
      </c>
      <c r="B39" s="2979" t="s">
        <v>3252</v>
      </c>
      <c r="C39" s="2979" t="s">
        <v>1326</v>
      </c>
      <c r="D39" s="2979" t="s">
        <v>3339</v>
      </c>
      <c r="E39" s="2979" t="s">
        <v>3224</v>
      </c>
      <c r="F39" s="2979" t="s">
        <v>3166</v>
      </c>
      <c r="G39" s="2979" t="s">
        <v>3182</v>
      </c>
      <c r="H39" s="2979" t="s">
        <v>3254</v>
      </c>
      <c r="I39" s="2979" t="s">
        <v>3255</v>
      </c>
      <c r="J39" s="2979" t="s">
        <v>3256</v>
      </c>
    </row>
    <row r="40" spans="1:10">
      <c r="A40" s="2979" t="s">
        <v>3336</v>
      </c>
      <c r="B40" s="2979" t="s">
        <v>3222</v>
      </c>
      <c r="C40" s="2979" t="s">
        <v>1326</v>
      </c>
      <c r="D40" s="2979" t="s">
        <v>3340</v>
      </c>
      <c r="E40" s="2979" t="s">
        <v>3224</v>
      </c>
      <c r="F40" s="2979" t="s">
        <v>3166</v>
      </c>
      <c r="G40" s="2979" t="s">
        <v>3182</v>
      </c>
      <c r="H40" s="2979" t="s">
        <v>3183</v>
      </c>
      <c r="I40" s="2979" t="s">
        <v>3225</v>
      </c>
      <c r="J40" s="2979" t="s">
        <v>3226</v>
      </c>
    </row>
    <row r="41" spans="1:10">
      <c r="A41" s="2979" t="s">
        <v>3341</v>
      </c>
      <c r="B41" s="2979" t="s">
        <v>3252</v>
      </c>
      <c r="C41" s="2979" t="s">
        <v>1326</v>
      </c>
      <c r="D41" s="2979" t="s">
        <v>3266</v>
      </c>
      <c r="E41" s="2979" t="s">
        <v>3224</v>
      </c>
      <c r="F41" s="2979" t="s">
        <v>3166</v>
      </c>
      <c r="G41" s="2979" t="s">
        <v>3182</v>
      </c>
      <c r="H41" s="2979" t="s">
        <v>3254</v>
      </c>
      <c r="I41" s="2979" t="s">
        <v>3255</v>
      </c>
      <c r="J41" s="2979" t="s">
        <v>3256</v>
      </c>
    </row>
    <row r="42" spans="1:10">
      <c r="A42" s="2979" t="s">
        <v>3341</v>
      </c>
      <c r="B42" s="2979" t="s">
        <v>3222</v>
      </c>
      <c r="C42" s="2979" t="s">
        <v>1326</v>
      </c>
      <c r="D42" s="2979" t="s">
        <v>3188</v>
      </c>
      <c r="E42" s="2979" t="s">
        <v>3224</v>
      </c>
      <c r="F42" s="2979" t="s">
        <v>3166</v>
      </c>
      <c r="G42" s="2979" t="s">
        <v>3182</v>
      </c>
      <c r="H42" s="2979" t="s">
        <v>3183</v>
      </c>
      <c r="I42" s="2979" t="s">
        <v>3342</v>
      </c>
      <c r="J42" s="2979" t="s">
        <v>3226</v>
      </c>
    </row>
    <row r="43" spans="1:10">
      <c r="A43" s="2979" t="s">
        <v>3341</v>
      </c>
      <c r="B43" s="2979" t="s">
        <v>3222</v>
      </c>
      <c r="C43" s="2979" t="s">
        <v>1326</v>
      </c>
      <c r="D43" s="2979" t="s">
        <v>3343</v>
      </c>
      <c r="E43" s="2979" t="s">
        <v>3224</v>
      </c>
      <c r="F43" s="2979" t="s">
        <v>3166</v>
      </c>
      <c r="G43" s="2979" t="s">
        <v>3182</v>
      </c>
      <c r="H43" s="2979" t="s">
        <v>3183</v>
      </c>
      <c r="I43" s="2979" t="s">
        <v>3344</v>
      </c>
      <c r="J43" s="2979" t="s">
        <v>3345</v>
      </c>
    </row>
    <row r="44" spans="1:10">
      <c r="A44" s="2979" t="s">
        <v>3346</v>
      </c>
      <c r="B44" s="2979" t="s">
        <v>3222</v>
      </c>
      <c r="C44" s="2979" t="s">
        <v>1326</v>
      </c>
      <c r="D44" s="2979" t="s">
        <v>3327</v>
      </c>
      <c r="E44" s="2979" t="s">
        <v>3224</v>
      </c>
      <c r="F44" s="2979" t="s">
        <v>3166</v>
      </c>
      <c r="G44" s="2979" t="s">
        <v>3182</v>
      </c>
      <c r="H44" s="2979" t="s">
        <v>3183</v>
      </c>
      <c r="I44" s="2979" t="s">
        <v>3228</v>
      </c>
      <c r="J44" s="2979" t="s">
        <v>3229</v>
      </c>
    </row>
    <row r="45" spans="1:10">
      <c r="A45" s="2979" t="s">
        <v>3346</v>
      </c>
      <c r="B45" s="2979" t="s">
        <v>3222</v>
      </c>
      <c r="C45" s="2979" t="s">
        <v>1326</v>
      </c>
      <c r="D45" s="2979" t="s">
        <v>3347</v>
      </c>
      <c r="E45" s="2979" t="s">
        <v>3224</v>
      </c>
      <c r="F45" s="2979" t="s">
        <v>3166</v>
      </c>
      <c r="G45" s="2979" t="s">
        <v>3182</v>
      </c>
      <c r="H45" s="2979" t="s">
        <v>3183</v>
      </c>
      <c r="I45" s="2979" t="s">
        <v>3348</v>
      </c>
      <c r="J45" s="2979" t="s">
        <v>3349</v>
      </c>
    </row>
    <row r="46" spans="1:10">
      <c r="A46" s="2979" t="s">
        <v>3350</v>
      </c>
      <c r="B46" s="2979" t="s">
        <v>3230</v>
      </c>
      <c r="C46" s="2979" t="s">
        <v>1326</v>
      </c>
      <c r="D46" s="2979" t="s">
        <v>3351</v>
      </c>
      <c r="E46" s="2979" t="s">
        <v>3224</v>
      </c>
      <c r="F46" s="2979" t="s">
        <v>3166</v>
      </c>
      <c r="G46" s="2979" t="s">
        <v>3182</v>
      </c>
      <c r="H46" s="2979" t="s">
        <v>3183</v>
      </c>
      <c r="I46" s="2979" t="s">
        <v>3352</v>
      </c>
      <c r="J46" s="2979" t="s">
        <v>3229</v>
      </c>
    </row>
    <row r="47" spans="1:10">
      <c r="A47" s="2979" t="s">
        <v>3350</v>
      </c>
      <c r="B47" s="2979" t="s">
        <v>3163</v>
      </c>
      <c r="C47" s="2979" t="s">
        <v>1326</v>
      </c>
      <c r="D47" s="2979" t="s">
        <v>3323</v>
      </c>
      <c r="E47" s="2979" t="s">
        <v>3224</v>
      </c>
      <c r="F47" s="2979" t="s">
        <v>3166</v>
      </c>
      <c r="G47" s="2979" t="s">
        <v>3182</v>
      </c>
      <c r="H47" s="2979" t="s">
        <v>3248</v>
      </c>
      <c r="I47" s="2979" t="s">
        <v>3353</v>
      </c>
      <c r="J47" s="2979" t="s">
        <v>3314</v>
      </c>
    </row>
    <row r="48" spans="1:10">
      <c r="A48" s="2979" t="s">
        <v>3350</v>
      </c>
      <c r="B48" s="2979" t="s">
        <v>3171</v>
      </c>
      <c r="C48" s="2979" t="s">
        <v>1326</v>
      </c>
      <c r="D48" s="2979" t="s">
        <v>3354</v>
      </c>
      <c r="E48" s="2979" t="s">
        <v>3224</v>
      </c>
      <c r="F48" s="2979" t="s">
        <v>3166</v>
      </c>
      <c r="G48" s="2979" t="s">
        <v>3182</v>
      </c>
      <c r="H48" s="2979" t="s">
        <v>3183</v>
      </c>
      <c r="I48" s="2979" t="s">
        <v>3274</v>
      </c>
      <c r="J48" s="2979" t="s">
        <v>3275</v>
      </c>
    </row>
    <row r="49" spans="1:10">
      <c r="A49" s="2979" t="s">
        <v>3355</v>
      </c>
      <c r="B49" s="2979" t="s">
        <v>3163</v>
      </c>
      <c r="C49" s="2979" t="s">
        <v>1326</v>
      </c>
      <c r="D49" s="2979" t="s">
        <v>1326</v>
      </c>
      <c r="E49" s="2979" t="s">
        <v>3224</v>
      </c>
      <c r="F49" s="2979" t="s">
        <v>3166</v>
      </c>
      <c r="G49" s="2979" t="s">
        <v>3182</v>
      </c>
      <c r="H49" s="2979" t="s">
        <v>3248</v>
      </c>
      <c r="I49" s="2979" t="s">
        <v>3356</v>
      </c>
      <c r="J49" s="2979" t="s">
        <v>3357</v>
      </c>
    </row>
    <row r="50" spans="1:10">
      <c r="A50" s="2979" t="s">
        <v>3358</v>
      </c>
      <c r="B50" s="2979" t="s">
        <v>3230</v>
      </c>
      <c r="C50" s="2979" t="s">
        <v>1326</v>
      </c>
      <c r="D50" s="2979" t="s">
        <v>1326</v>
      </c>
      <c r="E50" s="2979" t="s">
        <v>3224</v>
      </c>
      <c r="F50" s="2979" t="s">
        <v>3166</v>
      </c>
      <c r="G50" s="2979" t="s">
        <v>3182</v>
      </c>
      <c r="H50" s="2979" t="s">
        <v>3183</v>
      </c>
      <c r="I50" s="2979" t="s">
        <v>3359</v>
      </c>
      <c r="J50" s="2979" t="s">
        <v>3294</v>
      </c>
    </row>
    <row r="51" spans="1:10">
      <c r="A51" s="2979" t="s">
        <v>3360</v>
      </c>
      <c r="B51" s="2979" t="s">
        <v>3163</v>
      </c>
      <c r="C51" s="2979" t="s">
        <v>1326</v>
      </c>
      <c r="D51" s="2979" t="s">
        <v>1326</v>
      </c>
      <c r="E51" s="2979" t="s">
        <v>3224</v>
      </c>
      <c r="F51" s="2979" t="s">
        <v>3166</v>
      </c>
      <c r="G51" s="2979" t="s">
        <v>3182</v>
      </c>
      <c r="H51" s="2979" t="s">
        <v>3248</v>
      </c>
      <c r="I51" s="2979" t="s">
        <v>3249</v>
      </c>
      <c r="J51" s="2979" t="s">
        <v>3250</v>
      </c>
    </row>
    <row r="52" spans="1:10">
      <c r="A52" s="2979" t="s">
        <v>3361</v>
      </c>
      <c r="B52" s="2979" t="s">
        <v>3163</v>
      </c>
      <c r="C52" s="2979" t="s">
        <v>1326</v>
      </c>
      <c r="D52" s="2979" t="s">
        <v>1326</v>
      </c>
      <c r="E52" s="2979" t="s">
        <v>3224</v>
      </c>
      <c r="F52" s="2979" t="s">
        <v>3166</v>
      </c>
      <c r="G52" s="2979" t="s">
        <v>3182</v>
      </c>
      <c r="H52" s="2979" t="s">
        <v>3248</v>
      </c>
      <c r="I52" s="2979" t="s">
        <v>3362</v>
      </c>
      <c r="J52" s="2979" t="s">
        <v>3363</v>
      </c>
    </row>
    <row r="53" spans="1:10">
      <c r="A53" s="2979" t="s">
        <v>3364</v>
      </c>
      <c r="B53" s="2979" t="s">
        <v>3171</v>
      </c>
      <c r="C53" s="2979" t="s">
        <v>1326</v>
      </c>
      <c r="D53" s="2979" t="s">
        <v>1326</v>
      </c>
      <c r="E53" s="2979" t="s">
        <v>3224</v>
      </c>
      <c r="F53" s="2979" t="s">
        <v>3166</v>
      </c>
      <c r="G53" s="2979" t="s">
        <v>3167</v>
      </c>
      <c r="H53" s="2979" t="s">
        <v>3365</v>
      </c>
      <c r="I53" s="2979" t="s">
        <v>3366</v>
      </c>
      <c r="J53" s="2979" t="s">
        <v>3367</v>
      </c>
    </row>
    <row r="54" spans="1:10">
      <c r="A54" s="2979" t="s">
        <v>3368</v>
      </c>
      <c r="B54" s="2979" t="s">
        <v>3163</v>
      </c>
      <c r="C54" s="2979" t="s">
        <v>1326</v>
      </c>
      <c r="D54" s="2979" t="s">
        <v>1326</v>
      </c>
      <c r="E54" s="2979" t="s">
        <v>3224</v>
      </c>
      <c r="F54" s="2979" t="s">
        <v>3166</v>
      </c>
      <c r="G54" s="2979" t="s">
        <v>3182</v>
      </c>
      <c r="H54" s="2979" t="s">
        <v>3248</v>
      </c>
      <c r="I54" s="2979" t="s">
        <v>3369</v>
      </c>
      <c r="J54" s="2979" t="s">
        <v>3370</v>
      </c>
    </row>
    <row r="55" spans="1:10">
      <c r="A55" s="2979" t="s">
        <v>3371</v>
      </c>
      <c r="B55" s="2979" t="s">
        <v>3243</v>
      </c>
      <c r="C55" s="2979" t="s">
        <v>1326</v>
      </c>
      <c r="D55" s="2979" t="s">
        <v>1326</v>
      </c>
      <c r="E55" s="2979" t="s">
        <v>3224</v>
      </c>
      <c r="F55" s="2979" t="s">
        <v>3166</v>
      </c>
      <c r="G55" s="2979" t="s">
        <v>3182</v>
      </c>
      <c r="H55" s="2979" t="s">
        <v>3183</v>
      </c>
      <c r="I55" s="2979" t="s">
        <v>3372</v>
      </c>
      <c r="J55" s="2979" t="s">
        <v>3373</v>
      </c>
    </row>
    <row r="56" spans="1:10">
      <c r="A56" s="2979" t="s">
        <v>3374</v>
      </c>
      <c r="B56" s="2979" t="s">
        <v>3163</v>
      </c>
      <c r="C56" s="2979" t="s">
        <v>1326</v>
      </c>
      <c r="D56" s="2979" t="s">
        <v>1326</v>
      </c>
      <c r="E56" s="2979" t="s">
        <v>3224</v>
      </c>
      <c r="F56" s="2979" t="s">
        <v>3166</v>
      </c>
      <c r="G56" s="2979" t="s">
        <v>3182</v>
      </c>
      <c r="H56" s="2979" t="s">
        <v>3248</v>
      </c>
      <c r="I56" s="2979" t="s">
        <v>3375</v>
      </c>
      <c r="J56" s="2979" t="s">
        <v>3376</v>
      </c>
    </row>
    <row r="57" spans="1:10">
      <c r="A57" s="2979" t="s">
        <v>3374</v>
      </c>
      <c r="B57" s="2979" t="s">
        <v>3171</v>
      </c>
      <c r="C57" s="2979" t="s">
        <v>1326</v>
      </c>
      <c r="D57" s="2979" t="s">
        <v>1326</v>
      </c>
      <c r="E57" s="2979" t="s">
        <v>3224</v>
      </c>
      <c r="F57" s="2979" t="s">
        <v>3166</v>
      </c>
      <c r="G57" s="2979" t="s">
        <v>3182</v>
      </c>
      <c r="H57" s="2979" t="s">
        <v>3183</v>
      </c>
      <c r="I57" s="2979" t="s">
        <v>3377</v>
      </c>
      <c r="J57" s="2979" t="s">
        <v>3378</v>
      </c>
    </row>
    <row r="58" spans="1:10">
      <c r="A58" s="2979" t="s">
        <v>3374</v>
      </c>
      <c r="B58" s="2979" t="s">
        <v>3222</v>
      </c>
      <c r="C58" s="2979" t="s">
        <v>1326</v>
      </c>
      <c r="D58" s="2979" t="s">
        <v>1326</v>
      </c>
      <c r="E58" s="2979" t="s">
        <v>3224</v>
      </c>
      <c r="F58" s="2979" t="s">
        <v>3166</v>
      </c>
      <c r="G58" s="2979" t="s">
        <v>3182</v>
      </c>
      <c r="H58" s="2979" t="s">
        <v>3183</v>
      </c>
      <c r="I58" s="2979" t="s">
        <v>3379</v>
      </c>
      <c r="J58" s="2979" t="s">
        <v>3233</v>
      </c>
    </row>
    <row r="59" spans="1:10">
      <c r="A59" s="2979" t="s">
        <v>3374</v>
      </c>
      <c r="B59" s="2979" t="s">
        <v>3222</v>
      </c>
      <c r="C59" s="2979" t="s">
        <v>1326</v>
      </c>
      <c r="D59" s="2979" t="s">
        <v>1326</v>
      </c>
      <c r="E59" s="2979" t="s">
        <v>3224</v>
      </c>
      <c r="F59" s="2979" t="s">
        <v>3166</v>
      </c>
      <c r="G59" s="2979" t="s">
        <v>3182</v>
      </c>
      <c r="H59" s="2979" t="s">
        <v>3183</v>
      </c>
      <c r="I59" s="2979" t="s">
        <v>3380</v>
      </c>
      <c r="J59" s="2979" t="s">
        <v>3381</v>
      </c>
    </row>
    <row r="60" spans="1:10">
      <c r="A60" s="2979" t="s">
        <v>3382</v>
      </c>
      <c r="B60" s="2979" t="s">
        <v>3222</v>
      </c>
      <c r="C60" s="2979" t="s">
        <v>1326</v>
      </c>
      <c r="D60" s="2979" t="s">
        <v>1326</v>
      </c>
      <c r="E60" s="2979" t="s">
        <v>3224</v>
      </c>
      <c r="F60" s="2979" t="s">
        <v>3166</v>
      </c>
      <c r="G60" s="2979" t="s">
        <v>3182</v>
      </c>
      <c r="H60" s="2979" t="s">
        <v>3183</v>
      </c>
      <c r="I60" s="2979" t="s">
        <v>3383</v>
      </c>
      <c r="J60" s="2979" t="s">
        <v>3384</v>
      </c>
    </row>
    <row r="61" spans="1:10">
      <c r="A61" s="2979" t="s">
        <v>3382</v>
      </c>
      <c r="B61" s="2979" t="s">
        <v>3222</v>
      </c>
      <c r="C61" s="2979" t="s">
        <v>1326</v>
      </c>
      <c r="D61" s="2979" t="s">
        <v>1326</v>
      </c>
      <c r="E61" s="2979" t="s">
        <v>3224</v>
      </c>
      <c r="F61" s="2979" t="s">
        <v>3166</v>
      </c>
      <c r="G61" s="2979" t="s">
        <v>3182</v>
      </c>
      <c r="H61" s="2979" t="s">
        <v>3183</v>
      </c>
      <c r="I61" s="2979" t="s">
        <v>3225</v>
      </c>
      <c r="J61" s="2979" t="s">
        <v>3226</v>
      </c>
    </row>
    <row r="62" spans="1:10">
      <c r="A62" s="2979" t="s">
        <v>3382</v>
      </c>
      <c r="B62" s="2979" t="s">
        <v>3222</v>
      </c>
      <c r="C62" s="2979" t="s">
        <v>1326</v>
      </c>
      <c r="D62" s="2979" t="s">
        <v>1326</v>
      </c>
      <c r="E62" s="2979" t="s">
        <v>3224</v>
      </c>
      <c r="F62" s="2979" t="s">
        <v>3166</v>
      </c>
      <c r="G62" s="2979" t="s">
        <v>3182</v>
      </c>
      <c r="H62" s="2979" t="s">
        <v>3183</v>
      </c>
      <c r="I62" s="2979" t="s">
        <v>3385</v>
      </c>
      <c r="J62" s="2979" t="s">
        <v>3229</v>
      </c>
    </row>
    <row r="63" spans="1:10">
      <c r="A63" s="2979" t="s">
        <v>3382</v>
      </c>
      <c r="B63" s="2979" t="s">
        <v>3222</v>
      </c>
      <c r="C63" s="2979" t="s">
        <v>1326</v>
      </c>
      <c r="D63" s="2979" t="s">
        <v>1326</v>
      </c>
      <c r="E63" s="2979" t="s">
        <v>3224</v>
      </c>
      <c r="F63" s="2979" t="s">
        <v>3166</v>
      </c>
      <c r="G63" s="2979" t="s">
        <v>3182</v>
      </c>
      <c r="H63" s="2979" t="s">
        <v>3183</v>
      </c>
      <c r="I63" s="2979" t="s">
        <v>3386</v>
      </c>
      <c r="J63" s="2979" t="s">
        <v>3387</v>
      </c>
    </row>
    <row r="64" spans="1:10">
      <c r="A64" s="2979" t="s">
        <v>3382</v>
      </c>
      <c r="B64" s="2979" t="s">
        <v>3243</v>
      </c>
      <c r="C64" s="2979" t="s">
        <v>1326</v>
      </c>
      <c r="D64" s="2979" t="s">
        <v>1326</v>
      </c>
      <c r="E64" s="2979" t="s">
        <v>3224</v>
      </c>
      <c r="F64" s="2979" t="s">
        <v>3166</v>
      </c>
      <c r="G64" s="2979" t="s">
        <v>3167</v>
      </c>
      <c r="H64" s="2979" t="s">
        <v>3254</v>
      </c>
      <c r="I64" s="2979" t="s">
        <v>3255</v>
      </c>
      <c r="J64" s="2979" t="s">
        <v>3256</v>
      </c>
    </row>
    <row r="65" spans="1:10">
      <c r="A65" s="2979" t="s">
        <v>3388</v>
      </c>
      <c r="B65" s="2979" t="s">
        <v>3222</v>
      </c>
      <c r="C65" s="2979" t="s">
        <v>1326</v>
      </c>
      <c r="D65" s="2979" t="s">
        <v>1326</v>
      </c>
      <c r="E65" s="2979" t="s">
        <v>3224</v>
      </c>
      <c r="F65" s="2979" t="s">
        <v>3166</v>
      </c>
      <c r="G65" s="2979" t="s">
        <v>3182</v>
      </c>
      <c r="H65" s="2979" t="s">
        <v>3183</v>
      </c>
      <c r="I65" s="2979" t="s">
        <v>3228</v>
      </c>
      <c r="J65" s="2979" t="s">
        <v>3229</v>
      </c>
    </row>
    <row r="66" spans="1:10">
      <c r="A66" s="2979" t="s">
        <v>3389</v>
      </c>
      <c r="B66" s="2979" t="s">
        <v>3222</v>
      </c>
      <c r="C66" s="2979" t="s">
        <v>1326</v>
      </c>
      <c r="D66" s="2979" t="s">
        <v>1326</v>
      </c>
      <c r="E66" s="2979" t="s">
        <v>3224</v>
      </c>
      <c r="F66" s="2979" t="s">
        <v>3166</v>
      </c>
      <c r="G66" s="2979" t="s">
        <v>3182</v>
      </c>
      <c r="H66" s="2979" t="s">
        <v>3183</v>
      </c>
      <c r="I66" s="2979" t="s">
        <v>3390</v>
      </c>
      <c r="J66" s="2979" t="s">
        <v>3391</v>
      </c>
    </row>
    <row r="67" spans="1:10">
      <c r="A67" s="2979" t="s">
        <v>3392</v>
      </c>
      <c r="B67" s="2979" t="s">
        <v>3238</v>
      </c>
      <c r="C67" s="2979" t="s">
        <v>1326</v>
      </c>
      <c r="D67" s="2979" t="s">
        <v>1326</v>
      </c>
      <c r="E67" s="2979" t="s">
        <v>3224</v>
      </c>
      <c r="F67" s="2979" t="s">
        <v>3166</v>
      </c>
      <c r="G67" s="2979" t="s">
        <v>3182</v>
      </c>
      <c r="H67" s="2979" t="s">
        <v>3183</v>
      </c>
      <c r="I67" s="2979" t="s">
        <v>3393</v>
      </c>
      <c r="J67" s="2979" t="s">
        <v>3394</v>
      </c>
    </row>
    <row r="68" spans="1:10">
      <c r="A68" s="2979" t="s">
        <v>3395</v>
      </c>
      <c r="B68" s="2979" t="s">
        <v>3243</v>
      </c>
      <c r="C68" s="2979" t="s">
        <v>1326</v>
      </c>
      <c r="D68" s="2979" t="s">
        <v>1326</v>
      </c>
      <c r="E68" s="2979" t="s">
        <v>3224</v>
      </c>
      <c r="F68" s="2979" t="s">
        <v>3166</v>
      </c>
      <c r="G68" s="2979" t="s">
        <v>3167</v>
      </c>
      <c r="H68" s="2979" t="s">
        <v>3254</v>
      </c>
      <c r="I68" s="2979" t="s">
        <v>3255</v>
      </c>
      <c r="J68" s="2979" t="s">
        <v>3256</v>
      </c>
    </row>
    <row r="69" spans="1:10">
      <c r="A69" s="2979" t="s">
        <v>3396</v>
      </c>
      <c r="B69" s="2979" t="s">
        <v>3163</v>
      </c>
      <c r="C69" s="2979" t="s">
        <v>1326</v>
      </c>
      <c r="D69" s="2979" t="s">
        <v>1326</v>
      </c>
      <c r="E69" s="2979" t="s">
        <v>3224</v>
      </c>
      <c r="F69" s="2979" t="s">
        <v>3166</v>
      </c>
      <c r="G69" s="2979" t="s">
        <v>3182</v>
      </c>
      <c r="H69" s="2979" t="s">
        <v>3248</v>
      </c>
      <c r="I69" s="2979" t="s">
        <v>3397</v>
      </c>
      <c r="J69" s="2979" t="s">
        <v>3357</v>
      </c>
    </row>
    <row r="70" spans="1:10">
      <c r="A70" s="2979" t="s">
        <v>3396</v>
      </c>
      <c r="B70" s="2979" t="s">
        <v>3171</v>
      </c>
      <c r="C70" s="2979" t="s">
        <v>1326</v>
      </c>
      <c r="D70" s="2979" t="s">
        <v>1326</v>
      </c>
      <c r="E70" s="2979" t="s">
        <v>3224</v>
      </c>
      <c r="F70" s="2979" t="s">
        <v>3166</v>
      </c>
      <c r="G70" s="2979" t="s">
        <v>3167</v>
      </c>
      <c r="H70" s="2979" t="s">
        <v>3365</v>
      </c>
      <c r="I70" s="2979" t="s">
        <v>3398</v>
      </c>
      <c r="J70" s="2979" t="s">
        <v>3399</v>
      </c>
    </row>
    <row r="71" spans="1:10">
      <c r="A71" s="2979" t="s">
        <v>3396</v>
      </c>
      <c r="B71" s="2979" t="s">
        <v>3222</v>
      </c>
      <c r="C71" s="2979" t="s">
        <v>1326</v>
      </c>
      <c r="D71" s="2979" t="s">
        <v>1326</v>
      </c>
      <c r="E71" s="2979" t="s">
        <v>3224</v>
      </c>
      <c r="F71" s="2979" t="s">
        <v>3166</v>
      </c>
      <c r="G71" s="2979" t="s">
        <v>3182</v>
      </c>
      <c r="H71" s="2979" t="s">
        <v>3183</v>
      </c>
      <c r="I71" s="2979" t="s">
        <v>3400</v>
      </c>
      <c r="J71" s="2979" t="s">
        <v>3294</v>
      </c>
    </row>
    <row r="72" spans="1:10">
      <c r="A72" s="2979" t="s">
        <v>3401</v>
      </c>
      <c r="B72" s="2979" t="s">
        <v>3260</v>
      </c>
      <c r="C72" s="2979" t="s">
        <v>1326</v>
      </c>
      <c r="D72" s="2979" t="s">
        <v>1326</v>
      </c>
      <c r="E72" s="2979" t="s">
        <v>3224</v>
      </c>
      <c r="F72" s="2979" t="s">
        <v>3166</v>
      </c>
      <c r="G72" s="2979" t="s">
        <v>3182</v>
      </c>
      <c r="H72" s="2979" t="s">
        <v>3211</v>
      </c>
      <c r="I72" s="2979" t="s">
        <v>3402</v>
      </c>
      <c r="J72" s="2979" t="s">
        <v>3403</v>
      </c>
    </row>
    <row r="73" spans="1:10">
      <c r="A73" s="2979" t="s">
        <v>3401</v>
      </c>
      <c r="B73" s="2979" t="s">
        <v>3260</v>
      </c>
      <c r="C73" s="2979" t="s">
        <v>1326</v>
      </c>
      <c r="D73" s="2979" t="s">
        <v>1326</v>
      </c>
      <c r="E73" s="2979" t="s">
        <v>3224</v>
      </c>
      <c r="F73" s="2979" t="s">
        <v>3166</v>
      </c>
      <c r="G73" s="2979" t="s">
        <v>3295</v>
      </c>
      <c r="H73" s="2979" t="s">
        <v>3296</v>
      </c>
      <c r="I73" s="2979" t="s">
        <v>3404</v>
      </c>
      <c r="J73" s="2979" t="s">
        <v>3405</v>
      </c>
    </row>
    <row r="74" spans="1:10">
      <c r="A74" s="2979" t="s">
        <v>3406</v>
      </c>
      <c r="B74" s="2979" t="s">
        <v>3171</v>
      </c>
      <c r="C74" s="2979" t="s">
        <v>1326</v>
      </c>
      <c r="D74" s="2979" t="s">
        <v>1326</v>
      </c>
      <c r="E74" s="2979" t="s">
        <v>3224</v>
      </c>
      <c r="F74" s="2979" t="s">
        <v>3166</v>
      </c>
      <c r="G74" s="2979" t="s">
        <v>3182</v>
      </c>
      <c r="H74" s="2979" t="s">
        <v>3183</v>
      </c>
      <c r="I74" s="2979" t="s">
        <v>3407</v>
      </c>
      <c r="J74" s="2979" t="s">
        <v>3408</v>
      </c>
    </row>
    <row r="75" spans="1:10">
      <c r="A75" s="2979" t="s">
        <v>3406</v>
      </c>
      <c r="B75" s="2979" t="s">
        <v>3243</v>
      </c>
      <c r="C75" s="2979" t="s">
        <v>1326</v>
      </c>
      <c r="D75" s="2979" t="s">
        <v>1326</v>
      </c>
      <c r="E75" s="2979" t="s">
        <v>3224</v>
      </c>
      <c r="F75" s="2979" t="s">
        <v>3166</v>
      </c>
      <c r="G75" s="2979" t="s">
        <v>3167</v>
      </c>
      <c r="H75" s="2979" t="s">
        <v>3409</v>
      </c>
      <c r="I75" s="2979" t="s">
        <v>3410</v>
      </c>
      <c r="J75" s="2979" t="s">
        <v>3411</v>
      </c>
    </row>
    <row r="76" spans="1:10">
      <c r="A76" s="2979" t="s">
        <v>3412</v>
      </c>
      <c r="B76" s="2979" t="s">
        <v>3222</v>
      </c>
      <c r="C76" s="2979" t="s">
        <v>1326</v>
      </c>
      <c r="D76" s="2979" t="s">
        <v>1326</v>
      </c>
      <c r="E76" s="2979" t="s">
        <v>3224</v>
      </c>
      <c r="F76" s="2979" t="s">
        <v>3166</v>
      </c>
      <c r="G76" s="2979" t="s">
        <v>3182</v>
      </c>
      <c r="H76" s="2979" t="s">
        <v>3183</v>
      </c>
      <c r="I76" s="2979" t="s">
        <v>3413</v>
      </c>
      <c r="J76" s="2979" t="s">
        <v>3414</v>
      </c>
    </row>
    <row r="77" spans="1:10">
      <c r="A77" s="2979" t="s">
        <v>3415</v>
      </c>
      <c r="B77" s="2979" t="s">
        <v>3163</v>
      </c>
      <c r="C77" s="2979" t="s">
        <v>1326</v>
      </c>
      <c r="D77" s="2979" t="s">
        <v>1326</v>
      </c>
      <c r="E77" s="2979" t="s">
        <v>3224</v>
      </c>
      <c r="F77" s="2979" t="s">
        <v>3166</v>
      </c>
      <c r="G77" s="2979" t="s">
        <v>3182</v>
      </c>
      <c r="H77" s="2979" t="s">
        <v>3248</v>
      </c>
      <c r="I77" s="2979" t="s">
        <v>3416</v>
      </c>
      <c r="J77" s="2979" t="s">
        <v>3417</v>
      </c>
    </row>
    <row r="78" spans="1:10">
      <c r="A78" s="2979" t="s">
        <v>3415</v>
      </c>
      <c r="B78" s="2979" t="s">
        <v>3222</v>
      </c>
      <c r="C78" s="2979" t="s">
        <v>1326</v>
      </c>
      <c r="D78" s="2979" t="s">
        <v>1326</v>
      </c>
      <c r="E78" s="2979" t="s">
        <v>3224</v>
      </c>
      <c r="F78" s="2979" t="s">
        <v>3166</v>
      </c>
      <c r="G78" s="2979" t="s">
        <v>3182</v>
      </c>
      <c r="H78" s="2979" t="s">
        <v>3183</v>
      </c>
      <c r="I78" s="2979" t="s">
        <v>3418</v>
      </c>
      <c r="J78" s="2979" t="s">
        <v>3246</v>
      </c>
    </row>
    <row r="79" spans="1:10">
      <c r="A79" s="2979" t="s">
        <v>3419</v>
      </c>
      <c r="B79" s="2979" t="s">
        <v>3163</v>
      </c>
      <c r="C79" s="2979" t="s">
        <v>1326</v>
      </c>
      <c r="D79" s="2979" t="s">
        <v>1326</v>
      </c>
      <c r="E79" s="2979" t="s">
        <v>3224</v>
      </c>
      <c r="F79" s="2979" t="s">
        <v>3166</v>
      </c>
      <c r="G79" s="2979" t="s">
        <v>3182</v>
      </c>
      <c r="H79" s="2979" t="s">
        <v>3248</v>
      </c>
      <c r="I79" s="2979" t="s">
        <v>3420</v>
      </c>
      <c r="J79" s="2979" t="s">
        <v>3421</v>
      </c>
    </row>
    <row r="80" spans="1:10">
      <c r="A80" s="2979" t="s">
        <v>3422</v>
      </c>
      <c r="B80" s="2979" t="s">
        <v>3171</v>
      </c>
      <c r="C80" s="2979" t="s">
        <v>1326</v>
      </c>
      <c r="D80" s="2979" t="s">
        <v>1326</v>
      </c>
      <c r="E80" s="2979" t="s">
        <v>3224</v>
      </c>
      <c r="F80" s="2979" t="s">
        <v>3166</v>
      </c>
      <c r="G80" s="2979" t="s">
        <v>3182</v>
      </c>
      <c r="H80" s="2979" t="s">
        <v>3248</v>
      </c>
      <c r="I80" s="2979" t="s">
        <v>3423</v>
      </c>
      <c r="J80" s="2979" t="s">
        <v>3424</v>
      </c>
    </row>
    <row r="81" spans="1:10">
      <c r="A81" s="2979" t="s">
        <v>3422</v>
      </c>
      <c r="B81" s="2979" t="s">
        <v>3243</v>
      </c>
      <c r="C81" s="2979" t="s">
        <v>1326</v>
      </c>
      <c r="D81" s="2979" t="s">
        <v>1326</v>
      </c>
      <c r="E81" s="2979" t="s">
        <v>3224</v>
      </c>
      <c r="F81" s="2979" t="s">
        <v>3166</v>
      </c>
      <c r="G81" s="2979" t="s">
        <v>3167</v>
      </c>
      <c r="H81" s="2979" t="s">
        <v>3254</v>
      </c>
      <c r="I81" s="2979" t="s">
        <v>3255</v>
      </c>
      <c r="J81" s="2979" t="s">
        <v>3425</v>
      </c>
    </row>
    <row r="82" spans="1:10">
      <c r="A82" s="2979" t="s">
        <v>3426</v>
      </c>
      <c r="B82" s="2979" t="s">
        <v>3243</v>
      </c>
      <c r="C82" s="2979" t="s">
        <v>1326</v>
      </c>
      <c r="D82" s="2979" t="s">
        <v>1326</v>
      </c>
      <c r="E82" s="2979" t="s">
        <v>3224</v>
      </c>
      <c r="F82" s="2979" t="s">
        <v>3166</v>
      </c>
      <c r="G82" s="2979" t="s">
        <v>3167</v>
      </c>
      <c r="H82" s="2979" t="s">
        <v>3254</v>
      </c>
      <c r="I82" s="2979" t="s">
        <v>3255</v>
      </c>
      <c r="J82" s="2979" t="s">
        <v>3425</v>
      </c>
    </row>
    <row r="83" spans="1:10">
      <c r="A83" s="2979" t="s">
        <v>3426</v>
      </c>
      <c r="B83" s="2979" t="s">
        <v>3252</v>
      </c>
      <c r="C83" s="2979" t="s">
        <v>1326</v>
      </c>
      <c r="D83" s="2979" t="s">
        <v>1326</v>
      </c>
      <c r="E83" s="2979" t="s">
        <v>3224</v>
      </c>
      <c r="F83" s="2979" t="s">
        <v>3166</v>
      </c>
      <c r="G83" s="2979" t="s">
        <v>3167</v>
      </c>
      <c r="H83" s="2979" t="s">
        <v>3304</v>
      </c>
      <c r="I83" s="2979" t="s">
        <v>3305</v>
      </c>
      <c r="J83" s="2979" t="s">
        <v>3306</v>
      </c>
    </row>
    <row r="84" spans="1:10">
      <c r="A84" s="2979" t="s">
        <v>3427</v>
      </c>
      <c r="B84" s="2979" t="s">
        <v>3243</v>
      </c>
      <c r="C84" s="2979" t="s">
        <v>1326</v>
      </c>
      <c r="D84" s="2979" t="s">
        <v>1326</v>
      </c>
      <c r="E84" s="2979" t="s">
        <v>3224</v>
      </c>
      <c r="F84" s="2979" t="s">
        <v>3166</v>
      </c>
      <c r="G84" s="2979" t="s">
        <v>3167</v>
      </c>
      <c r="H84" s="2979" t="s">
        <v>3254</v>
      </c>
      <c r="I84" s="2979" t="s">
        <v>3255</v>
      </c>
      <c r="J84" s="2979" t="s">
        <v>3256</v>
      </c>
    </row>
    <row r="85" spans="1:10">
      <c r="A85" s="2979" t="s">
        <v>3428</v>
      </c>
      <c r="B85" s="2979" t="s">
        <v>3243</v>
      </c>
      <c r="C85" s="2979" t="s">
        <v>1326</v>
      </c>
      <c r="D85" s="2979" t="s">
        <v>1326</v>
      </c>
      <c r="E85" s="2979" t="s">
        <v>3224</v>
      </c>
      <c r="F85" s="2979" t="s">
        <v>3166</v>
      </c>
      <c r="G85" s="2979" t="s">
        <v>3167</v>
      </c>
      <c r="H85" s="2979" t="s">
        <v>3254</v>
      </c>
      <c r="I85" s="2979" t="s">
        <v>3255</v>
      </c>
      <c r="J85" s="2979" t="s">
        <v>3256</v>
      </c>
    </row>
    <row r="86" spans="1:10">
      <c r="A86" s="2979" t="s">
        <v>3429</v>
      </c>
      <c r="B86" s="2979" t="s">
        <v>3222</v>
      </c>
      <c r="C86" s="2979" t="s">
        <v>1326</v>
      </c>
      <c r="D86" s="2979" t="s">
        <v>1326</v>
      </c>
      <c r="E86" s="2979" t="s">
        <v>3224</v>
      </c>
      <c r="F86" s="2979" t="s">
        <v>3166</v>
      </c>
      <c r="G86" s="2979" t="s">
        <v>3182</v>
      </c>
      <c r="H86" s="2979" t="s">
        <v>3183</v>
      </c>
      <c r="I86" s="2979" t="s">
        <v>3430</v>
      </c>
      <c r="J86" s="2979" t="s">
        <v>3391</v>
      </c>
    </row>
    <row r="87" spans="1:10">
      <c r="A87" s="2979" t="s">
        <v>3431</v>
      </c>
      <c r="B87" s="2979" t="s">
        <v>3252</v>
      </c>
      <c r="C87" s="2979" t="s">
        <v>1326</v>
      </c>
      <c r="D87" s="2979" t="s">
        <v>1326</v>
      </c>
      <c r="E87" s="2979" t="s">
        <v>3224</v>
      </c>
      <c r="F87" s="2979" t="s">
        <v>3166</v>
      </c>
      <c r="G87" s="2979" t="s">
        <v>3278</v>
      </c>
      <c r="H87" s="2979" t="s">
        <v>3432</v>
      </c>
      <c r="I87" s="2979" t="s">
        <v>3433</v>
      </c>
      <c r="J87" s="2979" t="s">
        <v>3434</v>
      </c>
    </row>
    <row r="88" spans="1:10">
      <c r="A88" s="2979" t="s">
        <v>3431</v>
      </c>
      <c r="B88" s="2979" t="s">
        <v>3171</v>
      </c>
      <c r="C88" s="2979" t="s">
        <v>1326</v>
      </c>
      <c r="D88" s="2979" t="s">
        <v>1326</v>
      </c>
      <c r="E88" s="2979" t="s">
        <v>3224</v>
      </c>
      <c r="F88" s="2979" t="s">
        <v>3166</v>
      </c>
      <c r="G88" s="2979" t="s">
        <v>3182</v>
      </c>
      <c r="H88" s="2979" t="s">
        <v>3183</v>
      </c>
      <c r="I88" s="2979" t="s">
        <v>3435</v>
      </c>
      <c r="J88" s="2979" t="s">
        <v>3436</v>
      </c>
    </row>
    <row r="89" spans="1:10">
      <c r="A89" s="2979" t="s">
        <v>3437</v>
      </c>
      <c r="B89" s="2979" t="s">
        <v>3243</v>
      </c>
      <c r="C89" s="2979" t="s">
        <v>1326</v>
      </c>
      <c r="D89" s="2979" t="s">
        <v>1326</v>
      </c>
      <c r="E89" s="2979" t="s">
        <v>3224</v>
      </c>
      <c r="F89" s="2979" t="s">
        <v>3166</v>
      </c>
      <c r="G89" s="2979" t="s">
        <v>3182</v>
      </c>
      <c r="H89" s="2979" t="s">
        <v>3211</v>
      </c>
      <c r="I89" s="2979" t="s">
        <v>3438</v>
      </c>
      <c r="J89" s="2979" t="s">
        <v>3233</v>
      </c>
    </row>
    <row r="90" spans="1:10">
      <c r="A90" s="2979" t="s">
        <v>3437</v>
      </c>
      <c r="B90" s="2979" t="s">
        <v>3163</v>
      </c>
      <c r="C90" s="2979" t="s">
        <v>1326</v>
      </c>
      <c r="D90" s="2979" t="s">
        <v>1326</v>
      </c>
      <c r="E90" s="2979" t="s">
        <v>3224</v>
      </c>
      <c r="F90" s="2979" t="s">
        <v>3166</v>
      </c>
      <c r="G90" s="2979" t="s">
        <v>3182</v>
      </c>
      <c r="H90" s="2979" t="s">
        <v>3248</v>
      </c>
      <c r="I90" s="2979" t="s">
        <v>3439</v>
      </c>
      <c r="J90" s="2979" t="s">
        <v>3440</v>
      </c>
    </row>
    <row r="91" spans="1:10">
      <c r="A91" s="2979" t="s">
        <v>3441</v>
      </c>
      <c r="B91" s="2979" t="s">
        <v>3163</v>
      </c>
      <c r="C91" s="2979" t="s">
        <v>1326</v>
      </c>
      <c r="D91" s="2979" t="s">
        <v>1326</v>
      </c>
      <c r="E91" s="2979" t="s">
        <v>3224</v>
      </c>
      <c r="F91" s="2979" t="s">
        <v>3166</v>
      </c>
      <c r="G91" s="2979" t="s">
        <v>3182</v>
      </c>
      <c r="H91" s="2979" t="s">
        <v>3248</v>
      </c>
      <c r="I91" s="2979" t="s">
        <v>3442</v>
      </c>
      <c r="J91" s="2979" t="s">
        <v>3443</v>
      </c>
    </row>
    <row r="92" spans="1:10">
      <c r="A92" s="2979" t="s">
        <v>3444</v>
      </c>
      <c r="B92" s="2979" t="s">
        <v>3171</v>
      </c>
      <c r="C92" s="2979" t="s">
        <v>1326</v>
      </c>
      <c r="D92" s="2979" t="s">
        <v>1326</v>
      </c>
      <c r="E92" s="2979" t="s">
        <v>3224</v>
      </c>
      <c r="F92" s="2979" t="s">
        <v>3166</v>
      </c>
      <c r="G92" s="2979" t="s">
        <v>3182</v>
      </c>
      <c r="H92" s="2979" t="s">
        <v>3183</v>
      </c>
      <c r="I92" s="2979" t="s">
        <v>3307</v>
      </c>
      <c r="J92" s="2979" t="s">
        <v>3308</v>
      </c>
    </row>
    <row r="93" spans="1:10">
      <c r="A93" s="2979" t="s">
        <v>3444</v>
      </c>
      <c r="B93" s="2979" t="s">
        <v>3252</v>
      </c>
      <c r="C93" s="2979" t="s">
        <v>1326</v>
      </c>
      <c r="D93" s="2979" t="s">
        <v>1326</v>
      </c>
      <c r="E93" s="2979" t="s">
        <v>3224</v>
      </c>
      <c r="F93" s="2979" t="s">
        <v>3166</v>
      </c>
      <c r="G93" s="2979" t="s">
        <v>3167</v>
      </c>
      <c r="H93" s="2979" t="s">
        <v>3304</v>
      </c>
      <c r="I93" s="2979" t="s">
        <v>3305</v>
      </c>
      <c r="J93" s="2979" t="s">
        <v>3306</v>
      </c>
    </row>
    <row r="94" spans="1:10">
      <c r="A94" s="2979" t="s">
        <v>3445</v>
      </c>
      <c r="B94" s="2979" t="s">
        <v>3243</v>
      </c>
      <c r="C94" s="2979" t="s">
        <v>1326</v>
      </c>
      <c r="D94" s="2979" t="s">
        <v>1326</v>
      </c>
      <c r="E94" s="2979" t="s">
        <v>3224</v>
      </c>
      <c r="F94" s="2979" t="s">
        <v>3166</v>
      </c>
      <c r="G94" s="2979" t="s">
        <v>3278</v>
      </c>
      <c r="H94" s="2979" t="s">
        <v>3446</v>
      </c>
      <c r="I94" s="2979" t="s">
        <v>3447</v>
      </c>
      <c r="J94" s="2979" t="s">
        <v>3448</v>
      </c>
    </row>
    <row r="95" spans="1:10">
      <c r="A95" s="2979" t="s">
        <v>3449</v>
      </c>
      <c r="B95" s="2979" t="s">
        <v>3238</v>
      </c>
      <c r="C95" s="2979" t="s">
        <v>1326</v>
      </c>
      <c r="D95" s="2979" t="s">
        <v>1326</v>
      </c>
      <c r="E95" s="2979" t="s">
        <v>3224</v>
      </c>
      <c r="F95" s="2979" t="s">
        <v>3166</v>
      </c>
      <c r="G95" s="2979" t="s">
        <v>3182</v>
      </c>
      <c r="H95" s="2979" t="s">
        <v>3183</v>
      </c>
      <c r="I95" s="2979" t="s">
        <v>3393</v>
      </c>
      <c r="J95" s="2979" t="s">
        <v>3394</v>
      </c>
    </row>
    <row r="96" spans="1:10">
      <c r="A96" s="2979" t="s">
        <v>3449</v>
      </c>
      <c r="B96" s="2979" t="s">
        <v>3171</v>
      </c>
      <c r="C96" s="2979" t="s">
        <v>1326</v>
      </c>
      <c r="D96" s="2979" t="s">
        <v>1326</v>
      </c>
      <c r="E96" s="2979" t="s">
        <v>3224</v>
      </c>
      <c r="F96" s="2979" t="s">
        <v>3166</v>
      </c>
      <c r="G96" s="2979" t="s">
        <v>3182</v>
      </c>
      <c r="H96" s="2979" t="s">
        <v>3183</v>
      </c>
      <c r="I96" s="2979" t="s">
        <v>3377</v>
      </c>
      <c r="J96" s="2979" t="s">
        <v>3378</v>
      </c>
    </row>
    <row r="97" spans="1:10">
      <c r="A97" s="2979" t="s">
        <v>3450</v>
      </c>
      <c r="B97" s="2979" t="s">
        <v>3222</v>
      </c>
      <c r="C97" s="2979" t="s">
        <v>1326</v>
      </c>
      <c r="D97" s="2979" t="s">
        <v>1326</v>
      </c>
      <c r="E97" s="2979" t="s">
        <v>3224</v>
      </c>
      <c r="F97" s="2979" t="s">
        <v>3166</v>
      </c>
      <c r="G97" s="2979" t="s">
        <v>3182</v>
      </c>
      <c r="H97" s="2979" t="s">
        <v>3183</v>
      </c>
      <c r="I97" s="2979" t="s">
        <v>3451</v>
      </c>
      <c r="J97" s="2979" t="s">
        <v>3452</v>
      </c>
    </row>
    <row r="98" spans="1:10">
      <c r="A98" s="2979" t="s">
        <v>3453</v>
      </c>
      <c r="B98" s="2979" t="s">
        <v>3171</v>
      </c>
      <c r="C98" s="2979" t="s">
        <v>1326</v>
      </c>
      <c r="D98" s="2979" t="s">
        <v>1326</v>
      </c>
      <c r="E98" s="2979" t="s">
        <v>3224</v>
      </c>
      <c r="F98" s="2979" t="s">
        <v>3166</v>
      </c>
      <c r="G98" s="2979" t="s">
        <v>3182</v>
      </c>
      <c r="H98" s="2979" t="s">
        <v>3183</v>
      </c>
      <c r="I98" s="2979" t="s">
        <v>3377</v>
      </c>
      <c r="J98" s="2979" t="s">
        <v>3378</v>
      </c>
    </row>
    <row r="99" spans="1:10">
      <c r="A99" s="2979" t="s">
        <v>3454</v>
      </c>
      <c r="B99" s="2979" t="s">
        <v>3171</v>
      </c>
      <c r="C99" s="2979" t="s">
        <v>1326</v>
      </c>
      <c r="D99" s="2979" t="s">
        <v>1326</v>
      </c>
      <c r="E99" s="2979" t="s">
        <v>3224</v>
      </c>
      <c r="F99" s="2979" t="s">
        <v>3166</v>
      </c>
      <c r="G99" s="2979" t="s">
        <v>3182</v>
      </c>
      <c r="H99" s="2979" t="s">
        <v>3183</v>
      </c>
      <c r="I99" s="2979" t="s">
        <v>3455</v>
      </c>
      <c r="J99" s="2979" t="s">
        <v>3456</v>
      </c>
    </row>
    <row r="100" spans="1:10">
      <c r="A100" s="2979" t="s">
        <v>3457</v>
      </c>
      <c r="B100" s="2979" t="s">
        <v>3243</v>
      </c>
      <c r="C100" s="2979" t="s">
        <v>1326</v>
      </c>
      <c r="D100" s="2979" t="s">
        <v>1326</v>
      </c>
      <c r="E100" s="2979" t="s">
        <v>3224</v>
      </c>
      <c r="F100" s="2979" t="s">
        <v>3166</v>
      </c>
      <c r="G100" s="2979" t="s">
        <v>3167</v>
      </c>
      <c r="H100" s="2979" t="s">
        <v>3254</v>
      </c>
      <c r="I100" s="2979" t="s">
        <v>3255</v>
      </c>
      <c r="J100" s="2979" t="s">
        <v>3256</v>
      </c>
    </row>
    <row r="101" spans="1:10">
      <c r="A101" s="2979" t="s">
        <v>3458</v>
      </c>
      <c r="B101" s="2979" t="s">
        <v>3243</v>
      </c>
      <c r="C101" s="2979" t="s">
        <v>1326</v>
      </c>
      <c r="D101" s="2979" t="s">
        <v>1326</v>
      </c>
      <c r="E101" s="2979" t="s">
        <v>3224</v>
      </c>
      <c r="F101" s="2979" t="s">
        <v>3166</v>
      </c>
      <c r="G101" s="2979" t="s">
        <v>3167</v>
      </c>
      <c r="H101" s="2979" t="s">
        <v>3254</v>
      </c>
      <c r="I101" s="2979" t="s">
        <v>3255</v>
      </c>
      <c r="J101" s="2979" t="s">
        <v>3425</v>
      </c>
    </row>
    <row r="102" spans="1:10">
      <c r="A102" s="2979" t="s">
        <v>3459</v>
      </c>
      <c r="B102" s="2979" t="s">
        <v>3163</v>
      </c>
      <c r="C102" s="2979" t="s">
        <v>1326</v>
      </c>
      <c r="D102" s="2979" t="s">
        <v>1326</v>
      </c>
      <c r="E102" s="2979" t="s">
        <v>3224</v>
      </c>
      <c r="F102" s="2979" t="s">
        <v>3166</v>
      </c>
      <c r="G102" s="2979" t="s">
        <v>3182</v>
      </c>
      <c r="H102" s="2979" t="s">
        <v>3248</v>
      </c>
      <c r="I102" s="2979" t="s">
        <v>3460</v>
      </c>
      <c r="J102" s="2979" t="s">
        <v>3376</v>
      </c>
    </row>
    <row r="103" spans="1:10">
      <c r="A103" s="2979" t="s">
        <v>3459</v>
      </c>
      <c r="B103" s="2979" t="s">
        <v>3222</v>
      </c>
      <c r="C103" s="2979" t="s">
        <v>1326</v>
      </c>
      <c r="D103" s="2979" t="s">
        <v>1326</v>
      </c>
      <c r="E103" s="2979" t="s">
        <v>3224</v>
      </c>
      <c r="F103" s="2979" t="s">
        <v>3166</v>
      </c>
      <c r="G103" s="2979" t="s">
        <v>3182</v>
      </c>
      <c r="H103" s="2979" t="s">
        <v>3183</v>
      </c>
      <c r="I103" s="2979" t="s">
        <v>3461</v>
      </c>
      <c r="J103" s="2979" t="s">
        <v>3233</v>
      </c>
    </row>
    <row r="104" spans="1:10">
      <c r="A104" s="2979" t="s">
        <v>3459</v>
      </c>
      <c r="B104" s="2979" t="s">
        <v>3243</v>
      </c>
      <c r="C104" s="2979" t="s">
        <v>1326</v>
      </c>
      <c r="D104" s="2979" t="s">
        <v>1326</v>
      </c>
      <c r="E104" s="2979" t="s">
        <v>3224</v>
      </c>
      <c r="F104" s="2979" t="s">
        <v>3166</v>
      </c>
      <c r="G104" s="2979" t="s">
        <v>3167</v>
      </c>
      <c r="H104" s="2979" t="s">
        <v>3254</v>
      </c>
      <c r="I104" s="2979" t="s">
        <v>3255</v>
      </c>
      <c r="J104" s="2979" t="s">
        <v>3425</v>
      </c>
    </row>
    <row r="105" spans="1:10">
      <c r="A105" s="2979" t="s">
        <v>3462</v>
      </c>
      <c r="B105" s="2979" t="s">
        <v>3222</v>
      </c>
      <c r="C105" s="2979" t="s">
        <v>1326</v>
      </c>
      <c r="D105" s="2979" t="s">
        <v>1326</v>
      </c>
      <c r="E105" s="2979" t="s">
        <v>3224</v>
      </c>
      <c r="F105" s="2979" t="s">
        <v>3166</v>
      </c>
      <c r="G105" s="2979" t="s">
        <v>3182</v>
      </c>
      <c r="H105" s="2979" t="s">
        <v>3183</v>
      </c>
      <c r="I105" s="2979" t="s">
        <v>3310</v>
      </c>
      <c r="J105" s="2979" t="s">
        <v>3284</v>
      </c>
    </row>
    <row r="106" spans="1:10">
      <c r="A106" s="2979" t="s">
        <v>3463</v>
      </c>
      <c r="B106" s="2979" t="s">
        <v>3222</v>
      </c>
      <c r="C106" s="2979" t="s">
        <v>1326</v>
      </c>
      <c r="D106" s="2979" t="s">
        <v>1326</v>
      </c>
      <c r="E106" s="2979" t="s">
        <v>3224</v>
      </c>
      <c r="F106" s="2979" t="s">
        <v>3166</v>
      </c>
      <c r="G106" s="2979" t="s">
        <v>3182</v>
      </c>
      <c r="H106" s="2979" t="s">
        <v>3183</v>
      </c>
      <c r="I106" s="2979" t="s">
        <v>3464</v>
      </c>
      <c r="J106" s="2979" t="s">
        <v>3465</v>
      </c>
    </row>
    <row r="107" spans="1:10">
      <c r="A107" s="2979" t="s">
        <v>3463</v>
      </c>
      <c r="B107" s="2979" t="s">
        <v>3252</v>
      </c>
      <c r="C107" s="2979" t="s">
        <v>1326</v>
      </c>
      <c r="D107" s="2979" t="s">
        <v>1326</v>
      </c>
      <c r="E107" s="2979" t="s">
        <v>3224</v>
      </c>
      <c r="F107" s="2979" t="s">
        <v>3166</v>
      </c>
      <c r="G107" s="2979" t="s">
        <v>3167</v>
      </c>
      <c r="H107" s="2979" t="s">
        <v>3304</v>
      </c>
      <c r="I107" s="2979" t="s">
        <v>3305</v>
      </c>
      <c r="J107" s="2979" t="s">
        <v>3306</v>
      </c>
    </row>
    <row r="108" spans="1:10">
      <c r="A108" s="2979" t="s">
        <v>3463</v>
      </c>
      <c r="B108" s="2979" t="s">
        <v>3222</v>
      </c>
      <c r="C108" s="2979" t="s">
        <v>1326</v>
      </c>
      <c r="D108" s="2979" t="s">
        <v>1326</v>
      </c>
      <c r="E108" s="2979" t="s">
        <v>3224</v>
      </c>
      <c r="F108" s="2979" t="s">
        <v>3166</v>
      </c>
      <c r="G108" s="2979" t="s">
        <v>3182</v>
      </c>
      <c r="H108" s="2979" t="s">
        <v>3183</v>
      </c>
      <c r="I108" s="2979" t="s">
        <v>3466</v>
      </c>
      <c r="J108" s="2979" t="s">
        <v>3467</v>
      </c>
    </row>
    <row r="109" spans="1:10">
      <c r="A109" s="2979" t="s">
        <v>3468</v>
      </c>
      <c r="B109" s="2979" t="s">
        <v>3163</v>
      </c>
      <c r="C109" s="2979" t="s">
        <v>1326</v>
      </c>
      <c r="D109" s="2979" t="s">
        <v>1326</v>
      </c>
      <c r="E109" s="2979" t="s">
        <v>3224</v>
      </c>
      <c r="F109" s="2979" t="s">
        <v>3166</v>
      </c>
      <c r="G109" s="2979" t="s">
        <v>3182</v>
      </c>
      <c r="H109" s="2979" t="s">
        <v>3248</v>
      </c>
      <c r="I109" s="2979" t="s">
        <v>3469</v>
      </c>
      <c r="J109" s="2979" t="s">
        <v>3470</v>
      </c>
    </row>
    <row r="110" spans="1:10">
      <c r="A110" s="2979" t="s">
        <v>3471</v>
      </c>
      <c r="B110" s="2979" t="s">
        <v>3171</v>
      </c>
      <c r="C110" s="2979" t="s">
        <v>1326</v>
      </c>
      <c r="D110" s="2979" t="s">
        <v>1326</v>
      </c>
      <c r="E110" s="2979" t="s">
        <v>3224</v>
      </c>
      <c r="F110" s="2979" t="s">
        <v>3166</v>
      </c>
      <c r="G110" s="2979" t="s">
        <v>3182</v>
      </c>
      <c r="H110" s="2979" t="s">
        <v>3183</v>
      </c>
      <c r="I110" s="2979" t="s">
        <v>3455</v>
      </c>
      <c r="J110" s="2979" t="s">
        <v>3456</v>
      </c>
    </row>
    <row r="111" spans="1:10">
      <c r="A111" s="2979" t="s">
        <v>3472</v>
      </c>
      <c r="B111" s="2979" t="s">
        <v>3260</v>
      </c>
      <c r="C111" s="2979" t="s">
        <v>1326</v>
      </c>
      <c r="D111" s="2979" t="s">
        <v>1326</v>
      </c>
      <c r="E111" s="2979" t="s">
        <v>3224</v>
      </c>
      <c r="F111" s="2979" t="s">
        <v>3166</v>
      </c>
      <c r="G111" s="2979" t="s">
        <v>3295</v>
      </c>
      <c r="H111" s="2979" t="s">
        <v>3296</v>
      </c>
      <c r="I111" s="2979" t="s">
        <v>3473</v>
      </c>
      <c r="J111" s="2979" t="s">
        <v>3474</v>
      </c>
    </row>
    <row r="112" spans="1:10">
      <c r="A112" s="2979" t="s">
        <v>3472</v>
      </c>
      <c r="B112" s="2979" t="s">
        <v>3171</v>
      </c>
      <c r="C112" s="2979" t="s">
        <v>1326</v>
      </c>
      <c r="D112" s="2979" t="s">
        <v>1326</v>
      </c>
      <c r="E112" s="2979" t="s">
        <v>3224</v>
      </c>
      <c r="F112" s="2979" t="s">
        <v>3166</v>
      </c>
      <c r="G112" s="2979" t="s">
        <v>3182</v>
      </c>
      <c r="H112" s="2979" t="s">
        <v>3211</v>
      </c>
      <c r="I112" s="2979" t="s">
        <v>3475</v>
      </c>
      <c r="J112" s="2979" t="s">
        <v>3476</v>
      </c>
    </row>
    <row r="113" spans="1:10">
      <c r="A113" s="2979" t="s">
        <v>3477</v>
      </c>
      <c r="B113" s="2979" t="s">
        <v>3222</v>
      </c>
      <c r="C113" s="2979" t="s">
        <v>1326</v>
      </c>
      <c r="D113" s="2979" t="s">
        <v>3478</v>
      </c>
      <c r="E113" s="2979" t="s">
        <v>3224</v>
      </c>
      <c r="F113" s="2979" t="s">
        <v>3166</v>
      </c>
      <c r="G113" s="2979" t="s">
        <v>3182</v>
      </c>
      <c r="H113" s="2979" t="s">
        <v>3183</v>
      </c>
      <c r="I113" s="2979" t="s">
        <v>3479</v>
      </c>
      <c r="J113" s="2979" t="s">
        <v>3480</v>
      </c>
    </row>
    <row r="114" spans="1:10">
      <c r="A114" s="2979" t="s">
        <v>3477</v>
      </c>
      <c r="B114" s="2979" t="s">
        <v>3171</v>
      </c>
      <c r="C114" s="2979" t="s">
        <v>1326</v>
      </c>
      <c r="D114" s="2979" t="s">
        <v>3481</v>
      </c>
      <c r="E114" s="2979" t="s">
        <v>3224</v>
      </c>
      <c r="F114" s="2979" t="s">
        <v>3166</v>
      </c>
      <c r="G114" s="2979" t="s">
        <v>3182</v>
      </c>
      <c r="H114" s="2979" t="s">
        <v>3211</v>
      </c>
      <c r="I114" s="2979" t="s">
        <v>3475</v>
      </c>
      <c r="J114" s="2979" t="s">
        <v>3476</v>
      </c>
    </row>
    <row r="115" spans="1:10">
      <c r="A115" s="2979" t="s">
        <v>3477</v>
      </c>
      <c r="B115" s="2979" t="s">
        <v>3222</v>
      </c>
      <c r="C115" s="2979" t="s">
        <v>1326</v>
      </c>
      <c r="D115" s="2979" t="s">
        <v>3231</v>
      </c>
      <c r="E115" s="2979" t="s">
        <v>3224</v>
      </c>
      <c r="F115" s="2979" t="s">
        <v>3166</v>
      </c>
      <c r="G115" s="2979" t="s">
        <v>3182</v>
      </c>
      <c r="H115" s="2979" t="s">
        <v>3183</v>
      </c>
      <c r="I115" s="2979" t="s">
        <v>3482</v>
      </c>
      <c r="J115" s="2979" t="s">
        <v>3483</v>
      </c>
    </row>
    <row r="116" spans="1:10">
      <c r="A116" s="2979" t="s">
        <v>3477</v>
      </c>
      <c r="B116" s="2979" t="s">
        <v>3252</v>
      </c>
      <c r="C116" s="2979" t="s">
        <v>1326</v>
      </c>
      <c r="D116" s="2979" t="s">
        <v>3484</v>
      </c>
      <c r="E116" s="2979" t="s">
        <v>3224</v>
      </c>
      <c r="F116" s="2979" t="s">
        <v>3166</v>
      </c>
      <c r="G116" s="2979" t="s">
        <v>3167</v>
      </c>
      <c r="H116" s="2979" t="s">
        <v>3304</v>
      </c>
      <c r="I116" s="2979" t="s">
        <v>3305</v>
      </c>
      <c r="J116" s="2979" t="s">
        <v>3306</v>
      </c>
    </row>
    <row r="117" spans="1:10">
      <c r="A117" s="2979" t="s">
        <v>3485</v>
      </c>
      <c r="B117" s="2979" t="s">
        <v>3230</v>
      </c>
      <c r="C117" s="2979" t="s">
        <v>1326</v>
      </c>
      <c r="D117" s="2979" t="s">
        <v>3273</v>
      </c>
      <c r="E117" s="2979" t="s">
        <v>3224</v>
      </c>
      <c r="F117" s="2979" t="s">
        <v>3166</v>
      </c>
      <c r="G117" s="2979" t="s">
        <v>3182</v>
      </c>
      <c r="H117" s="2979" t="s">
        <v>3183</v>
      </c>
      <c r="I117" s="2979" t="s">
        <v>3486</v>
      </c>
      <c r="J117" s="2979" t="s">
        <v>3465</v>
      </c>
    </row>
    <row r="118" spans="1:10">
      <c r="A118" s="2979" t="s">
        <v>3485</v>
      </c>
      <c r="B118" s="2979" t="s">
        <v>3238</v>
      </c>
      <c r="C118" s="2979" t="s">
        <v>1326</v>
      </c>
      <c r="D118" s="2979" t="s">
        <v>3181</v>
      </c>
      <c r="E118" s="2979" t="s">
        <v>3224</v>
      </c>
      <c r="F118" s="2979" t="s">
        <v>3166</v>
      </c>
      <c r="G118" s="2979" t="s">
        <v>3182</v>
      </c>
      <c r="H118" s="2979" t="s">
        <v>3183</v>
      </c>
      <c r="I118" s="2979" t="s">
        <v>3240</v>
      </c>
      <c r="J118" s="2979" t="s">
        <v>3241</v>
      </c>
    </row>
    <row r="119" spans="1:10">
      <c r="A119" s="2979" t="s">
        <v>3485</v>
      </c>
      <c r="B119" s="2979" t="s">
        <v>3252</v>
      </c>
      <c r="C119" s="2979" t="s">
        <v>1326</v>
      </c>
      <c r="D119" s="2979" t="s">
        <v>3487</v>
      </c>
      <c r="E119" s="2979" t="s">
        <v>3224</v>
      </c>
      <c r="F119" s="2979" t="s">
        <v>3166</v>
      </c>
      <c r="G119" s="2979" t="s">
        <v>3167</v>
      </c>
      <c r="H119" s="2979" t="s">
        <v>3304</v>
      </c>
      <c r="I119" s="2979" t="s">
        <v>3305</v>
      </c>
      <c r="J119" s="2979" t="s">
        <v>3306</v>
      </c>
    </row>
    <row r="120" spans="1:10">
      <c r="A120" s="2979" t="s">
        <v>3485</v>
      </c>
      <c r="B120" s="2979" t="s">
        <v>3243</v>
      </c>
      <c r="C120" s="2979" t="s">
        <v>1326</v>
      </c>
      <c r="D120" s="2979" t="s">
        <v>3488</v>
      </c>
      <c r="E120" s="2979" t="s">
        <v>3224</v>
      </c>
      <c r="F120" s="2979" t="s">
        <v>3166</v>
      </c>
      <c r="G120" s="2979" t="s">
        <v>3167</v>
      </c>
      <c r="H120" s="2979" t="s">
        <v>3254</v>
      </c>
      <c r="I120" s="2979" t="s">
        <v>3255</v>
      </c>
      <c r="J120" s="2979" t="s">
        <v>3256</v>
      </c>
    </row>
    <row r="121" spans="1:10">
      <c r="A121" s="2979" t="s">
        <v>3489</v>
      </c>
      <c r="B121" s="2979" t="s">
        <v>3243</v>
      </c>
      <c r="C121" s="2979" t="s">
        <v>1326</v>
      </c>
      <c r="D121" s="2979" t="s">
        <v>3490</v>
      </c>
      <c r="E121" s="2979" t="s">
        <v>3224</v>
      </c>
      <c r="F121" s="2979" t="s">
        <v>3166</v>
      </c>
      <c r="G121" s="2979" t="s">
        <v>3167</v>
      </c>
      <c r="H121" s="2979" t="s">
        <v>3491</v>
      </c>
      <c r="I121" s="2979" t="s">
        <v>3255</v>
      </c>
      <c r="J121" s="2979" t="s">
        <v>3492</v>
      </c>
    </row>
    <row r="122" spans="1:10">
      <c r="A122" s="2979" t="s">
        <v>3493</v>
      </c>
      <c r="B122" s="2979" t="s">
        <v>3243</v>
      </c>
      <c r="C122" s="2979" t="s">
        <v>1326</v>
      </c>
      <c r="D122" s="2979" t="s">
        <v>3266</v>
      </c>
      <c r="E122" s="2979" t="s">
        <v>3224</v>
      </c>
      <c r="F122" s="2979" t="s">
        <v>3166</v>
      </c>
      <c r="G122" s="2979" t="s">
        <v>3167</v>
      </c>
      <c r="H122" s="2979" t="s">
        <v>3254</v>
      </c>
      <c r="I122" s="2979" t="s">
        <v>3255</v>
      </c>
      <c r="J122" s="2979" t="s">
        <v>3425</v>
      </c>
    </row>
    <row r="123" spans="1:10">
      <c r="A123" s="2979" t="s">
        <v>3494</v>
      </c>
      <c r="B123" s="2979" t="s">
        <v>3252</v>
      </c>
      <c r="C123" s="2979" t="s">
        <v>1326</v>
      </c>
      <c r="D123" s="2979" t="s">
        <v>3495</v>
      </c>
      <c r="E123" s="2979" t="s">
        <v>3224</v>
      </c>
      <c r="F123" s="2979" t="s">
        <v>3166</v>
      </c>
      <c r="G123" s="2979" t="s">
        <v>3278</v>
      </c>
      <c r="H123" s="2979" t="s">
        <v>3496</v>
      </c>
      <c r="I123" s="2979" t="s">
        <v>3497</v>
      </c>
      <c r="J123" s="2979" t="s">
        <v>3498</v>
      </c>
    </row>
    <row r="124" spans="1:10">
      <c r="A124" s="2979" t="s">
        <v>3499</v>
      </c>
      <c r="B124" s="2979" t="s">
        <v>3163</v>
      </c>
      <c r="C124" s="2979" t="s">
        <v>1326</v>
      </c>
      <c r="D124" s="2979" t="s">
        <v>3273</v>
      </c>
      <c r="E124" s="2979" t="s">
        <v>3224</v>
      </c>
      <c r="F124" s="2979" t="s">
        <v>3166</v>
      </c>
      <c r="G124" s="2979" t="s">
        <v>3182</v>
      </c>
      <c r="H124" s="2979" t="s">
        <v>3248</v>
      </c>
      <c r="I124" s="2979" t="s">
        <v>3500</v>
      </c>
      <c r="J124" s="2979" t="s">
        <v>3501</v>
      </c>
    </row>
    <row r="125" spans="1:10">
      <c r="A125" s="2979" t="s">
        <v>3499</v>
      </c>
      <c r="B125" s="2979" t="s">
        <v>3260</v>
      </c>
      <c r="C125" s="2979" t="s">
        <v>1326</v>
      </c>
      <c r="D125" s="2979" t="s">
        <v>3343</v>
      </c>
      <c r="E125" s="2979" t="s">
        <v>3224</v>
      </c>
      <c r="F125" s="2979" t="s">
        <v>3166</v>
      </c>
      <c r="G125" s="2979" t="s">
        <v>3182</v>
      </c>
      <c r="H125" s="2979" t="s">
        <v>3211</v>
      </c>
      <c r="I125" s="2979" t="s">
        <v>3502</v>
      </c>
      <c r="J125" s="2979" t="s">
        <v>3503</v>
      </c>
    </row>
    <row r="126" spans="1:10">
      <c r="A126" s="2979" t="s">
        <v>3504</v>
      </c>
      <c r="B126" s="2979" t="s">
        <v>3252</v>
      </c>
      <c r="C126" s="2979" t="s">
        <v>1326</v>
      </c>
      <c r="D126" s="2979" t="s">
        <v>3505</v>
      </c>
      <c r="E126" s="2979" t="s">
        <v>3224</v>
      </c>
      <c r="F126" s="2979" t="s">
        <v>3166</v>
      </c>
      <c r="G126" s="2979" t="s">
        <v>3278</v>
      </c>
      <c r="H126" s="2979" t="s">
        <v>3496</v>
      </c>
      <c r="I126" s="2979" t="s">
        <v>3506</v>
      </c>
      <c r="J126" s="2979" t="s">
        <v>3507</v>
      </c>
    </row>
    <row r="127" spans="1:10">
      <c r="A127" s="2979" t="s">
        <v>3504</v>
      </c>
      <c r="B127" s="2979" t="s">
        <v>3222</v>
      </c>
      <c r="C127" s="2979" t="s">
        <v>1326</v>
      </c>
      <c r="D127" s="2979" t="s">
        <v>3508</v>
      </c>
      <c r="E127" s="2979" t="s">
        <v>3224</v>
      </c>
      <c r="F127" s="2979" t="s">
        <v>3166</v>
      </c>
      <c r="G127" s="2979" t="s">
        <v>3182</v>
      </c>
      <c r="H127" s="2979" t="s">
        <v>3183</v>
      </c>
      <c r="I127" s="2979" t="s">
        <v>3379</v>
      </c>
      <c r="J127" s="2979" t="s">
        <v>3233</v>
      </c>
    </row>
    <row r="128" spans="1:10">
      <c r="A128" s="2979" t="s">
        <v>3504</v>
      </c>
      <c r="B128" s="2979" t="s">
        <v>3243</v>
      </c>
      <c r="C128" s="2979" t="s">
        <v>1326</v>
      </c>
      <c r="D128" s="2979" t="s">
        <v>3509</v>
      </c>
      <c r="E128" s="2979" t="s">
        <v>3224</v>
      </c>
      <c r="F128" s="2979" t="s">
        <v>3166</v>
      </c>
      <c r="G128" s="2979" t="s">
        <v>3167</v>
      </c>
      <c r="H128" s="2979" t="s">
        <v>3254</v>
      </c>
      <c r="I128" s="2979" t="s">
        <v>3255</v>
      </c>
      <c r="J128" s="2979" t="s">
        <v>3264</v>
      </c>
    </row>
    <row r="129" spans="1:10">
      <c r="A129" s="2979" t="s">
        <v>3510</v>
      </c>
      <c r="B129" s="2979" t="s">
        <v>3171</v>
      </c>
      <c r="C129" s="2979" t="s">
        <v>1326</v>
      </c>
      <c r="D129" s="2979" t="s">
        <v>3181</v>
      </c>
      <c r="E129" s="2979" t="s">
        <v>3224</v>
      </c>
      <c r="F129" s="2979" t="s">
        <v>3166</v>
      </c>
      <c r="G129" s="2979" t="s">
        <v>3182</v>
      </c>
      <c r="H129" s="2979" t="s">
        <v>3183</v>
      </c>
      <c r="I129" s="2979" t="s">
        <v>3435</v>
      </c>
      <c r="J129" s="2979" t="s">
        <v>3436</v>
      </c>
    </row>
    <row r="130" spans="1:10">
      <c r="A130" s="2979" t="s">
        <v>3511</v>
      </c>
      <c r="B130" s="2979" t="s">
        <v>3222</v>
      </c>
      <c r="C130" s="2979" t="s">
        <v>1326</v>
      </c>
      <c r="D130" s="2979" t="s">
        <v>3512</v>
      </c>
      <c r="E130" s="2979" t="s">
        <v>3224</v>
      </c>
      <c r="F130" s="2979" t="s">
        <v>3166</v>
      </c>
      <c r="G130" s="2979" t="s">
        <v>3182</v>
      </c>
      <c r="H130" s="2979" t="s">
        <v>3183</v>
      </c>
      <c r="I130" s="2979" t="s">
        <v>3513</v>
      </c>
      <c r="J130" s="2979" t="s">
        <v>3514</v>
      </c>
    </row>
    <row r="131" spans="1:10">
      <c r="A131" s="2979" t="s">
        <v>3515</v>
      </c>
      <c r="B131" s="2979" t="s">
        <v>3171</v>
      </c>
      <c r="C131" s="2979" t="s">
        <v>1326</v>
      </c>
      <c r="D131" s="2979" t="s">
        <v>3516</v>
      </c>
      <c r="E131" s="2979" t="s">
        <v>3224</v>
      </c>
      <c r="F131" s="2979" t="s">
        <v>3166</v>
      </c>
      <c r="G131" s="2979" t="s">
        <v>3182</v>
      </c>
      <c r="H131" s="2979" t="s">
        <v>3248</v>
      </c>
      <c r="I131" s="2979" t="s">
        <v>3517</v>
      </c>
      <c r="J131" s="2979" t="s">
        <v>3518</v>
      </c>
    </row>
    <row r="132" spans="1:10">
      <c r="A132" s="2979" t="s">
        <v>3519</v>
      </c>
      <c r="B132" s="2979" t="s">
        <v>3163</v>
      </c>
      <c r="C132" s="2979" t="s">
        <v>1326</v>
      </c>
      <c r="D132" s="2979" t="s">
        <v>3520</v>
      </c>
      <c r="E132" s="2979" t="s">
        <v>3224</v>
      </c>
      <c r="F132" s="2979" t="s">
        <v>3166</v>
      </c>
      <c r="G132" s="2979" t="s">
        <v>3182</v>
      </c>
      <c r="H132" s="2979" t="s">
        <v>3248</v>
      </c>
      <c r="I132" s="2979" t="s">
        <v>3521</v>
      </c>
      <c r="J132" s="2979" t="s">
        <v>3522</v>
      </c>
    </row>
    <row r="133" spans="1:10">
      <c r="A133" s="2979" t="s">
        <v>3519</v>
      </c>
      <c r="B133" s="2979" t="s">
        <v>3171</v>
      </c>
      <c r="C133" s="2979" t="s">
        <v>1326</v>
      </c>
      <c r="D133" s="2979" t="s">
        <v>3523</v>
      </c>
      <c r="E133" s="2979" t="s">
        <v>3224</v>
      </c>
      <c r="F133" s="2979" t="s">
        <v>3166</v>
      </c>
      <c r="G133" s="2979" t="s">
        <v>3182</v>
      </c>
      <c r="H133" s="2979" t="s">
        <v>3211</v>
      </c>
      <c r="I133" s="2979" t="s">
        <v>3524</v>
      </c>
      <c r="J133" s="2979" t="s">
        <v>3525</v>
      </c>
    </row>
    <row r="134" spans="1:10">
      <c r="A134" s="2979" t="s">
        <v>3526</v>
      </c>
      <c r="B134" s="2979" t="s">
        <v>3243</v>
      </c>
      <c r="C134" s="2979" t="s">
        <v>1326</v>
      </c>
      <c r="D134" s="2979" t="s">
        <v>3319</v>
      </c>
      <c r="E134" s="2979" t="s">
        <v>3224</v>
      </c>
      <c r="F134" s="2979" t="s">
        <v>3166</v>
      </c>
      <c r="G134" s="2979" t="s">
        <v>3167</v>
      </c>
      <c r="H134" s="2979" t="s">
        <v>3254</v>
      </c>
      <c r="I134" s="2979" t="s">
        <v>3255</v>
      </c>
      <c r="J134" s="2979" t="s">
        <v>3425</v>
      </c>
    </row>
    <row r="135" spans="1:10">
      <c r="A135" s="2979" t="s">
        <v>3526</v>
      </c>
      <c r="B135" s="2979" t="s">
        <v>3222</v>
      </c>
      <c r="C135" s="2979" t="s">
        <v>1326</v>
      </c>
      <c r="D135" s="2979" t="s">
        <v>3527</v>
      </c>
      <c r="E135" s="2979" t="s">
        <v>3224</v>
      </c>
      <c r="F135" s="2979" t="s">
        <v>3166</v>
      </c>
      <c r="G135" s="2979" t="s">
        <v>3182</v>
      </c>
      <c r="H135" s="2979" t="s">
        <v>3183</v>
      </c>
      <c r="I135" s="2979" t="s">
        <v>3310</v>
      </c>
      <c r="J135" s="2979" t="s">
        <v>3284</v>
      </c>
    </row>
    <row r="136" spans="1:10">
      <c r="A136" s="2979" t="s">
        <v>3526</v>
      </c>
      <c r="B136" s="2979" t="s">
        <v>3171</v>
      </c>
      <c r="C136" s="2979" t="s">
        <v>1326</v>
      </c>
      <c r="D136" s="2979" t="s">
        <v>3528</v>
      </c>
      <c r="E136" s="2979" t="s">
        <v>3224</v>
      </c>
      <c r="F136" s="2979" t="s">
        <v>3166</v>
      </c>
      <c r="G136" s="2979" t="s">
        <v>3182</v>
      </c>
      <c r="H136" s="2979" t="s">
        <v>3248</v>
      </c>
      <c r="I136" s="2979" t="s">
        <v>3529</v>
      </c>
      <c r="J136" s="2979" t="s">
        <v>3530</v>
      </c>
    </row>
    <row r="137" spans="1:10">
      <c r="A137" s="2979" t="s">
        <v>3531</v>
      </c>
      <c r="B137" s="2979" t="s">
        <v>3163</v>
      </c>
      <c r="C137" s="2979" t="s">
        <v>1326</v>
      </c>
      <c r="D137" s="2979" t="s">
        <v>3532</v>
      </c>
      <c r="E137" s="2979" t="s">
        <v>3224</v>
      </c>
      <c r="F137" s="2979" t="s">
        <v>3166</v>
      </c>
      <c r="G137" s="2979" t="s">
        <v>3182</v>
      </c>
      <c r="H137" s="2979" t="s">
        <v>3248</v>
      </c>
      <c r="I137" s="2979" t="s">
        <v>3533</v>
      </c>
      <c r="J137" s="2979" t="s">
        <v>3534</v>
      </c>
    </row>
    <row r="138" spans="1:10">
      <c r="A138" s="2979" t="s">
        <v>3535</v>
      </c>
      <c r="B138" s="2979" t="s">
        <v>3171</v>
      </c>
      <c r="C138" s="2979" t="s">
        <v>1326</v>
      </c>
      <c r="D138" s="2979" t="s">
        <v>3536</v>
      </c>
      <c r="E138" s="2979" t="s">
        <v>3224</v>
      </c>
      <c r="F138" s="2979" t="s">
        <v>3166</v>
      </c>
      <c r="G138" s="2979" t="s">
        <v>3182</v>
      </c>
      <c r="H138" s="2979" t="s">
        <v>3183</v>
      </c>
      <c r="I138" s="2979" t="s">
        <v>3377</v>
      </c>
      <c r="J138" s="2979" t="s">
        <v>3378</v>
      </c>
    </row>
    <row r="139" spans="1:10">
      <c r="A139" s="2979" t="s">
        <v>3535</v>
      </c>
      <c r="B139" s="2979" t="s">
        <v>3171</v>
      </c>
      <c r="C139" s="2979" t="s">
        <v>1326</v>
      </c>
      <c r="D139" s="2979" t="s">
        <v>3537</v>
      </c>
      <c r="E139" s="2979" t="s">
        <v>3224</v>
      </c>
      <c r="F139" s="2979" t="s">
        <v>3166</v>
      </c>
      <c r="G139" s="2979" t="s">
        <v>3182</v>
      </c>
      <c r="H139" s="2979" t="s">
        <v>3183</v>
      </c>
      <c r="I139" s="2979" t="s">
        <v>3538</v>
      </c>
      <c r="J139" s="2979" t="s">
        <v>3539</v>
      </c>
    </row>
    <row r="140" spans="1:10">
      <c r="A140" s="2979" t="s">
        <v>3540</v>
      </c>
      <c r="B140" s="2979" t="s">
        <v>3171</v>
      </c>
      <c r="C140" s="2979" t="s">
        <v>1326</v>
      </c>
      <c r="D140" s="2979" t="s">
        <v>3312</v>
      </c>
      <c r="E140" s="2979" t="s">
        <v>3224</v>
      </c>
      <c r="F140" s="2979" t="s">
        <v>3166</v>
      </c>
      <c r="G140" s="2979" t="s">
        <v>3182</v>
      </c>
      <c r="H140" s="2979" t="s">
        <v>3183</v>
      </c>
      <c r="I140" s="2979" t="s">
        <v>3541</v>
      </c>
      <c r="J140" s="2979" t="s">
        <v>3542</v>
      </c>
    </row>
    <row r="141" spans="1:10">
      <c r="A141" s="2979" t="s">
        <v>3543</v>
      </c>
      <c r="B141" s="2979" t="s">
        <v>3163</v>
      </c>
      <c r="C141" s="2979" t="s">
        <v>1326</v>
      </c>
      <c r="D141" s="2979" t="s">
        <v>3527</v>
      </c>
      <c r="E141" s="2979" t="s">
        <v>3224</v>
      </c>
      <c r="F141" s="2979" t="s">
        <v>3166</v>
      </c>
      <c r="G141" s="2979" t="s">
        <v>3182</v>
      </c>
      <c r="H141" s="2979" t="s">
        <v>3248</v>
      </c>
      <c r="I141" s="2979" t="s">
        <v>3544</v>
      </c>
      <c r="J141" s="2979" t="s">
        <v>3545</v>
      </c>
    </row>
    <row r="142" spans="1:10">
      <c r="A142" s="2979" t="s">
        <v>3543</v>
      </c>
      <c r="B142" s="2979" t="s">
        <v>3171</v>
      </c>
      <c r="C142" s="2979" t="s">
        <v>1326</v>
      </c>
      <c r="D142" s="2979" t="s">
        <v>3309</v>
      </c>
      <c r="E142" s="2979" t="s">
        <v>3224</v>
      </c>
      <c r="F142" s="2979" t="s">
        <v>3166</v>
      </c>
      <c r="G142" s="2979" t="s">
        <v>3182</v>
      </c>
      <c r="H142" s="2979" t="s">
        <v>3183</v>
      </c>
      <c r="I142" s="2979" t="s">
        <v>3546</v>
      </c>
      <c r="J142" s="2979" t="s">
        <v>3547</v>
      </c>
    </row>
    <row r="143" spans="1:10">
      <c r="A143" s="2979" t="s">
        <v>3548</v>
      </c>
      <c r="B143" s="2979" t="s">
        <v>3222</v>
      </c>
      <c r="C143" s="2979" t="s">
        <v>1326</v>
      </c>
      <c r="D143" s="2979" t="s">
        <v>3236</v>
      </c>
      <c r="E143" s="2979" t="s">
        <v>3224</v>
      </c>
      <c r="F143" s="2979" t="s">
        <v>3166</v>
      </c>
      <c r="G143" s="2979" t="s">
        <v>3182</v>
      </c>
      <c r="H143" s="2979" t="s">
        <v>3183</v>
      </c>
      <c r="I143" s="2979" t="s">
        <v>3549</v>
      </c>
      <c r="J143" s="2979" t="s">
        <v>3550</v>
      </c>
    </row>
    <row r="144" spans="1:10">
      <c r="A144" s="2979" t="s">
        <v>3548</v>
      </c>
      <c r="B144" s="2979" t="s">
        <v>3222</v>
      </c>
      <c r="C144" s="2979" t="s">
        <v>1326</v>
      </c>
      <c r="D144" s="2979" t="s">
        <v>3551</v>
      </c>
      <c r="E144" s="2979" t="s">
        <v>3224</v>
      </c>
      <c r="F144" s="2979" t="s">
        <v>3166</v>
      </c>
      <c r="G144" s="2979" t="s">
        <v>3182</v>
      </c>
      <c r="H144" s="2979" t="s">
        <v>3183</v>
      </c>
      <c r="I144" s="2979" t="s">
        <v>3552</v>
      </c>
      <c r="J144" s="2979" t="s">
        <v>3553</v>
      </c>
    </row>
    <row r="145" spans="1:10">
      <c r="A145" s="2979" t="s">
        <v>3548</v>
      </c>
      <c r="B145" s="2979" t="s">
        <v>3163</v>
      </c>
      <c r="C145" s="2979" t="s">
        <v>1326</v>
      </c>
      <c r="D145" s="2979" t="s">
        <v>3551</v>
      </c>
      <c r="E145" s="2979" t="s">
        <v>3224</v>
      </c>
      <c r="F145" s="2979" t="s">
        <v>3166</v>
      </c>
      <c r="G145" s="2979" t="s">
        <v>3182</v>
      </c>
      <c r="H145" s="2979" t="s">
        <v>3248</v>
      </c>
      <c r="I145" s="2979" t="s">
        <v>3313</v>
      </c>
      <c r="J145" s="2979" t="s">
        <v>3314</v>
      </c>
    </row>
    <row r="146" spans="1:10">
      <c r="A146" s="2979" t="s">
        <v>3554</v>
      </c>
      <c r="B146" s="2979" t="s">
        <v>3243</v>
      </c>
      <c r="C146" s="2979" t="s">
        <v>1326</v>
      </c>
      <c r="D146" s="2979" t="s">
        <v>3239</v>
      </c>
      <c r="E146" s="2979" t="s">
        <v>3224</v>
      </c>
      <c r="F146" s="2979" t="s">
        <v>3166</v>
      </c>
      <c r="G146" s="2979" t="s">
        <v>3167</v>
      </c>
      <c r="H146" s="2979" t="s">
        <v>3409</v>
      </c>
      <c r="I146" s="2979" t="s">
        <v>3555</v>
      </c>
      <c r="J146" s="2979" t="s">
        <v>3556</v>
      </c>
    </row>
    <row r="147" spans="1:10">
      <c r="A147" s="2979" t="s">
        <v>3554</v>
      </c>
      <c r="B147" s="2979" t="s">
        <v>3222</v>
      </c>
      <c r="C147" s="2979" t="s">
        <v>1326</v>
      </c>
      <c r="D147" s="2979" t="s">
        <v>3557</v>
      </c>
      <c r="E147" s="2979" t="s">
        <v>3224</v>
      </c>
      <c r="F147" s="2979" t="s">
        <v>3166</v>
      </c>
      <c r="G147" s="2979" t="s">
        <v>3182</v>
      </c>
      <c r="H147" s="2979" t="s">
        <v>3183</v>
      </c>
      <c r="I147" s="2979" t="s">
        <v>3430</v>
      </c>
      <c r="J147" s="2979" t="s">
        <v>3391</v>
      </c>
    </row>
    <row r="148" spans="1:10">
      <c r="A148" s="2979" t="s">
        <v>3558</v>
      </c>
      <c r="B148" s="2979" t="s">
        <v>3171</v>
      </c>
      <c r="C148" s="2979" t="s">
        <v>1326</v>
      </c>
      <c r="D148" s="2979" t="s">
        <v>3557</v>
      </c>
      <c r="E148" s="2979" t="s">
        <v>3224</v>
      </c>
      <c r="F148" s="2979" t="s">
        <v>3166</v>
      </c>
      <c r="G148" s="2979" t="s">
        <v>3182</v>
      </c>
      <c r="H148" s="2979" t="s">
        <v>3183</v>
      </c>
      <c r="I148" s="2979" t="s">
        <v>3541</v>
      </c>
      <c r="J148" s="2979" t="s">
        <v>3542</v>
      </c>
    </row>
    <row r="149" spans="1:10">
      <c r="A149" s="2979" t="s">
        <v>3559</v>
      </c>
      <c r="B149" s="2979" t="s">
        <v>3163</v>
      </c>
      <c r="C149" s="2979" t="s">
        <v>1326</v>
      </c>
      <c r="D149" s="2979" t="s">
        <v>3560</v>
      </c>
      <c r="E149" s="2979" t="s">
        <v>3224</v>
      </c>
      <c r="F149" s="2979" t="s">
        <v>3166</v>
      </c>
      <c r="G149" s="2979" t="s">
        <v>3182</v>
      </c>
      <c r="H149" s="2979" t="s">
        <v>3248</v>
      </c>
      <c r="I149" s="2979" t="s">
        <v>3353</v>
      </c>
      <c r="J149" s="2979" t="s">
        <v>3314</v>
      </c>
    </row>
    <row r="150" spans="1:10">
      <c r="A150" s="2979" t="s">
        <v>3559</v>
      </c>
      <c r="B150" s="2979" t="s">
        <v>3222</v>
      </c>
      <c r="C150" s="2979" t="s">
        <v>1326</v>
      </c>
      <c r="D150" s="2979" t="s">
        <v>3561</v>
      </c>
      <c r="E150" s="2979" t="s">
        <v>3224</v>
      </c>
      <c r="F150" s="2979" t="s">
        <v>3166</v>
      </c>
      <c r="G150" s="2979" t="s">
        <v>3182</v>
      </c>
      <c r="H150" s="2979" t="s">
        <v>3183</v>
      </c>
      <c r="I150" s="2979" t="s">
        <v>3385</v>
      </c>
      <c r="J150" s="2979" t="s">
        <v>3229</v>
      </c>
    </row>
    <row r="151" spans="1:10">
      <c r="A151" s="2979" t="s">
        <v>3562</v>
      </c>
      <c r="B151" s="2979" t="s">
        <v>3163</v>
      </c>
      <c r="C151" s="2979" t="s">
        <v>1326</v>
      </c>
      <c r="D151" s="2979" t="s">
        <v>3327</v>
      </c>
      <c r="E151" s="2979" t="s">
        <v>3224</v>
      </c>
      <c r="F151" s="2979" t="s">
        <v>3166</v>
      </c>
      <c r="G151" s="2979" t="s">
        <v>3182</v>
      </c>
      <c r="H151" s="2979" t="s">
        <v>3248</v>
      </c>
      <c r="I151" s="2979" t="s">
        <v>3563</v>
      </c>
      <c r="J151" s="2979" t="s">
        <v>3564</v>
      </c>
    </row>
    <row r="152" spans="1:10">
      <c r="A152" s="2979" t="s">
        <v>3565</v>
      </c>
      <c r="B152" s="2979" t="s">
        <v>3171</v>
      </c>
      <c r="C152" s="2979" t="s">
        <v>1326</v>
      </c>
      <c r="D152" s="2979" t="s">
        <v>3285</v>
      </c>
      <c r="E152" s="2979" t="s">
        <v>3224</v>
      </c>
      <c r="F152" s="2979" t="s">
        <v>3166</v>
      </c>
      <c r="G152" s="2979" t="s">
        <v>3182</v>
      </c>
      <c r="H152" s="2979" t="s">
        <v>3183</v>
      </c>
      <c r="I152" s="2979" t="s">
        <v>3566</v>
      </c>
      <c r="J152" s="2979" t="s">
        <v>3567</v>
      </c>
    </row>
    <row r="153" spans="1:10">
      <c r="A153" s="2979" t="s">
        <v>3565</v>
      </c>
      <c r="B153" s="2979" t="s">
        <v>3222</v>
      </c>
      <c r="C153" s="2979" t="s">
        <v>1326</v>
      </c>
      <c r="D153" s="2979" t="s">
        <v>3495</v>
      </c>
      <c r="E153" s="2979" t="s">
        <v>3224</v>
      </c>
      <c r="F153" s="2979" t="s">
        <v>3166</v>
      </c>
      <c r="G153" s="2979" t="s">
        <v>3182</v>
      </c>
      <c r="H153" s="2979" t="s">
        <v>3183</v>
      </c>
      <c r="I153" s="2979" t="s">
        <v>3430</v>
      </c>
      <c r="J153" s="2979" t="s">
        <v>3391</v>
      </c>
    </row>
    <row r="154" spans="1:10">
      <c r="A154" s="2979" t="s">
        <v>3568</v>
      </c>
      <c r="B154" s="2979" t="s">
        <v>3171</v>
      </c>
      <c r="C154" s="2979" t="s">
        <v>1326</v>
      </c>
      <c r="D154" s="2979" t="s">
        <v>3527</v>
      </c>
      <c r="E154" s="2979" t="s">
        <v>3224</v>
      </c>
      <c r="F154" s="2979" t="s">
        <v>3166</v>
      </c>
      <c r="G154" s="2979" t="s">
        <v>3182</v>
      </c>
      <c r="H154" s="2979" t="s">
        <v>3183</v>
      </c>
      <c r="I154" s="2979" t="s">
        <v>3569</v>
      </c>
      <c r="J154" s="2979" t="s">
        <v>3547</v>
      </c>
    </row>
    <row r="155" spans="1:10">
      <c r="A155" s="2979" t="s">
        <v>3570</v>
      </c>
      <c r="B155" s="2979" t="s">
        <v>3238</v>
      </c>
      <c r="C155" s="2979" t="s">
        <v>1326</v>
      </c>
      <c r="D155" s="2979" t="s">
        <v>3571</v>
      </c>
      <c r="E155" s="2979" t="s">
        <v>3224</v>
      </c>
      <c r="F155" s="2979" t="s">
        <v>3166</v>
      </c>
      <c r="G155" s="2979" t="s">
        <v>3182</v>
      </c>
      <c r="H155" s="2979" t="s">
        <v>3183</v>
      </c>
      <c r="I155" s="2979" t="s">
        <v>3572</v>
      </c>
      <c r="J155" s="2979" t="s">
        <v>3573</v>
      </c>
    </row>
    <row r="156" spans="1:10">
      <c r="A156" s="2979" t="s">
        <v>3574</v>
      </c>
      <c r="B156" s="2979" t="s">
        <v>3252</v>
      </c>
      <c r="C156" s="2979" t="s">
        <v>1326</v>
      </c>
      <c r="D156" s="2979" t="s">
        <v>3575</v>
      </c>
      <c r="E156" s="2979" t="s">
        <v>3224</v>
      </c>
      <c r="F156" s="2979" t="s">
        <v>3166</v>
      </c>
      <c r="G156" s="2979" t="s">
        <v>3278</v>
      </c>
      <c r="H156" s="2979" t="s">
        <v>3576</v>
      </c>
      <c r="I156" s="2979" t="s">
        <v>3577</v>
      </c>
      <c r="J156" s="2979" t="s">
        <v>3578</v>
      </c>
    </row>
    <row r="157" spans="1:10">
      <c r="A157" s="2979" t="s">
        <v>3579</v>
      </c>
      <c r="B157" s="2979" t="s">
        <v>3252</v>
      </c>
      <c r="C157" s="2979" t="s">
        <v>1326</v>
      </c>
      <c r="D157" s="2979" t="s">
        <v>3580</v>
      </c>
      <c r="E157" s="2979" t="s">
        <v>3224</v>
      </c>
      <c r="F157" s="2979" t="s">
        <v>3166</v>
      </c>
      <c r="G157" s="2979" t="s">
        <v>3278</v>
      </c>
      <c r="H157" s="2979" t="s">
        <v>3496</v>
      </c>
      <c r="I157" s="2979" t="s">
        <v>3506</v>
      </c>
      <c r="J157" s="2979" t="s">
        <v>3507</v>
      </c>
    </row>
    <row r="158" spans="1:10">
      <c r="A158" s="2979" t="s">
        <v>3581</v>
      </c>
      <c r="B158" s="2979" t="s">
        <v>3252</v>
      </c>
      <c r="C158" s="2979" t="s">
        <v>1326</v>
      </c>
      <c r="D158" s="2979" t="s">
        <v>3551</v>
      </c>
      <c r="E158" s="2979" t="s">
        <v>3224</v>
      </c>
      <c r="F158" s="2979" t="s">
        <v>3166</v>
      </c>
      <c r="G158" s="2979" t="s">
        <v>3278</v>
      </c>
      <c r="H158" s="2979" t="s">
        <v>3279</v>
      </c>
      <c r="I158" s="2979" t="s">
        <v>3582</v>
      </c>
      <c r="J158" s="2979" t="s">
        <v>3583</v>
      </c>
    </row>
    <row r="159" spans="1:10">
      <c r="A159" s="2979" t="s">
        <v>3584</v>
      </c>
      <c r="B159" s="2979" t="s">
        <v>3171</v>
      </c>
      <c r="C159" s="2979" t="s">
        <v>1326</v>
      </c>
      <c r="D159" s="2979" t="s">
        <v>3282</v>
      </c>
      <c r="E159" s="2979" t="s">
        <v>3224</v>
      </c>
      <c r="F159" s="2979" t="s">
        <v>3166</v>
      </c>
      <c r="G159" s="2979" t="s">
        <v>3182</v>
      </c>
      <c r="H159" s="2979" t="s">
        <v>3183</v>
      </c>
      <c r="I159" s="2979" t="s">
        <v>3274</v>
      </c>
      <c r="J159" s="2979" t="s">
        <v>3275</v>
      </c>
    </row>
    <row r="160" spans="1:10">
      <c r="A160" s="2979" t="s">
        <v>3585</v>
      </c>
      <c r="B160" s="2979" t="s">
        <v>3163</v>
      </c>
      <c r="C160" s="2979" t="s">
        <v>1326</v>
      </c>
      <c r="D160" s="2979" t="s">
        <v>3231</v>
      </c>
      <c r="E160" s="2979" t="s">
        <v>3224</v>
      </c>
      <c r="F160" s="2979" t="s">
        <v>3166</v>
      </c>
      <c r="G160" s="2979" t="s">
        <v>3182</v>
      </c>
      <c r="H160" s="2979" t="s">
        <v>3248</v>
      </c>
      <c r="I160" s="2979" t="s">
        <v>3586</v>
      </c>
      <c r="J160" s="2979" t="s">
        <v>3587</v>
      </c>
    </row>
    <row r="161" spans="1:10">
      <c r="A161" s="2979" t="s">
        <v>3588</v>
      </c>
      <c r="B161" s="2979" t="s">
        <v>3163</v>
      </c>
      <c r="C161" s="2979" t="s">
        <v>1326</v>
      </c>
      <c r="D161" s="2979" t="s">
        <v>3561</v>
      </c>
      <c r="E161" s="2979" t="s">
        <v>3224</v>
      </c>
      <c r="F161" s="2979" t="s">
        <v>3166</v>
      </c>
      <c r="G161" s="2979" t="s">
        <v>3182</v>
      </c>
      <c r="H161" s="2979" t="s">
        <v>3248</v>
      </c>
      <c r="I161" s="2979" t="s">
        <v>3589</v>
      </c>
      <c r="J161" s="2979" t="s">
        <v>3564</v>
      </c>
    </row>
    <row r="162" spans="1:10">
      <c r="A162" s="2979" t="s">
        <v>3590</v>
      </c>
      <c r="B162" s="2979" t="s">
        <v>3171</v>
      </c>
      <c r="C162" s="2979" t="s">
        <v>1326</v>
      </c>
      <c r="D162" s="2979" t="s">
        <v>3495</v>
      </c>
      <c r="E162" s="2979" t="s">
        <v>3224</v>
      </c>
      <c r="F162" s="2979" t="s">
        <v>3166</v>
      </c>
      <c r="G162" s="2979" t="s">
        <v>3182</v>
      </c>
      <c r="H162" s="2979" t="s">
        <v>3183</v>
      </c>
      <c r="I162" s="2979" t="s">
        <v>3538</v>
      </c>
      <c r="J162" s="2979" t="s">
        <v>3539</v>
      </c>
    </row>
    <row r="163" spans="1:10">
      <c r="A163" s="2979" t="s">
        <v>3590</v>
      </c>
      <c r="B163" s="2979" t="s">
        <v>3252</v>
      </c>
      <c r="C163" s="2979" t="s">
        <v>1326</v>
      </c>
      <c r="D163" s="2979" t="s">
        <v>3591</v>
      </c>
      <c r="E163" s="2979" t="s">
        <v>3224</v>
      </c>
      <c r="F163" s="2979" t="s">
        <v>3166</v>
      </c>
      <c r="G163" s="2979" t="s">
        <v>3278</v>
      </c>
      <c r="H163" s="2979" t="s">
        <v>3279</v>
      </c>
      <c r="I163" s="2979" t="s">
        <v>3592</v>
      </c>
      <c r="J163" s="2979" t="s">
        <v>3593</v>
      </c>
    </row>
    <row r="164" spans="1:10">
      <c r="A164" s="2979" t="s">
        <v>3590</v>
      </c>
      <c r="B164" s="2979" t="s">
        <v>3163</v>
      </c>
      <c r="C164" s="2979" t="s">
        <v>1326</v>
      </c>
      <c r="D164" s="2979" t="s">
        <v>3244</v>
      </c>
      <c r="E164" s="2979" t="s">
        <v>3224</v>
      </c>
      <c r="F164" s="2979" t="s">
        <v>3166</v>
      </c>
      <c r="G164" s="2979" t="s">
        <v>3182</v>
      </c>
      <c r="H164" s="2979" t="s">
        <v>3248</v>
      </c>
      <c r="I164" s="2979" t="s">
        <v>3356</v>
      </c>
      <c r="J164" s="2979" t="s">
        <v>3357</v>
      </c>
    </row>
    <row r="165" spans="1:10">
      <c r="A165" s="2979" t="s">
        <v>3594</v>
      </c>
      <c r="B165" s="2979" t="s">
        <v>3171</v>
      </c>
      <c r="C165" s="2979" t="s">
        <v>1326</v>
      </c>
      <c r="D165" s="2979" t="s">
        <v>3595</v>
      </c>
      <c r="E165" s="2979" t="s">
        <v>3224</v>
      </c>
      <c r="F165" s="2979" t="s">
        <v>3166</v>
      </c>
      <c r="G165" s="2979" t="s">
        <v>3182</v>
      </c>
      <c r="H165" s="2979" t="s">
        <v>3211</v>
      </c>
      <c r="I165" s="2979" t="s">
        <v>3596</v>
      </c>
      <c r="J165" s="2979" t="s">
        <v>3597</v>
      </c>
    </row>
    <row r="166" spans="1:10">
      <c r="A166" s="2979" t="s">
        <v>3598</v>
      </c>
      <c r="B166" s="2979" t="s">
        <v>3171</v>
      </c>
      <c r="C166" s="2979" t="s">
        <v>1326</v>
      </c>
      <c r="D166" s="2979" t="s">
        <v>3560</v>
      </c>
      <c r="E166" s="2979" t="s">
        <v>3224</v>
      </c>
      <c r="F166" s="2979" t="s">
        <v>3166</v>
      </c>
      <c r="G166" s="2979" t="s">
        <v>3182</v>
      </c>
      <c r="H166" s="2979" t="s">
        <v>3183</v>
      </c>
      <c r="I166" s="2979" t="s">
        <v>3599</v>
      </c>
      <c r="J166" s="2979" t="s">
        <v>3600</v>
      </c>
    </row>
    <row r="167" spans="1:10">
      <c r="A167" s="2979" t="s">
        <v>3601</v>
      </c>
      <c r="B167" s="2979" t="s">
        <v>3171</v>
      </c>
      <c r="C167" s="2979" t="s">
        <v>1326</v>
      </c>
      <c r="D167" s="2979" t="s">
        <v>3227</v>
      </c>
      <c r="E167" s="2979" t="s">
        <v>3224</v>
      </c>
      <c r="F167" s="2979" t="s">
        <v>3166</v>
      </c>
      <c r="G167" s="2979" t="s">
        <v>3182</v>
      </c>
      <c r="H167" s="2979" t="s">
        <v>3183</v>
      </c>
      <c r="I167" s="2979" t="s">
        <v>3602</v>
      </c>
      <c r="J167" s="2979" t="s">
        <v>3603</v>
      </c>
    </row>
    <row r="168" spans="1:10">
      <c r="A168" s="2979" t="s">
        <v>3601</v>
      </c>
      <c r="B168" s="2979" t="s">
        <v>3243</v>
      </c>
      <c r="C168" s="2979" t="s">
        <v>1326</v>
      </c>
      <c r="D168" s="2979" t="s">
        <v>3604</v>
      </c>
      <c r="E168" s="2979" t="s">
        <v>3224</v>
      </c>
      <c r="F168" s="2979" t="s">
        <v>3166</v>
      </c>
      <c r="G168" s="2979" t="s">
        <v>3278</v>
      </c>
      <c r="H168" s="2979" t="s">
        <v>3279</v>
      </c>
      <c r="I168" s="2979" t="s">
        <v>3605</v>
      </c>
      <c r="J168" s="2979" t="s">
        <v>3606</v>
      </c>
    </row>
    <row r="169" spans="1:10">
      <c r="A169" s="2979" t="s">
        <v>3607</v>
      </c>
      <c r="B169" s="2979" t="s">
        <v>3238</v>
      </c>
      <c r="C169" s="2979" t="s">
        <v>1326</v>
      </c>
      <c r="D169" s="2979" t="s">
        <v>3478</v>
      </c>
      <c r="E169" s="2979" t="s">
        <v>3224</v>
      </c>
      <c r="F169" s="2979" t="s">
        <v>3166</v>
      </c>
      <c r="G169" s="2979" t="s">
        <v>3295</v>
      </c>
      <c r="H169" s="2979" t="s">
        <v>3296</v>
      </c>
      <c r="I169" s="2979" t="s">
        <v>3608</v>
      </c>
      <c r="J169" s="2979" t="s">
        <v>3609</v>
      </c>
    </row>
    <row r="170" spans="1:10">
      <c r="A170" s="2979" t="s">
        <v>3610</v>
      </c>
      <c r="B170" s="2979" t="s">
        <v>3260</v>
      </c>
      <c r="C170" s="2979" t="s">
        <v>1326</v>
      </c>
      <c r="D170" s="2979" t="s">
        <v>3561</v>
      </c>
      <c r="E170" s="2979" t="s">
        <v>3224</v>
      </c>
      <c r="F170" s="2979" t="s">
        <v>3166</v>
      </c>
      <c r="G170" s="2979" t="s">
        <v>3182</v>
      </c>
      <c r="H170" s="2979" t="s">
        <v>3183</v>
      </c>
      <c r="I170" s="2979" t="s">
        <v>3611</v>
      </c>
      <c r="J170" s="2979" t="s">
        <v>3612</v>
      </c>
    </row>
    <row r="171" spans="1:10">
      <c r="A171" s="2979" t="s">
        <v>3610</v>
      </c>
      <c r="B171" s="2979" t="s">
        <v>3252</v>
      </c>
      <c r="C171" s="2979" t="s">
        <v>1326</v>
      </c>
      <c r="D171" s="2979" t="s">
        <v>3613</v>
      </c>
      <c r="E171" s="2979" t="s">
        <v>3224</v>
      </c>
      <c r="F171" s="2979" t="s">
        <v>3166</v>
      </c>
      <c r="G171" s="2979" t="s">
        <v>3278</v>
      </c>
      <c r="H171" s="2979" t="s">
        <v>3614</v>
      </c>
      <c r="I171" s="2979" t="s">
        <v>3615</v>
      </c>
      <c r="J171" s="2979" t="s">
        <v>3616</v>
      </c>
    </row>
    <row r="172" spans="1:10">
      <c r="A172" s="2979" t="s">
        <v>3610</v>
      </c>
      <c r="B172" s="2979" t="s">
        <v>3171</v>
      </c>
      <c r="C172" s="2979" t="s">
        <v>1326</v>
      </c>
      <c r="D172" s="2979" t="s">
        <v>3617</v>
      </c>
      <c r="E172" s="2979" t="s">
        <v>3224</v>
      </c>
      <c r="F172" s="2979" t="s">
        <v>3166</v>
      </c>
      <c r="G172" s="2979" t="s">
        <v>3182</v>
      </c>
      <c r="H172" s="2979" t="s">
        <v>3211</v>
      </c>
      <c r="I172" s="2979" t="s">
        <v>3618</v>
      </c>
      <c r="J172" s="2979" t="s">
        <v>3619</v>
      </c>
    </row>
    <row r="173" spans="1:10">
      <c r="A173" s="2979" t="s">
        <v>3610</v>
      </c>
      <c r="B173" s="2979" t="s">
        <v>3252</v>
      </c>
      <c r="C173" s="2979" t="s">
        <v>1326</v>
      </c>
      <c r="D173" s="2979" t="s">
        <v>3340</v>
      </c>
      <c r="E173" s="2979" t="s">
        <v>3224</v>
      </c>
      <c r="F173" s="2979" t="s">
        <v>3166</v>
      </c>
      <c r="G173" s="2979" t="s">
        <v>3278</v>
      </c>
      <c r="H173" s="2979" t="s">
        <v>3496</v>
      </c>
      <c r="I173" s="2979" t="s">
        <v>3620</v>
      </c>
      <c r="J173" s="2979" t="s">
        <v>3621</v>
      </c>
    </row>
    <row r="174" spans="1:10">
      <c r="A174" s="2979" t="s">
        <v>3622</v>
      </c>
      <c r="B174" s="2979" t="s">
        <v>3222</v>
      </c>
      <c r="C174" s="2979" t="s">
        <v>1326</v>
      </c>
      <c r="D174" s="2979" t="s">
        <v>3560</v>
      </c>
      <c r="E174" s="2979" t="s">
        <v>3224</v>
      </c>
      <c r="F174" s="2979" t="s">
        <v>3166</v>
      </c>
      <c r="G174" s="2979" t="s">
        <v>3182</v>
      </c>
      <c r="H174" s="2979" t="s">
        <v>3183</v>
      </c>
      <c r="I174" s="2979" t="s">
        <v>3623</v>
      </c>
      <c r="J174" s="2979" t="s">
        <v>3624</v>
      </c>
    </row>
    <row r="175" spans="1:10">
      <c r="A175" s="2979" t="s">
        <v>3625</v>
      </c>
      <c r="B175" s="2979" t="s">
        <v>3252</v>
      </c>
      <c r="C175" s="2979" t="s">
        <v>1326</v>
      </c>
      <c r="D175" s="2979" t="s">
        <v>3626</v>
      </c>
      <c r="E175" s="2979" t="s">
        <v>3224</v>
      </c>
      <c r="F175" s="2979" t="s">
        <v>3166</v>
      </c>
      <c r="G175" s="2979" t="s">
        <v>3278</v>
      </c>
      <c r="H175" s="2979" t="s">
        <v>3432</v>
      </c>
      <c r="I175" s="2979" t="s">
        <v>3627</v>
      </c>
      <c r="J175" s="2979" t="s">
        <v>3628</v>
      </c>
    </row>
    <row r="176" spans="1:10">
      <c r="A176" s="2979" t="s">
        <v>3629</v>
      </c>
      <c r="B176" s="2979" t="s">
        <v>3252</v>
      </c>
      <c r="C176" s="2979" t="s">
        <v>1326</v>
      </c>
      <c r="D176" s="2979" t="s">
        <v>3630</v>
      </c>
      <c r="E176" s="2979" t="s">
        <v>3224</v>
      </c>
      <c r="F176" s="2979" t="s">
        <v>3166</v>
      </c>
      <c r="G176" s="2979" t="s">
        <v>3278</v>
      </c>
      <c r="H176" s="2979" t="s">
        <v>3432</v>
      </c>
      <c r="I176" s="2979" t="s">
        <v>3631</v>
      </c>
      <c r="J176" s="2979" t="s">
        <v>3632</v>
      </c>
    </row>
    <row r="177" spans="1:10">
      <c r="A177" s="2979" t="s">
        <v>3633</v>
      </c>
      <c r="B177" s="2979" t="s">
        <v>3243</v>
      </c>
      <c r="C177" s="2979" t="s">
        <v>1326</v>
      </c>
      <c r="D177" s="2979" t="s">
        <v>3634</v>
      </c>
      <c r="E177" s="2979" t="s">
        <v>3224</v>
      </c>
      <c r="F177" s="2979" t="s">
        <v>3166</v>
      </c>
      <c r="G177" s="2979" t="s">
        <v>3278</v>
      </c>
      <c r="H177" s="2979" t="s">
        <v>3446</v>
      </c>
      <c r="I177" s="2979" t="s">
        <v>3635</v>
      </c>
      <c r="J177" s="2979" t="s">
        <v>3636</v>
      </c>
    </row>
    <row r="178" spans="1:10">
      <c r="A178" s="2979" t="s">
        <v>3633</v>
      </c>
      <c r="B178" s="2979" t="s">
        <v>3171</v>
      </c>
      <c r="C178" s="2979" t="s">
        <v>1326</v>
      </c>
      <c r="D178" s="2979" t="s">
        <v>3637</v>
      </c>
      <c r="E178" s="2979" t="s">
        <v>3224</v>
      </c>
      <c r="F178" s="2979" t="s">
        <v>3166</v>
      </c>
      <c r="G178" s="2979" t="s">
        <v>3182</v>
      </c>
      <c r="H178" s="2979" t="s">
        <v>3183</v>
      </c>
      <c r="I178" s="2979" t="s">
        <v>3638</v>
      </c>
      <c r="J178" s="2979" t="s">
        <v>3639</v>
      </c>
    </row>
    <row r="179" spans="1:10">
      <c r="A179" s="2979" t="s">
        <v>3640</v>
      </c>
      <c r="B179" s="2979" t="s">
        <v>3252</v>
      </c>
      <c r="C179" s="2979" t="s">
        <v>1326</v>
      </c>
      <c r="D179" s="2979" t="s">
        <v>3641</v>
      </c>
      <c r="E179" s="2979" t="s">
        <v>3224</v>
      </c>
      <c r="F179" s="2979" t="s">
        <v>3166</v>
      </c>
      <c r="G179" s="2979" t="s">
        <v>3278</v>
      </c>
      <c r="H179" s="2979" t="s">
        <v>3576</v>
      </c>
      <c r="I179" s="2979" t="s">
        <v>3642</v>
      </c>
      <c r="J179" s="2979" t="s">
        <v>3643</v>
      </c>
    </row>
    <row r="180" spans="1:10">
      <c r="A180" s="2979" t="s">
        <v>3640</v>
      </c>
      <c r="B180" s="2979" t="s">
        <v>3243</v>
      </c>
      <c r="C180" s="2979" t="s">
        <v>1326</v>
      </c>
      <c r="D180" s="2979" t="s">
        <v>3644</v>
      </c>
      <c r="E180" s="2979" t="s">
        <v>3224</v>
      </c>
      <c r="F180" s="2979" t="s">
        <v>3166</v>
      </c>
      <c r="G180" s="2979" t="s">
        <v>3278</v>
      </c>
      <c r="H180" s="2979" t="s">
        <v>3446</v>
      </c>
      <c r="I180" s="2979" t="s">
        <v>3635</v>
      </c>
      <c r="J180" s="2979" t="s">
        <v>3636</v>
      </c>
    </row>
    <row r="181" spans="1:10">
      <c r="A181" s="2979" t="s">
        <v>3645</v>
      </c>
      <c r="B181" s="2979" t="s">
        <v>3260</v>
      </c>
      <c r="C181" s="2979" t="s">
        <v>1326</v>
      </c>
      <c r="D181" s="2979" t="s">
        <v>3646</v>
      </c>
      <c r="E181" s="2979" t="s">
        <v>3224</v>
      </c>
      <c r="F181" s="2979" t="s">
        <v>3166</v>
      </c>
      <c r="G181" s="2979" t="s">
        <v>3182</v>
      </c>
      <c r="H181" s="2979" t="s">
        <v>3183</v>
      </c>
      <c r="I181" s="2979" t="s">
        <v>3647</v>
      </c>
      <c r="J181" s="2979" t="s">
        <v>3648</v>
      </c>
    </row>
    <row r="182" spans="1:10">
      <c r="A182" s="2979" t="s">
        <v>3649</v>
      </c>
      <c r="B182" s="2979" t="s">
        <v>3171</v>
      </c>
      <c r="C182" s="2979" t="s">
        <v>1326</v>
      </c>
      <c r="D182" s="2979" t="s">
        <v>3300</v>
      </c>
      <c r="E182" s="2979" t="s">
        <v>3224</v>
      </c>
      <c r="F182" s="2979" t="s">
        <v>3166</v>
      </c>
      <c r="G182" s="2979" t="s">
        <v>3182</v>
      </c>
      <c r="H182" s="2979" t="s">
        <v>3183</v>
      </c>
      <c r="I182" s="2979" t="s">
        <v>3650</v>
      </c>
      <c r="J182" s="2979" t="s">
        <v>3651</v>
      </c>
    </row>
    <row r="183" spans="1:10">
      <c r="A183" s="2979" t="s">
        <v>3649</v>
      </c>
      <c r="B183" s="2979" t="s">
        <v>3163</v>
      </c>
      <c r="C183" s="2979" t="s">
        <v>1326</v>
      </c>
      <c r="D183" s="2979" t="s">
        <v>3508</v>
      </c>
      <c r="E183" s="2979" t="s">
        <v>3224</v>
      </c>
      <c r="F183" s="2979" t="s">
        <v>3166</v>
      </c>
      <c r="G183" s="2979" t="s">
        <v>3182</v>
      </c>
      <c r="H183" s="2979" t="s">
        <v>3248</v>
      </c>
      <c r="I183" s="2979" t="s">
        <v>3652</v>
      </c>
      <c r="J183" s="2979" t="s">
        <v>3522</v>
      </c>
    </row>
    <row r="184" spans="1:10">
      <c r="A184" s="2979" t="s">
        <v>3653</v>
      </c>
      <c r="B184" s="2979" t="s">
        <v>3252</v>
      </c>
      <c r="C184" s="2979" t="s">
        <v>1326</v>
      </c>
      <c r="D184" s="2979" t="s">
        <v>3327</v>
      </c>
      <c r="E184" s="2979" t="s">
        <v>3224</v>
      </c>
      <c r="F184" s="2979" t="s">
        <v>3166</v>
      </c>
      <c r="G184" s="2979" t="s">
        <v>3278</v>
      </c>
      <c r="H184" s="2979" t="s">
        <v>3496</v>
      </c>
      <c r="I184" s="2979" t="s">
        <v>3654</v>
      </c>
      <c r="J184" s="2979" t="s">
        <v>3655</v>
      </c>
    </row>
    <row r="185" spans="1:10">
      <c r="A185" s="2979" t="s">
        <v>3656</v>
      </c>
      <c r="B185" s="2979" t="s">
        <v>3171</v>
      </c>
      <c r="C185" s="2979" t="s">
        <v>1326</v>
      </c>
      <c r="D185" s="2979" t="s">
        <v>3323</v>
      </c>
      <c r="E185" s="2979" t="s">
        <v>3224</v>
      </c>
      <c r="F185" s="2979" t="s">
        <v>3166</v>
      </c>
      <c r="G185" s="2979" t="s">
        <v>3182</v>
      </c>
      <c r="H185" s="2979" t="s">
        <v>3183</v>
      </c>
      <c r="I185" s="2979" t="s">
        <v>3538</v>
      </c>
      <c r="J185" s="2979" t="s">
        <v>3539</v>
      </c>
    </row>
    <row r="186" spans="1:10">
      <c r="A186" s="2979" t="s">
        <v>3656</v>
      </c>
      <c r="B186" s="2979" t="s">
        <v>3163</v>
      </c>
      <c r="C186" s="2979" t="s">
        <v>1326</v>
      </c>
      <c r="D186" s="2979" t="s">
        <v>3505</v>
      </c>
      <c r="E186" s="2979" t="s">
        <v>3224</v>
      </c>
      <c r="F186" s="2979" t="s">
        <v>3166</v>
      </c>
      <c r="G186" s="2979" t="s">
        <v>3182</v>
      </c>
      <c r="H186" s="2979" t="s">
        <v>3248</v>
      </c>
      <c r="I186" s="2979" t="s">
        <v>3460</v>
      </c>
      <c r="J186" s="2979" t="s">
        <v>3376</v>
      </c>
    </row>
    <row r="187" spans="1:10">
      <c r="A187" s="2979" t="s">
        <v>3657</v>
      </c>
      <c r="B187" s="2979" t="s">
        <v>3222</v>
      </c>
      <c r="C187" s="2979" t="s">
        <v>1326</v>
      </c>
      <c r="D187" s="2979" t="s">
        <v>3520</v>
      </c>
      <c r="E187" s="2979" t="s">
        <v>3224</v>
      </c>
      <c r="F187" s="2979" t="s">
        <v>3166</v>
      </c>
      <c r="G187" s="2979" t="s">
        <v>3182</v>
      </c>
      <c r="H187" s="2979" t="s">
        <v>3183</v>
      </c>
      <c r="I187" s="2979" t="s">
        <v>3658</v>
      </c>
      <c r="J187" s="2979" t="s">
        <v>3659</v>
      </c>
    </row>
    <row r="188" spans="1:10">
      <c r="A188" s="2979" t="s">
        <v>3660</v>
      </c>
      <c r="B188" s="2979" t="s">
        <v>3171</v>
      </c>
      <c r="C188" s="2979" t="s">
        <v>1326</v>
      </c>
      <c r="D188" s="2979" t="s">
        <v>3661</v>
      </c>
      <c r="E188" s="2979" t="s">
        <v>3224</v>
      </c>
      <c r="F188" s="2979" t="s">
        <v>3166</v>
      </c>
      <c r="G188" s="2979" t="s">
        <v>3182</v>
      </c>
      <c r="H188" s="2979" t="s">
        <v>3248</v>
      </c>
      <c r="I188" s="2979" t="s">
        <v>3662</v>
      </c>
      <c r="J188" s="2979" t="s">
        <v>3663</v>
      </c>
    </row>
    <row r="189" spans="1:10">
      <c r="A189" s="2979" t="s">
        <v>3664</v>
      </c>
      <c r="B189" s="2979" t="s">
        <v>3252</v>
      </c>
      <c r="C189" s="2979" t="s">
        <v>1326</v>
      </c>
      <c r="D189" s="2979" t="s">
        <v>1326</v>
      </c>
      <c r="E189" s="2979" t="s">
        <v>3224</v>
      </c>
      <c r="F189" s="2979" t="s">
        <v>3166</v>
      </c>
      <c r="G189" s="2979" t="s">
        <v>3278</v>
      </c>
      <c r="H189" s="2979" t="s">
        <v>3279</v>
      </c>
      <c r="I189" s="2979" t="s">
        <v>3665</v>
      </c>
      <c r="J189" s="2979" t="s">
        <v>3666</v>
      </c>
    </row>
    <row r="190" spans="1:10">
      <c r="A190" s="2979" t="s">
        <v>3664</v>
      </c>
      <c r="B190" s="2979" t="s">
        <v>3171</v>
      </c>
      <c r="C190" s="2979" t="s">
        <v>1326</v>
      </c>
      <c r="D190" s="2979" t="s">
        <v>1326</v>
      </c>
      <c r="E190" s="2979" t="s">
        <v>3224</v>
      </c>
      <c r="F190" s="2979" t="s">
        <v>3166</v>
      </c>
      <c r="G190" s="2979" t="s">
        <v>3182</v>
      </c>
      <c r="H190" s="2979" t="s">
        <v>3211</v>
      </c>
      <c r="I190" s="2979" t="s">
        <v>3667</v>
      </c>
      <c r="J190" s="2979" t="s">
        <v>3668</v>
      </c>
    </row>
    <row r="191" spans="1:10">
      <c r="A191" s="2979" t="s">
        <v>3664</v>
      </c>
      <c r="B191" s="2979" t="s">
        <v>3171</v>
      </c>
      <c r="C191" s="2979" t="s">
        <v>1326</v>
      </c>
      <c r="D191" s="2979" t="s">
        <v>1326</v>
      </c>
      <c r="E191" s="2979" t="s">
        <v>3224</v>
      </c>
      <c r="F191" s="2979" t="s">
        <v>3166</v>
      </c>
      <c r="G191" s="2979" t="s">
        <v>3182</v>
      </c>
      <c r="H191" s="2979" t="s">
        <v>3183</v>
      </c>
      <c r="I191" s="2979" t="s">
        <v>3307</v>
      </c>
      <c r="J191" s="2979" t="s">
        <v>3308</v>
      </c>
    </row>
    <row r="192" spans="1:10">
      <c r="A192" s="2979" t="s">
        <v>3664</v>
      </c>
      <c r="B192" s="2979" t="s">
        <v>3252</v>
      </c>
      <c r="C192" s="2979" t="s">
        <v>1326</v>
      </c>
      <c r="D192" s="2979" t="s">
        <v>1326</v>
      </c>
      <c r="E192" s="2979" t="s">
        <v>3224</v>
      </c>
      <c r="F192" s="2979" t="s">
        <v>3166</v>
      </c>
      <c r="G192" s="2979" t="s">
        <v>3167</v>
      </c>
      <c r="H192" s="2979" t="s">
        <v>3304</v>
      </c>
      <c r="I192" s="2979" t="s">
        <v>3669</v>
      </c>
      <c r="J192" s="2979" t="s">
        <v>3670</v>
      </c>
    </row>
    <row r="193" spans="1:10">
      <c r="A193" s="2979" t="s">
        <v>3671</v>
      </c>
      <c r="B193" s="2979" t="s">
        <v>3171</v>
      </c>
      <c r="C193" s="2979" t="s">
        <v>1326</v>
      </c>
      <c r="D193" s="2979" t="s">
        <v>1326</v>
      </c>
      <c r="E193" s="2979" t="s">
        <v>3224</v>
      </c>
      <c r="F193" s="2979" t="s">
        <v>3166</v>
      </c>
      <c r="G193" s="2979" t="s">
        <v>3182</v>
      </c>
      <c r="H193" s="2979" t="s">
        <v>3183</v>
      </c>
      <c r="I193" s="2979" t="s">
        <v>3672</v>
      </c>
      <c r="J193" s="2979" t="s">
        <v>3673</v>
      </c>
    </row>
    <row r="194" spans="1:10">
      <c r="A194" s="2979" t="s">
        <v>3671</v>
      </c>
      <c r="B194" s="2979" t="s">
        <v>3243</v>
      </c>
      <c r="C194" s="2979" t="s">
        <v>1326</v>
      </c>
      <c r="D194" s="2979" t="s">
        <v>1326</v>
      </c>
      <c r="E194" s="2979" t="s">
        <v>3224</v>
      </c>
      <c r="F194" s="2979" t="s">
        <v>3166</v>
      </c>
      <c r="G194" s="2979" t="s">
        <v>3278</v>
      </c>
      <c r="H194" s="2979" t="s">
        <v>3446</v>
      </c>
      <c r="I194" s="2979" t="s">
        <v>3674</v>
      </c>
      <c r="J194" s="2979" t="s">
        <v>3675</v>
      </c>
    </row>
    <row r="195" spans="1:10">
      <c r="A195" s="2979" t="s">
        <v>3676</v>
      </c>
      <c r="B195" s="2979" t="s">
        <v>3171</v>
      </c>
      <c r="C195" s="2979" t="s">
        <v>1326</v>
      </c>
      <c r="D195" s="2979" t="s">
        <v>1326</v>
      </c>
      <c r="E195" s="2979" t="s">
        <v>3224</v>
      </c>
      <c r="F195" s="2979" t="s">
        <v>3166</v>
      </c>
      <c r="G195" s="2979" t="s">
        <v>3182</v>
      </c>
      <c r="H195" s="2979" t="s">
        <v>3183</v>
      </c>
      <c r="I195" s="2979" t="s">
        <v>3672</v>
      </c>
      <c r="J195" s="2979" t="s">
        <v>3673</v>
      </c>
    </row>
    <row r="196" spans="1:10">
      <c r="A196" s="2979" t="s">
        <v>3676</v>
      </c>
      <c r="B196" s="2979" t="s">
        <v>3252</v>
      </c>
      <c r="C196" s="2979" t="s">
        <v>1326</v>
      </c>
      <c r="D196" s="2979" t="s">
        <v>1326</v>
      </c>
      <c r="E196" s="2979" t="s">
        <v>3224</v>
      </c>
      <c r="F196" s="2979" t="s">
        <v>3166</v>
      </c>
      <c r="G196" s="2979" t="s">
        <v>3278</v>
      </c>
      <c r="H196" s="2979" t="s">
        <v>3432</v>
      </c>
      <c r="I196" s="2979" t="s">
        <v>3677</v>
      </c>
      <c r="J196" s="2979" t="s">
        <v>3678</v>
      </c>
    </row>
    <row r="197" spans="1:10">
      <c r="A197" s="2979" t="s">
        <v>3679</v>
      </c>
      <c r="B197" s="2979" t="s">
        <v>3171</v>
      </c>
      <c r="C197" s="2979" t="s">
        <v>1326</v>
      </c>
      <c r="D197" s="2979" t="s">
        <v>1326</v>
      </c>
      <c r="E197" s="2979" t="s">
        <v>3224</v>
      </c>
      <c r="F197" s="2979" t="s">
        <v>3166</v>
      </c>
      <c r="G197" s="2979" t="s">
        <v>3182</v>
      </c>
      <c r="H197" s="2979" t="s">
        <v>3365</v>
      </c>
      <c r="I197" s="2979" t="s">
        <v>3680</v>
      </c>
      <c r="J197" s="2979" t="s">
        <v>3681</v>
      </c>
    </row>
    <row r="198" spans="1:10">
      <c r="A198" s="2979" t="s">
        <v>3679</v>
      </c>
      <c r="B198" s="2979" t="s">
        <v>3252</v>
      </c>
      <c r="C198" s="2979" t="s">
        <v>1326</v>
      </c>
      <c r="D198" s="2979" t="s">
        <v>1326</v>
      </c>
      <c r="E198" s="2979" t="s">
        <v>3224</v>
      </c>
      <c r="F198" s="2979" t="s">
        <v>3166</v>
      </c>
      <c r="G198" s="2979" t="s">
        <v>3278</v>
      </c>
      <c r="H198" s="2979" t="s">
        <v>3496</v>
      </c>
      <c r="I198" s="2979" t="s">
        <v>3682</v>
      </c>
      <c r="J198" s="2979" t="s">
        <v>3683</v>
      </c>
    </row>
    <row r="199" spans="1:10">
      <c r="A199" s="2979" t="s">
        <v>3684</v>
      </c>
      <c r="B199" s="2979" t="s">
        <v>3238</v>
      </c>
      <c r="C199" s="2979" t="s">
        <v>1326</v>
      </c>
      <c r="D199" s="2979" t="s">
        <v>1326</v>
      </c>
      <c r="E199" s="2979" t="s">
        <v>3224</v>
      </c>
      <c r="F199" s="2979" t="s">
        <v>3166</v>
      </c>
      <c r="G199" s="2979" t="s">
        <v>3295</v>
      </c>
      <c r="H199" s="2979" t="s">
        <v>3296</v>
      </c>
      <c r="I199" s="2979" t="s">
        <v>3685</v>
      </c>
      <c r="J199" s="2979" t="s">
        <v>3686</v>
      </c>
    </row>
    <row r="200" spans="1:10">
      <c r="A200" s="2979" t="s">
        <v>3687</v>
      </c>
      <c r="B200" s="2979" t="s">
        <v>3171</v>
      </c>
      <c r="C200" s="2979" t="s">
        <v>1326</v>
      </c>
      <c r="D200" s="2979" t="s">
        <v>1326</v>
      </c>
      <c r="E200" s="2979" t="s">
        <v>3224</v>
      </c>
      <c r="F200" s="2979" t="s">
        <v>3166</v>
      </c>
      <c r="G200" s="2979" t="s">
        <v>3182</v>
      </c>
      <c r="H200" s="2979" t="s">
        <v>3183</v>
      </c>
      <c r="I200" s="2979" t="s">
        <v>3688</v>
      </c>
      <c r="J200" s="2979" t="s">
        <v>3689</v>
      </c>
    </row>
    <row r="201" spans="1:10">
      <c r="A201" s="2979" t="s">
        <v>3690</v>
      </c>
      <c r="B201" s="2979" t="s">
        <v>3252</v>
      </c>
      <c r="C201" s="2979" t="s">
        <v>1326</v>
      </c>
      <c r="D201" s="2979" t="s">
        <v>1326</v>
      </c>
      <c r="E201" s="2979" t="s">
        <v>3224</v>
      </c>
      <c r="F201" s="2979" t="s">
        <v>3166</v>
      </c>
      <c r="G201" s="2979" t="s">
        <v>3278</v>
      </c>
      <c r="H201" s="2979" t="s">
        <v>3496</v>
      </c>
      <c r="I201" s="2979" t="s">
        <v>3691</v>
      </c>
      <c r="J201" s="2979" t="s">
        <v>3692</v>
      </c>
    </row>
    <row r="202" spans="1:10">
      <c r="A202" s="2979" t="s">
        <v>3693</v>
      </c>
      <c r="B202" s="2979" t="s">
        <v>3252</v>
      </c>
      <c r="C202" s="2979" t="s">
        <v>1326</v>
      </c>
      <c r="D202" s="2979" t="s">
        <v>1326</v>
      </c>
      <c r="E202" s="2979" t="s">
        <v>3224</v>
      </c>
      <c r="F202" s="2979" t="s">
        <v>3166</v>
      </c>
      <c r="G202" s="2979" t="s">
        <v>3278</v>
      </c>
      <c r="H202" s="2979" t="s">
        <v>3496</v>
      </c>
      <c r="I202" s="2979" t="s">
        <v>3694</v>
      </c>
      <c r="J202" s="2979" t="s">
        <v>3695</v>
      </c>
    </row>
    <row r="203" spans="1:10">
      <c r="A203" s="2979" t="s">
        <v>3696</v>
      </c>
      <c r="B203" s="2979" t="s">
        <v>3163</v>
      </c>
      <c r="C203" s="2979" t="s">
        <v>1326</v>
      </c>
      <c r="D203" s="2979" t="s">
        <v>1326</v>
      </c>
      <c r="E203" s="2979" t="s">
        <v>3224</v>
      </c>
      <c r="F203" s="2979" t="s">
        <v>3166</v>
      </c>
      <c r="G203" s="2979" t="s">
        <v>3182</v>
      </c>
      <c r="H203" s="2979" t="s">
        <v>3248</v>
      </c>
      <c r="I203" s="2979" t="s">
        <v>3697</v>
      </c>
      <c r="J203" s="2979" t="s">
        <v>3518</v>
      </c>
    </row>
    <row r="204" spans="1:10">
      <c r="A204" s="2979" t="s">
        <v>3698</v>
      </c>
      <c r="B204" s="2979" t="s">
        <v>3252</v>
      </c>
      <c r="C204" s="2979" t="s">
        <v>1326</v>
      </c>
      <c r="D204" s="2979" t="s">
        <v>1326</v>
      </c>
      <c r="E204" s="2979" t="s">
        <v>3224</v>
      </c>
      <c r="F204" s="2979" t="s">
        <v>3166</v>
      </c>
      <c r="G204" s="2979" t="s">
        <v>3278</v>
      </c>
      <c r="H204" s="2979" t="s">
        <v>3279</v>
      </c>
      <c r="I204" s="2979" t="s">
        <v>3699</v>
      </c>
      <c r="J204" s="2979" t="s">
        <v>3700</v>
      </c>
    </row>
    <row r="205" spans="1:10">
      <c r="A205" s="2979" t="s">
        <v>3701</v>
      </c>
      <c r="B205" s="2979" t="s">
        <v>3171</v>
      </c>
      <c r="C205" s="2979" t="s">
        <v>1326</v>
      </c>
      <c r="D205" s="2979" t="s">
        <v>1326</v>
      </c>
      <c r="E205" s="2979" t="s">
        <v>3224</v>
      </c>
      <c r="F205" s="2979" t="s">
        <v>3166</v>
      </c>
      <c r="G205" s="2979" t="s">
        <v>3182</v>
      </c>
      <c r="H205" s="2979" t="s">
        <v>3183</v>
      </c>
      <c r="I205" s="2979" t="s">
        <v>3455</v>
      </c>
      <c r="J205" s="2979" t="s">
        <v>3456</v>
      </c>
    </row>
    <row r="206" spans="1:10">
      <c r="A206" s="2979" t="s">
        <v>3701</v>
      </c>
      <c r="B206" s="2979" t="s">
        <v>3222</v>
      </c>
      <c r="C206" s="2979" t="s">
        <v>1326</v>
      </c>
      <c r="D206" s="2979" t="s">
        <v>1326</v>
      </c>
      <c r="E206" s="2979" t="s">
        <v>3224</v>
      </c>
      <c r="F206" s="2979" t="s">
        <v>3166</v>
      </c>
      <c r="G206" s="2979" t="s">
        <v>3182</v>
      </c>
      <c r="H206" s="2979" t="s">
        <v>3183</v>
      </c>
      <c r="I206" s="2979" t="s">
        <v>3702</v>
      </c>
      <c r="J206" s="2979" t="s">
        <v>3703</v>
      </c>
    </row>
    <row r="207" spans="1:10">
      <c r="A207" s="2979" t="s">
        <v>3704</v>
      </c>
      <c r="B207" s="2979" t="s">
        <v>3252</v>
      </c>
      <c r="C207" s="2979" t="s">
        <v>1326</v>
      </c>
      <c r="D207" s="2979" t="s">
        <v>1326</v>
      </c>
      <c r="E207" s="2979" t="s">
        <v>3224</v>
      </c>
      <c r="F207" s="2979" t="s">
        <v>3166</v>
      </c>
      <c r="G207" s="2979" t="s">
        <v>3278</v>
      </c>
      <c r="H207" s="2979" t="s">
        <v>3432</v>
      </c>
      <c r="I207" s="2979" t="s">
        <v>3705</v>
      </c>
      <c r="J207" s="2979" t="s">
        <v>3706</v>
      </c>
    </row>
    <row r="208" spans="1:10">
      <c r="A208" s="2979" t="s">
        <v>3707</v>
      </c>
      <c r="B208" s="2979" t="s">
        <v>3252</v>
      </c>
      <c r="C208" s="2979" t="s">
        <v>1326</v>
      </c>
      <c r="D208" s="2979" t="s">
        <v>1326</v>
      </c>
      <c r="E208" s="2979" t="s">
        <v>3224</v>
      </c>
      <c r="F208" s="2979" t="s">
        <v>3166</v>
      </c>
      <c r="G208" s="2979" t="s">
        <v>3278</v>
      </c>
      <c r="H208" s="2979" t="s">
        <v>3496</v>
      </c>
      <c r="I208" s="2979" t="s">
        <v>3708</v>
      </c>
      <c r="J208" s="2979" t="s">
        <v>3709</v>
      </c>
    </row>
    <row r="209" spans="1:10">
      <c r="A209" s="2979" t="s">
        <v>3707</v>
      </c>
      <c r="B209" s="2979" t="s">
        <v>3222</v>
      </c>
      <c r="C209" s="2979" t="s">
        <v>1326</v>
      </c>
      <c r="D209" s="2979" t="s">
        <v>1326</v>
      </c>
      <c r="E209" s="2979" t="s">
        <v>3224</v>
      </c>
      <c r="F209" s="2979" t="s">
        <v>3166</v>
      </c>
      <c r="G209" s="2979" t="s">
        <v>3182</v>
      </c>
      <c r="H209" s="2979" t="s">
        <v>3183</v>
      </c>
      <c r="I209" s="2979" t="s">
        <v>3710</v>
      </c>
      <c r="J209" s="2979" t="s">
        <v>3711</v>
      </c>
    </row>
    <row r="210" spans="1:10">
      <c r="A210" s="2979" t="s">
        <v>3707</v>
      </c>
      <c r="B210" s="2979" t="s">
        <v>3171</v>
      </c>
      <c r="C210" s="2979" t="s">
        <v>1326</v>
      </c>
      <c r="D210" s="2979" t="s">
        <v>1326</v>
      </c>
      <c r="E210" s="2979" t="s">
        <v>3224</v>
      </c>
      <c r="F210" s="2979" t="s">
        <v>3166</v>
      </c>
      <c r="G210" s="2979" t="s">
        <v>3182</v>
      </c>
      <c r="H210" s="2979" t="s">
        <v>3183</v>
      </c>
      <c r="I210" s="2979" t="s">
        <v>3328</v>
      </c>
      <c r="J210" s="2979" t="s">
        <v>3329</v>
      </c>
    </row>
    <row r="211" spans="1:10">
      <c r="A211" s="2979" t="s">
        <v>3712</v>
      </c>
      <c r="B211" s="2979" t="s">
        <v>3252</v>
      </c>
      <c r="C211" s="2979" t="s">
        <v>1326</v>
      </c>
      <c r="D211" s="2979" t="s">
        <v>1326</v>
      </c>
      <c r="E211" s="2979" t="s">
        <v>3224</v>
      </c>
      <c r="F211" s="2979" t="s">
        <v>3166</v>
      </c>
      <c r="G211" s="2979" t="s">
        <v>3278</v>
      </c>
      <c r="H211" s="2979" t="s">
        <v>3496</v>
      </c>
      <c r="I211" s="2979" t="s">
        <v>3713</v>
      </c>
      <c r="J211" s="2979" t="s">
        <v>3714</v>
      </c>
    </row>
    <row r="212" spans="1:10">
      <c r="A212" s="2979" t="s">
        <v>3712</v>
      </c>
      <c r="B212" s="2979" t="s">
        <v>3171</v>
      </c>
      <c r="C212" s="2979" t="s">
        <v>1326</v>
      </c>
      <c r="D212" s="2979" t="s">
        <v>1326</v>
      </c>
      <c r="E212" s="2979" t="s">
        <v>3224</v>
      </c>
      <c r="F212" s="2979" t="s">
        <v>3166</v>
      </c>
      <c r="G212" s="2979" t="s">
        <v>3182</v>
      </c>
      <c r="H212" s="2979" t="s">
        <v>3183</v>
      </c>
      <c r="I212" s="2979" t="s">
        <v>3328</v>
      </c>
      <c r="J212" s="2979" t="s">
        <v>3329</v>
      </c>
    </row>
    <row r="213" spans="1:10">
      <c r="A213" s="2979" t="s">
        <v>3712</v>
      </c>
      <c r="B213" s="2979" t="s">
        <v>3171</v>
      </c>
      <c r="C213" s="2979" t="s">
        <v>1326</v>
      </c>
      <c r="D213" s="2979" t="s">
        <v>1326</v>
      </c>
      <c r="E213" s="2979" t="s">
        <v>3224</v>
      </c>
      <c r="F213" s="2979" t="s">
        <v>3166</v>
      </c>
      <c r="G213" s="2979" t="s">
        <v>3182</v>
      </c>
      <c r="H213" s="2979" t="s">
        <v>3183</v>
      </c>
      <c r="I213" s="2979" t="s">
        <v>3715</v>
      </c>
      <c r="J213" s="2979" t="s">
        <v>3716</v>
      </c>
    </row>
    <row r="214" spans="1:10">
      <c r="A214" s="2979" t="s">
        <v>3712</v>
      </c>
      <c r="B214" s="2979" t="s">
        <v>3252</v>
      </c>
      <c r="C214" s="2979" t="s">
        <v>1326</v>
      </c>
      <c r="D214" s="2979" t="s">
        <v>1326</v>
      </c>
      <c r="E214" s="2979" t="s">
        <v>3224</v>
      </c>
      <c r="F214" s="2979" t="s">
        <v>3166</v>
      </c>
      <c r="G214" s="2979" t="s">
        <v>3278</v>
      </c>
      <c r="H214" s="2979" t="s">
        <v>3432</v>
      </c>
      <c r="I214" s="2979" t="s">
        <v>3717</v>
      </c>
      <c r="J214" s="2979" t="s">
        <v>3718</v>
      </c>
    </row>
    <row r="215" spans="1:10">
      <c r="A215" s="2979" t="s">
        <v>3719</v>
      </c>
      <c r="B215" s="2979" t="s">
        <v>3222</v>
      </c>
      <c r="C215" s="2979" t="s">
        <v>1326</v>
      </c>
      <c r="D215" s="2979" t="s">
        <v>1326</v>
      </c>
      <c r="E215" s="2979" t="s">
        <v>3224</v>
      </c>
      <c r="F215" s="2979" t="s">
        <v>3166</v>
      </c>
      <c r="G215" s="2979" t="s">
        <v>3182</v>
      </c>
      <c r="H215" s="2979" t="s">
        <v>3183</v>
      </c>
      <c r="I215" s="2979" t="s">
        <v>3720</v>
      </c>
      <c r="J215" s="2979" t="s">
        <v>3721</v>
      </c>
    </row>
    <row r="216" spans="1:10">
      <c r="A216" s="2979" t="s">
        <v>3719</v>
      </c>
      <c r="B216" s="2979" t="s">
        <v>3252</v>
      </c>
      <c r="C216" s="2979" t="s">
        <v>1326</v>
      </c>
      <c r="D216" s="2979" t="s">
        <v>1326</v>
      </c>
      <c r="E216" s="2979" t="s">
        <v>3224</v>
      </c>
      <c r="F216" s="2979" t="s">
        <v>3166</v>
      </c>
      <c r="G216" s="2979" t="s">
        <v>3278</v>
      </c>
      <c r="H216" s="2979" t="s">
        <v>3576</v>
      </c>
      <c r="I216" s="2979" t="s">
        <v>3722</v>
      </c>
      <c r="J216" s="2979" t="s">
        <v>3723</v>
      </c>
    </row>
    <row r="217" spans="1:10">
      <c r="A217" s="2979" t="s">
        <v>3719</v>
      </c>
      <c r="B217" s="2979" t="s">
        <v>3243</v>
      </c>
      <c r="C217" s="2979" t="s">
        <v>1326</v>
      </c>
      <c r="D217" s="2979" t="s">
        <v>1326</v>
      </c>
      <c r="E217" s="2979" t="s">
        <v>3224</v>
      </c>
      <c r="F217" s="2979" t="s">
        <v>3166</v>
      </c>
      <c r="G217" s="2979" t="s">
        <v>3278</v>
      </c>
      <c r="H217" s="2979" t="s">
        <v>3279</v>
      </c>
      <c r="I217" s="2979" t="s">
        <v>3724</v>
      </c>
      <c r="J217" s="2979" t="s">
        <v>3725</v>
      </c>
    </row>
    <row r="218" spans="1:10">
      <c r="A218" s="2979" t="s">
        <v>3719</v>
      </c>
      <c r="B218" s="2979" t="s">
        <v>3252</v>
      </c>
      <c r="C218" s="2979" t="s">
        <v>1326</v>
      </c>
      <c r="D218" s="2979" t="s">
        <v>1326</v>
      </c>
      <c r="E218" s="2979" t="s">
        <v>3224</v>
      </c>
      <c r="F218" s="2979" t="s">
        <v>3166</v>
      </c>
      <c r="G218" s="2979" t="s">
        <v>3278</v>
      </c>
      <c r="H218" s="2979" t="s">
        <v>3279</v>
      </c>
      <c r="I218" s="2979" t="s">
        <v>3592</v>
      </c>
      <c r="J218" s="2979" t="s">
        <v>3593</v>
      </c>
    </row>
    <row r="219" spans="1:10">
      <c r="A219" s="2979" t="s">
        <v>3719</v>
      </c>
      <c r="B219" s="2979" t="s">
        <v>3252</v>
      </c>
      <c r="C219" s="2979" t="s">
        <v>1326</v>
      </c>
      <c r="D219" s="2979" t="s">
        <v>1326</v>
      </c>
      <c r="E219" s="2979" t="s">
        <v>3224</v>
      </c>
      <c r="F219" s="2979" t="s">
        <v>3166</v>
      </c>
      <c r="G219" s="2979" t="s">
        <v>3278</v>
      </c>
      <c r="H219" s="2979" t="s">
        <v>3496</v>
      </c>
      <c r="I219" s="2979" t="s">
        <v>3726</v>
      </c>
      <c r="J219" s="2979" t="s">
        <v>3727</v>
      </c>
    </row>
    <row r="220" spans="1:10">
      <c r="A220" s="2979" t="s">
        <v>3728</v>
      </c>
      <c r="B220" s="2979" t="s">
        <v>3171</v>
      </c>
      <c r="C220" s="2979" t="s">
        <v>1326</v>
      </c>
      <c r="D220" s="2979" t="s">
        <v>3551</v>
      </c>
      <c r="E220" s="2979" t="s">
        <v>3224</v>
      </c>
      <c r="F220" s="2979" t="s">
        <v>3166</v>
      </c>
      <c r="G220" s="2979" t="s">
        <v>3167</v>
      </c>
      <c r="H220" s="2979" t="s">
        <v>3365</v>
      </c>
      <c r="I220" s="2979" t="s">
        <v>3729</v>
      </c>
      <c r="J220" s="2979" t="s">
        <v>3730</v>
      </c>
    </row>
    <row r="221" spans="1:10">
      <c r="A221" s="2979" t="s">
        <v>3731</v>
      </c>
      <c r="B221" s="2979" t="s">
        <v>3252</v>
      </c>
      <c r="C221" s="2979" t="s">
        <v>1326</v>
      </c>
      <c r="D221" s="2979" t="s">
        <v>3732</v>
      </c>
      <c r="E221" s="2979" t="s">
        <v>3224</v>
      </c>
      <c r="F221" s="2979" t="s">
        <v>3166</v>
      </c>
      <c r="G221" s="2979" t="s">
        <v>3278</v>
      </c>
      <c r="H221" s="2979" t="s">
        <v>3279</v>
      </c>
      <c r="I221" s="2979" t="s">
        <v>3733</v>
      </c>
      <c r="J221" s="2979" t="s">
        <v>3734</v>
      </c>
    </row>
    <row r="222" spans="1:10">
      <c r="A222" s="2979" t="s">
        <v>3735</v>
      </c>
      <c r="B222" s="2979" t="s">
        <v>3243</v>
      </c>
      <c r="C222" s="2979" t="s">
        <v>1326</v>
      </c>
      <c r="D222" s="2979" t="s">
        <v>3736</v>
      </c>
      <c r="E222" s="2979" t="s">
        <v>3224</v>
      </c>
      <c r="F222" s="2979" t="s">
        <v>3166</v>
      </c>
      <c r="G222" s="2979" t="s">
        <v>3278</v>
      </c>
      <c r="H222" s="2979" t="s">
        <v>3279</v>
      </c>
      <c r="I222" s="2979" t="s">
        <v>3737</v>
      </c>
      <c r="J222" s="2979" t="s">
        <v>3738</v>
      </c>
    </row>
    <row r="223" spans="1:10">
      <c r="A223" s="2979" t="s">
        <v>3739</v>
      </c>
      <c r="B223" s="2979" t="s">
        <v>3171</v>
      </c>
      <c r="C223" s="2979" t="s">
        <v>1326</v>
      </c>
      <c r="D223" s="2979" t="s">
        <v>3740</v>
      </c>
      <c r="E223" s="2979" t="s">
        <v>3224</v>
      </c>
      <c r="F223" s="2979" t="s">
        <v>3166</v>
      </c>
      <c r="G223" s="2979" t="s">
        <v>3182</v>
      </c>
      <c r="H223" s="2979" t="s">
        <v>3183</v>
      </c>
      <c r="I223" s="2979" t="s">
        <v>3328</v>
      </c>
      <c r="J223" s="2979" t="s">
        <v>3329</v>
      </c>
    </row>
    <row r="224" spans="1:10">
      <c r="A224" s="2979" t="s">
        <v>3739</v>
      </c>
      <c r="B224" s="2979" t="s">
        <v>3243</v>
      </c>
      <c r="C224" s="2979" t="s">
        <v>1326</v>
      </c>
      <c r="D224" s="2979" t="s">
        <v>3613</v>
      </c>
      <c r="E224" s="2979" t="s">
        <v>3224</v>
      </c>
      <c r="F224" s="2979" t="s">
        <v>3166</v>
      </c>
      <c r="G224" s="2979" t="s">
        <v>3278</v>
      </c>
      <c r="H224" s="2979" t="s">
        <v>3279</v>
      </c>
      <c r="I224" s="2979" t="s">
        <v>3724</v>
      </c>
      <c r="J224" s="2979" t="s">
        <v>3725</v>
      </c>
    </row>
    <row r="225" spans="1:10">
      <c r="A225" s="2979" t="s">
        <v>3741</v>
      </c>
      <c r="B225" s="2979" t="s">
        <v>3252</v>
      </c>
      <c r="C225" s="2979" t="s">
        <v>1326</v>
      </c>
      <c r="D225" s="2979" t="s">
        <v>3239</v>
      </c>
      <c r="E225" s="2979" t="s">
        <v>3224</v>
      </c>
      <c r="F225" s="2979" t="s">
        <v>3166</v>
      </c>
      <c r="G225" s="2979" t="s">
        <v>3278</v>
      </c>
      <c r="H225" s="2979" t="s">
        <v>3432</v>
      </c>
      <c r="I225" s="2979" t="s">
        <v>3742</v>
      </c>
      <c r="J225" s="2979" t="s">
        <v>3743</v>
      </c>
    </row>
    <row r="226" spans="1:10">
      <c r="A226" s="2979" t="s">
        <v>3744</v>
      </c>
      <c r="B226" s="2979" t="s">
        <v>3252</v>
      </c>
      <c r="C226" s="2979" t="s">
        <v>1326</v>
      </c>
      <c r="D226" s="2979" t="s">
        <v>3745</v>
      </c>
      <c r="E226" s="2979" t="s">
        <v>3224</v>
      </c>
      <c r="F226" s="2979" t="s">
        <v>3166</v>
      </c>
      <c r="G226" s="2979" t="s">
        <v>3278</v>
      </c>
      <c r="H226" s="2979" t="s">
        <v>3432</v>
      </c>
      <c r="I226" s="2979" t="s">
        <v>3746</v>
      </c>
      <c r="J226" s="2979" t="s">
        <v>3747</v>
      </c>
    </row>
    <row r="227" spans="1:10">
      <c r="A227" s="2979" t="s">
        <v>3744</v>
      </c>
      <c r="B227" s="2979" t="s">
        <v>3252</v>
      </c>
      <c r="C227" s="2979" t="s">
        <v>1326</v>
      </c>
      <c r="D227" s="2979" t="s">
        <v>3748</v>
      </c>
      <c r="E227" s="2979" t="s">
        <v>3224</v>
      </c>
      <c r="F227" s="2979" t="s">
        <v>3166</v>
      </c>
      <c r="G227" s="2979" t="s">
        <v>3278</v>
      </c>
      <c r="H227" s="2979" t="s">
        <v>3496</v>
      </c>
      <c r="I227" s="2979" t="s">
        <v>3749</v>
      </c>
      <c r="J227" s="2979" t="s">
        <v>3448</v>
      </c>
    </row>
    <row r="228" spans="1:10">
      <c r="A228" s="2979" t="s">
        <v>3750</v>
      </c>
      <c r="B228" s="2979" t="s">
        <v>3243</v>
      </c>
      <c r="C228" s="2979" t="s">
        <v>1326</v>
      </c>
      <c r="D228" s="2979" t="s">
        <v>3289</v>
      </c>
      <c r="E228" s="2979" t="s">
        <v>3224</v>
      </c>
      <c r="F228" s="2979" t="s">
        <v>3166</v>
      </c>
      <c r="G228" s="2979" t="s">
        <v>3278</v>
      </c>
      <c r="H228" s="2979" t="s">
        <v>3446</v>
      </c>
      <c r="I228" s="2979" t="s">
        <v>3751</v>
      </c>
      <c r="J228" s="2979" t="s">
        <v>3752</v>
      </c>
    </row>
    <row r="229" spans="1:10">
      <c r="A229" s="2979" t="s">
        <v>3753</v>
      </c>
      <c r="B229" s="2979" t="s">
        <v>3171</v>
      </c>
      <c r="C229" s="2979" t="s">
        <v>1326</v>
      </c>
      <c r="D229" s="2979" t="s">
        <v>3732</v>
      </c>
      <c r="E229" s="2979" t="s">
        <v>3224</v>
      </c>
      <c r="F229" s="2979" t="s">
        <v>3166</v>
      </c>
      <c r="G229" s="2979" t="s">
        <v>3167</v>
      </c>
      <c r="H229" s="2979" t="s">
        <v>3365</v>
      </c>
      <c r="I229" s="2979" t="s">
        <v>3754</v>
      </c>
      <c r="J229" s="2979" t="s">
        <v>3755</v>
      </c>
    </row>
    <row r="230" spans="1:10">
      <c r="A230" s="2979" t="s">
        <v>3753</v>
      </c>
      <c r="B230" s="2979" t="s">
        <v>3243</v>
      </c>
      <c r="C230" s="2979" t="s">
        <v>1326</v>
      </c>
      <c r="D230" s="2979" t="s">
        <v>3756</v>
      </c>
      <c r="E230" s="2979" t="s">
        <v>3224</v>
      </c>
      <c r="F230" s="2979" t="s">
        <v>3166</v>
      </c>
      <c r="G230" s="2979" t="s">
        <v>3278</v>
      </c>
      <c r="H230" s="2979" t="s">
        <v>3446</v>
      </c>
      <c r="I230" s="2979" t="s">
        <v>3757</v>
      </c>
      <c r="J230" s="2979" t="s">
        <v>3727</v>
      </c>
    </row>
    <row r="231" spans="1:10">
      <c r="A231" s="2979" t="s">
        <v>3753</v>
      </c>
      <c r="B231" s="2979" t="s">
        <v>3171</v>
      </c>
      <c r="C231" s="2979" t="s">
        <v>1326</v>
      </c>
      <c r="D231" s="2979" t="s">
        <v>3277</v>
      </c>
      <c r="E231" s="2979" t="s">
        <v>3224</v>
      </c>
      <c r="F231" s="2979" t="s">
        <v>3166</v>
      </c>
      <c r="G231" s="2979" t="s">
        <v>3167</v>
      </c>
      <c r="H231" s="2979" t="s">
        <v>3365</v>
      </c>
      <c r="I231" s="2979" t="s">
        <v>3758</v>
      </c>
      <c r="J231" s="2979" t="s">
        <v>3759</v>
      </c>
    </row>
    <row r="232" spans="1:10">
      <c r="A232" s="2979" t="s">
        <v>3753</v>
      </c>
      <c r="B232" s="2979" t="s">
        <v>3252</v>
      </c>
      <c r="C232" s="2979" t="s">
        <v>1326</v>
      </c>
      <c r="D232" s="2979" t="s">
        <v>3760</v>
      </c>
      <c r="E232" s="2979" t="s">
        <v>3224</v>
      </c>
      <c r="F232" s="2979" t="s">
        <v>3166</v>
      </c>
      <c r="G232" s="2979" t="s">
        <v>3278</v>
      </c>
      <c r="H232" s="2979" t="s">
        <v>3496</v>
      </c>
      <c r="I232" s="2979" t="s">
        <v>3620</v>
      </c>
      <c r="J232" s="2979" t="s">
        <v>3621</v>
      </c>
    </row>
    <row r="233" spans="1:10">
      <c r="A233" s="2979" t="s">
        <v>3753</v>
      </c>
      <c r="B233" s="2979" t="s">
        <v>3243</v>
      </c>
      <c r="C233" s="2979" t="s">
        <v>1326</v>
      </c>
      <c r="D233" s="2979" t="s">
        <v>3351</v>
      </c>
      <c r="E233" s="2979" t="s">
        <v>3224</v>
      </c>
      <c r="F233" s="2979" t="s">
        <v>3166</v>
      </c>
      <c r="G233" s="2979" t="s">
        <v>3278</v>
      </c>
      <c r="H233" s="2979" t="s">
        <v>3446</v>
      </c>
      <c r="I233" s="2979" t="s">
        <v>3674</v>
      </c>
      <c r="J233" s="2979" t="s">
        <v>3675</v>
      </c>
    </row>
    <row r="234" spans="1:10">
      <c r="A234" s="2979" t="s">
        <v>3761</v>
      </c>
      <c r="B234" s="2979" t="s">
        <v>3252</v>
      </c>
      <c r="C234" s="2979" t="s">
        <v>1326</v>
      </c>
      <c r="D234" s="2979" t="s">
        <v>3762</v>
      </c>
      <c r="E234" s="2979" t="s">
        <v>3224</v>
      </c>
      <c r="F234" s="2979" t="s">
        <v>3166</v>
      </c>
      <c r="G234" s="2979" t="s">
        <v>3278</v>
      </c>
      <c r="H234" s="2979" t="s">
        <v>3496</v>
      </c>
      <c r="I234" s="2979" t="s">
        <v>3763</v>
      </c>
      <c r="J234" s="2979" t="s">
        <v>3764</v>
      </c>
    </row>
    <row r="235" spans="1:10">
      <c r="A235" s="2979" t="s">
        <v>3765</v>
      </c>
      <c r="B235" s="2979" t="s">
        <v>3252</v>
      </c>
      <c r="C235" s="2979" t="s">
        <v>1326</v>
      </c>
      <c r="D235" s="2979" t="s">
        <v>3273</v>
      </c>
      <c r="E235" s="2979" t="s">
        <v>3224</v>
      </c>
      <c r="F235" s="2979" t="s">
        <v>3166</v>
      </c>
      <c r="G235" s="2979" t="s">
        <v>3278</v>
      </c>
      <c r="H235" s="2979" t="s">
        <v>3496</v>
      </c>
      <c r="I235" s="2979" t="s">
        <v>3766</v>
      </c>
      <c r="J235" s="2979" t="s">
        <v>3767</v>
      </c>
    </row>
    <row r="236" spans="1:10">
      <c r="A236" s="2979" t="s">
        <v>3765</v>
      </c>
      <c r="B236" s="2979" t="s">
        <v>3243</v>
      </c>
      <c r="C236" s="2979" t="s">
        <v>1326</v>
      </c>
      <c r="D236" s="2979" t="s">
        <v>3277</v>
      </c>
      <c r="E236" s="2979" t="s">
        <v>3224</v>
      </c>
      <c r="F236" s="2979" t="s">
        <v>3166</v>
      </c>
      <c r="G236" s="2979" t="s">
        <v>3278</v>
      </c>
      <c r="H236" s="2979" t="s">
        <v>3446</v>
      </c>
      <c r="I236" s="2979" t="s">
        <v>3768</v>
      </c>
      <c r="J236" s="2979" t="s">
        <v>3769</v>
      </c>
    </row>
    <row r="237" spans="1:10">
      <c r="A237" s="2979" t="s">
        <v>3765</v>
      </c>
      <c r="B237" s="2979" t="s">
        <v>3252</v>
      </c>
      <c r="C237" s="2979" t="s">
        <v>1326</v>
      </c>
      <c r="D237" s="2979" t="s">
        <v>3604</v>
      </c>
      <c r="E237" s="2979" t="s">
        <v>3224</v>
      </c>
      <c r="F237" s="2979" t="s">
        <v>3166</v>
      </c>
      <c r="G237" s="2979" t="s">
        <v>3278</v>
      </c>
      <c r="H237" s="2979" t="s">
        <v>3614</v>
      </c>
      <c r="I237" s="2979" t="s">
        <v>3770</v>
      </c>
      <c r="J237" s="2979" t="s">
        <v>3771</v>
      </c>
    </row>
    <row r="238" spans="1:10">
      <c r="A238" s="2979" t="s">
        <v>3765</v>
      </c>
      <c r="B238" s="2979" t="s">
        <v>3222</v>
      </c>
      <c r="C238" s="2979" t="s">
        <v>1326</v>
      </c>
      <c r="D238" s="2979" t="s">
        <v>3277</v>
      </c>
      <c r="E238" s="2979" t="s">
        <v>3224</v>
      </c>
      <c r="F238" s="2979" t="s">
        <v>3166</v>
      </c>
      <c r="G238" s="2979" t="s">
        <v>3182</v>
      </c>
      <c r="H238" s="2979" t="s">
        <v>3183</v>
      </c>
      <c r="I238" s="2979" t="s">
        <v>3772</v>
      </c>
      <c r="J238" s="2979" t="s">
        <v>3773</v>
      </c>
    </row>
    <row r="239" spans="1:10">
      <c r="A239" s="2979" t="s">
        <v>3765</v>
      </c>
      <c r="B239" s="2979" t="s">
        <v>3252</v>
      </c>
      <c r="C239" s="2979" t="s">
        <v>1326</v>
      </c>
      <c r="D239" s="2979" t="s">
        <v>3354</v>
      </c>
      <c r="E239" s="2979" t="s">
        <v>3224</v>
      </c>
      <c r="F239" s="2979" t="s">
        <v>3166</v>
      </c>
      <c r="G239" s="2979" t="s">
        <v>3278</v>
      </c>
      <c r="H239" s="2979" t="s">
        <v>3432</v>
      </c>
      <c r="I239" s="2979" t="s">
        <v>3774</v>
      </c>
      <c r="J239" s="2979" t="s">
        <v>3775</v>
      </c>
    </row>
    <row r="240" spans="1:10">
      <c r="A240" s="2979" t="s">
        <v>3776</v>
      </c>
      <c r="B240" s="2979" t="s">
        <v>3222</v>
      </c>
      <c r="C240" s="2979" t="s">
        <v>1326</v>
      </c>
      <c r="D240" s="2979" t="s">
        <v>3617</v>
      </c>
      <c r="E240" s="2979" t="s">
        <v>3224</v>
      </c>
      <c r="F240" s="2979" t="s">
        <v>3166</v>
      </c>
      <c r="G240" s="2979" t="s">
        <v>3182</v>
      </c>
      <c r="H240" s="2979" t="s">
        <v>3183</v>
      </c>
      <c r="I240" s="2979" t="s">
        <v>3777</v>
      </c>
      <c r="J240" s="2979" t="s">
        <v>3778</v>
      </c>
    </row>
    <row r="241" spans="1:10">
      <c r="A241" s="2979" t="s">
        <v>3776</v>
      </c>
      <c r="B241" s="2979" t="s">
        <v>3243</v>
      </c>
      <c r="C241" s="2979" t="s">
        <v>1326</v>
      </c>
      <c r="D241" s="2979" t="s">
        <v>3779</v>
      </c>
      <c r="E241" s="2979" t="s">
        <v>3224</v>
      </c>
      <c r="F241" s="2979" t="s">
        <v>3166</v>
      </c>
      <c r="G241" s="2979" t="s">
        <v>3278</v>
      </c>
      <c r="H241" s="2979" t="s">
        <v>3446</v>
      </c>
      <c r="I241" s="2979" t="s">
        <v>3447</v>
      </c>
      <c r="J241" s="2979" t="s">
        <v>3448</v>
      </c>
    </row>
    <row r="242" spans="1:10">
      <c r="A242" s="2979" t="s">
        <v>3776</v>
      </c>
      <c r="B242" s="2979" t="s">
        <v>3252</v>
      </c>
      <c r="C242" s="2979" t="s">
        <v>1326</v>
      </c>
      <c r="D242" s="2979" t="s">
        <v>3780</v>
      </c>
      <c r="E242" s="2979" t="s">
        <v>3224</v>
      </c>
      <c r="F242" s="2979" t="s">
        <v>3166</v>
      </c>
      <c r="G242" s="2979" t="s">
        <v>3278</v>
      </c>
      <c r="H242" s="2979" t="s">
        <v>3496</v>
      </c>
      <c r="I242" s="2979" t="s">
        <v>3781</v>
      </c>
      <c r="J242" s="2979" t="s">
        <v>3782</v>
      </c>
    </row>
    <row r="243" spans="1:10">
      <c r="A243" s="2979" t="s">
        <v>3776</v>
      </c>
      <c r="B243" s="2979" t="s">
        <v>3171</v>
      </c>
      <c r="C243" s="2979" t="s">
        <v>1326</v>
      </c>
      <c r="D243" s="2979" t="s">
        <v>3783</v>
      </c>
      <c r="E243" s="2979" t="s">
        <v>3224</v>
      </c>
      <c r="F243" s="2979" t="s">
        <v>3166</v>
      </c>
      <c r="G243" s="2979" t="s">
        <v>3182</v>
      </c>
      <c r="H243" s="2979" t="s">
        <v>3183</v>
      </c>
      <c r="I243" s="2979" t="s">
        <v>3784</v>
      </c>
      <c r="J243" s="2979" t="s">
        <v>3785</v>
      </c>
    </row>
    <row r="244" spans="1:10">
      <c r="A244" s="2979" t="s">
        <v>3786</v>
      </c>
      <c r="B244" s="2979" t="s">
        <v>3163</v>
      </c>
      <c r="C244" s="2979" t="s">
        <v>1326</v>
      </c>
      <c r="D244" s="2979" t="s">
        <v>3787</v>
      </c>
      <c r="E244" s="2979" t="s">
        <v>3224</v>
      </c>
      <c r="F244" s="2979" t="s">
        <v>3166</v>
      </c>
      <c r="G244" s="2979" t="s">
        <v>3182</v>
      </c>
      <c r="H244" s="2979" t="s">
        <v>3248</v>
      </c>
      <c r="I244" s="2979" t="s">
        <v>3788</v>
      </c>
      <c r="J244" s="2979" t="s">
        <v>3789</v>
      </c>
    </row>
    <row r="245" spans="1:10">
      <c r="A245" s="2979" t="s">
        <v>3790</v>
      </c>
      <c r="B245" s="2979" t="s">
        <v>3243</v>
      </c>
      <c r="C245" s="2979" t="s">
        <v>1326</v>
      </c>
      <c r="D245" s="2979" t="s">
        <v>3791</v>
      </c>
      <c r="E245" s="2979" t="s">
        <v>3224</v>
      </c>
      <c r="F245" s="2979" t="s">
        <v>3166</v>
      </c>
      <c r="G245" s="2979" t="s">
        <v>3278</v>
      </c>
      <c r="H245" s="2979" t="s">
        <v>3446</v>
      </c>
      <c r="I245" s="2979" t="s">
        <v>3792</v>
      </c>
      <c r="J245" s="2979" t="s">
        <v>3793</v>
      </c>
    </row>
    <row r="246" spans="1:10">
      <c r="A246" s="2979" t="s">
        <v>3794</v>
      </c>
      <c r="B246" s="2979" t="s">
        <v>3243</v>
      </c>
      <c r="C246" s="2979" t="s">
        <v>1326</v>
      </c>
      <c r="D246" s="2979" t="s">
        <v>3762</v>
      </c>
      <c r="E246" s="2979" t="s">
        <v>3224</v>
      </c>
      <c r="F246" s="2979" t="s">
        <v>3166</v>
      </c>
      <c r="G246" s="2979" t="s">
        <v>3278</v>
      </c>
      <c r="H246" s="2979" t="s">
        <v>3446</v>
      </c>
      <c r="I246" s="2979" t="s">
        <v>3768</v>
      </c>
      <c r="J246" s="2979" t="s">
        <v>3769</v>
      </c>
    </row>
    <row r="247" spans="1:10">
      <c r="A247" s="2979" t="s">
        <v>3794</v>
      </c>
      <c r="B247" s="2979" t="s">
        <v>3252</v>
      </c>
      <c r="C247" s="2979" t="s">
        <v>1326</v>
      </c>
      <c r="D247" s="2979" t="s">
        <v>3323</v>
      </c>
      <c r="E247" s="2979" t="s">
        <v>3224</v>
      </c>
      <c r="F247" s="2979" t="s">
        <v>3166</v>
      </c>
      <c r="G247" s="2979" t="s">
        <v>3278</v>
      </c>
      <c r="H247" s="2979" t="s">
        <v>3432</v>
      </c>
      <c r="I247" s="2979" t="s">
        <v>3795</v>
      </c>
      <c r="J247" s="2979" t="s">
        <v>3796</v>
      </c>
    </row>
    <row r="248" spans="1:10">
      <c r="A248" s="2979" t="s">
        <v>3797</v>
      </c>
      <c r="B248" s="2979" t="s">
        <v>3252</v>
      </c>
      <c r="C248" s="2979" t="s">
        <v>1326</v>
      </c>
      <c r="D248" s="2979" t="s">
        <v>3351</v>
      </c>
      <c r="E248" s="2979" t="s">
        <v>3224</v>
      </c>
      <c r="F248" s="2979" t="s">
        <v>3166</v>
      </c>
      <c r="G248" s="2979" t="s">
        <v>3278</v>
      </c>
      <c r="H248" s="2979" t="s">
        <v>3279</v>
      </c>
      <c r="I248" s="2979" t="s">
        <v>3798</v>
      </c>
      <c r="J248" s="2979" t="s">
        <v>3799</v>
      </c>
    </row>
    <row r="249" spans="1:10">
      <c r="A249" s="2979" t="s">
        <v>3797</v>
      </c>
      <c r="B249" s="2979" t="s">
        <v>3252</v>
      </c>
      <c r="C249" s="2979" t="s">
        <v>1326</v>
      </c>
      <c r="D249" s="2979" t="s">
        <v>3800</v>
      </c>
      <c r="E249" s="2979" t="s">
        <v>3224</v>
      </c>
      <c r="F249" s="2979" t="s">
        <v>3166</v>
      </c>
      <c r="G249" s="2979" t="s">
        <v>3167</v>
      </c>
      <c r="H249" s="2979" t="s">
        <v>3304</v>
      </c>
      <c r="I249" s="2979" t="s">
        <v>3801</v>
      </c>
      <c r="J249" s="2979" t="s">
        <v>3802</v>
      </c>
    </row>
  </sheetData>
  <autoFilter ref="A1:J249" xr:uid="{00000000-0009-0000-0000-000030000000}"/>
  <phoneticPr fontId="144" type="noConversion"/>
  <pageMargins left="0.75" right="0.75" top="1" bottom="1" header="0.5" footer="0.5"/>
  <pageSetup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baseColWidth="10" defaultColWidth="9" defaultRowHeight="14"/>
  <cols>
    <col min="1" max="1" width="27.6640625" style="1944" customWidth="1"/>
    <col min="2" max="9" width="12.1640625" style="1944" customWidth="1"/>
    <col min="10" max="16384" width="9" style="1944"/>
  </cols>
  <sheetData>
    <row r="1" spans="1:9" ht="19" thickBot="1">
      <c r="A1" s="3013" t="str">
        <f>IF(项目基本情况!B9="房地产市场价值","估价结果一览表","结果表-2")</f>
        <v>估价结果一览表</v>
      </c>
      <c r="B1" s="3013"/>
      <c r="C1" s="3013"/>
      <c r="D1" s="3013"/>
      <c r="E1" s="3013"/>
      <c r="F1" s="3013"/>
      <c r="G1" s="3013"/>
      <c r="H1" s="3013"/>
      <c r="I1" s="3013"/>
    </row>
    <row r="2" spans="1:9" ht="30" customHeight="1" thickTop="1">
      <c r="A2" s="3014" t="s">
        <v>1635</v>
      </c>
      <c r="B2" s="3014" t="s">
        <v>1636</v>
      </c>
      <c r="C2" s="3014" t="s">
        <v>1637</v>
      </c>
      <c r="D2" s="3014" t="str">
        <f>结果表!D116</f>
        <v>出让国有建设用地使用权价值</v>
      </c>
      <c r="E2" s="3014"/>
      <c r="F2" s="3014" t="str">
        <f>结果表!F116</f>
        <v>在建建筑物价值</v>
      </c>
      <c r="G2" s="3014"/>
      <c r="H2" s="3014" t="str">
        <f>IF(项目基本情况!B9="房地产市场价值","房地产市场价值","房地产价值")</f>
        <v>房地产市场价值</v>
      </c>
      <c r="I2" s="3014"/>
    </row>
    <row r="3" spans="1:9" ht="17">
      <c r="A3" s="3008"/>
      <c r="B3" s="3008"/>
      <c r="C3" s="3008"/>
      <c r="D3" s="1044" t="s">
        <v>1632</v>
      </c>
      <c r="E3" s="1044" t="s">
        <v>1638</v>
      </c>
      <c r="F3" s="1044" t="s">
        <v>1632</v>
      </c>
      <c r="G3" s="1044" t="s">
        <v>1633</v>
      </c>
      <c r="H3" s="1044" t="s">
        <v>1632</v>
      </c>
      <c r="I3" s="1044" t="s">
        <v>1633</v>
      </c>
    </row>
    <row r="4" spans="1:9" ht="68">
      <c r="A4" s="1972" t="str">
        <f>项目基本情况!S2</f>
        <v>北京市北京经济技术开发区河西区X90R1、X90S1地块出让国有建设用地使用权及在建建筑物房地产</v>
      </c>
      <c r="B4" s="1044">
        <f>项目基本情况!C17</f>
        <v>86971.4</v>
      </c>
      <c r="C4" s="1044">
        <f>项目基本情况!C18</f>
        <v>43648.1</v>
      </c>
      <c r="D4" s="1044" t="e">
        <f ca="1">结果表!D118</f>
        <v>#REF!</v>
      </c>
      <c r="E4" s="1044" t="e">
        <f ca="1">结果表!E118</f>
        <v>#DIV/0!</v>
      </c>
      <c r="F4" s="1044" t="e">
        <f ca="1">结果表!F118</f>
        <v>#REF!</v>
      </c>
      <c r="G4" s="1044" t="e">
        <f ca="1">结果表!G118</f>
        <v>#REF!</v>
      </c>
      <c r="H4" s="1044">
        <f ca="1">结果表!H118</f>
        <v>453051</v>
      </c>
      <c r="I4" s="1044" t="e">
        <f ca="1">结果表!I118</f>
        <v>#DIV/0!</v>
      </c>
    </row>
    <row r="5" spans="1:9" ht="30" customHeight="1">
      <c r="A5" s="3008" t="s">
        <v>1634</v>
      </c>
      <c r="B5" s="3008"/>
      <c r="C5" s="3008"/>
      <c r="D5" s="3009" t="e">
        <f ca="1">结果表!D119</f>
        <v>#REF!</v>
      </c>
      <c r="E5" s="3009"/>
      <c r="F5" s="3009" t="e">
        <f ca="1">结果表!F119</f>
        <v>#REF!</v>
      </c>
      <c r="G5" s="3009"/>
      <c r="H5" s="3009" t="str">
        <f ca="1">结果表!H119</f>
        <v>肆拾伍亿叁仟零伍拾壹万元整</v>
      </c>
      <c r="I5" s="3009"/>
    </row>
    <row r="6" spans="1:9" ht="16">
      <c r="A6" s="3007" t="str">
        <f>结果表!A120</f>
        <v/>
      </c>
      <c r="B6" s="3007"/>
      <c r="C6" s="3007"/>
      <c r="D6" s="3007">
        <f>结果表!D120</f>
        <v>0</v>
      </c>
      <c r="E6" s="3007"/>
      <c r="F6" s="3007"/>
      <c r="G6" s="3007"/>
      <c r="H6" s="3007"/>
      <c r="I6" s="3007"/>
    </row>
    <row r="7" spans="1:9" ht="16">
      <c r="A7" s="3008" t="s">
        <v>1634</v>
      </c>
      <c r="B7" s="3008"/>
      <c r="C7" s="3008"/>
      <c r="D7" s="3010" t="str">
        <f>结果表!D121</f>
        <v>零元整</v>
      </c>
      <c r="E7" s="3011"/>
      <c r="F7" s="3011"/>
      <c r="G7" s="3011"/>
      <c r="H7" s="3011"/>
      <c r="I7" s="3012"/>
    </row>
    <row r="8" spans="1:9" ht="16">
      <c r="A8" s="3007" t="str">
        <f>结果表!A122</f>
        <v/>
      </c>
      <c r="B8" s="3007"/>
      <c r="C8" s="3007"/>
      <c r="D8" s="3007">
        <f ca="1">结果表!D122</f>
        <v>453051</v>
      </c>
      <c r="E8" s="3007"/>
      <c r="F8" s="3007"/>
      <c r="G8" s="3007"/>
      <c r="H8" s="3007"/>
      <c r="I8" s="3007"/>
    </row>
    <row r="9" spans="1:9" ht="16">
      <c r="A9" s="3008" t="s">
        <v>1634</v>
      </c>
      <c r="B9" s="3008"/>
      <c r="C9" s="3008"/>
      <c r="D9" s="3009" t="str">
        <f ca="1">结果表!D123</f>
        <v>肆拾伍亿叁仟零伍拾壹万元整</v>
      </c>
      <c r="E9" s="3009"/>
      <c r="F9" s="3009"/>
      <c r="G9" s="3009"/>
      <c r="H9" s="3009"/>
      <c r="I9" s="3009"/>
    </row>
    <row r="10" spans="1:9" ht="16">
      <c r="A10" s="3007" t="str">
        <f>结果表!A124</f>
        <v/>
      </c>
      <c r="B10" s="3007"/>
      <c r="C10" s="3007"/>
      <c r="D10" s="3007" t="str">
        <f>结果表!D124</f>
        <v>——</v>
      </c>
      <c r="E10" s="3007"/>
      <c r="F10" s="3007"/>
      <c r="G10" s="3007"/>
      <c r="H10" s="3007"/>
      <c r="I10" s="3007"/>
    </row>
    <row r="11" spans="1:9" ht="16">
      <c r="A11" s="3008" t="s">
        <v>1634</v>
      </c>
      <c r="B11" s="3008"/>
      <c r="C11" s="3008"/>
      <c r="D11" s="3009" t="e">
        <f>结果表!D125</f>
        <v>#VALUE!</v>
      </c>
      <c r="E11" s="3009"/>
      <c r="F11" s="3009"/>
      <c r="G11" s="3009"/>
      <c r="H11" s="3009"/>
      <c r="I11" s="3009"/>
    </row>
    <row r="12" spans="1:9" ht="16">
      <c r="A12" s="3007" t="str">
        <f>结果表!A126</f>
        <v/>
      </c>
      <c r="B12" s="3007"/>
      <c r="C12" s="3007"/>
      <c r="D12" s="3007" t="str">
        <f>结果表!D126</f>
        <v>——</v>
      </c>
      <c r="E12" s="3007"/>
      <c r="F12" s="3007"/>
      <c r="G12" s="3007"/>
      <c r="H12" s="3007"/>
      <c r="I12" s="3007"/>
    </row>
    <row r="13" spans="1:9" ht="17" thickBot="1">
      <c r="A13" s="3004" t="s">
        <v>1634</v>
      </c>
      <c r="B13" s="3004"/>
      <c r="C13" s="3004"/>
      <c r="D13" s="3005" t="e">
        <f>结果表!D127</f>
        <v>#VALUE!</v>
      </c>
      <c r="E13" s="3005"/>
      <c r="F13" s="3005"/>
      <c r="G13" s="3005"/>
      <c r="H13" s="3005"/>
      <c r="I13" s="3005"/>
    </row>
    <row r="14" spans="1:9" ht="15" thickTop="1">
      <c r="A14" s="3006" t="s">
        <v>1639</v>
      </c>
      <c r="B14" s="3006"/>
      <c r="C14" s="3006"/>
      <c r="D14" s="3006"/>
      <c r="E14" s="3006"/>
      <c r="F14" s="3006"/>
      <c r="G14" s="3006"/>
      <c r="H14" s="3006"/>
      <c r="I14" s="3006"/>
    </row>
    <row r="16" spans="1:9" ht="18">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outlinePr summaryBelow="0" summaryRight="0"/>
    <pageSetUpPr autoPageBreaks="0" fitToPage="1"/>
  </sheetPr>
  <dimension ref="A1:J166"/>
  <sheetViews>
    <sheetView workbookViewId="0">
      <selection activeCell="B58" sqref="B58"/>
    </sheetView>
  </sheetViews>
  <sheetFormatPr baseColWidth="10" defaultColWidth="9" defaultRowHeight="13"/>
  <cols>
    <col min="1" max="8" width="9" style="2979"/>
    <col min="9" max="9" width="9" style="2983"/>
    <col min="10" max="16384" width="9" style="2979"/>
  </cols>
  <sheetData>
    <row r="1" spans="1:10">
      <c r="A1" s="2979" t="s">
        <v>3125</v>
      </c>
      <c r="B1" s="2979" t="s">
        <v>3155</v>
      </c>
      <c r="C1" s="2979" t="s">
        <v>3156</v>
      </c>
      <c r="D1" s="2979" t="s">
        <v>3157</v>
      </c>
      <c r="E1" s="2979" t="s">
        <v>3158</v>
      </c>
      <c r="F1" s="2979" t="s">
        <v>3159</v>
      </c>
      <c r="G1" s="2979" t="s">
        <v>3160</v>
      </c>
      <c r="H1" s="2979" t="s">
        <v>3127</v>
      </c>
      <c r="I1" s="2983" t="s">
        <v>3129</v>
      </c>
      <c r="J1" s="2979" t="s">
        <v>3161</v>
      </c>
    </row>
    <row r="2" spans="1:10">
      <c r="A2" s="2979" t="s">
        <v>3221</v>
      </c>
      <c r="B2" s="2979" t="s">
        <v>3222</v>
      </c>
      <c r="C2" s="2979" t="s">
        <v>1326</v>
      </c>
      <c r="D2" s="2979" t="s">
        <v>3223</v>
      </c>
      <c r="E2" s="2979" t="s">
        <v>3224</v>
      </c>
      <c r="F2" s="2979" t="s">
        <v>3166</v>
      </c>
      <c r="G2" s="2979" t="s">
        <v>3182</v>
      </c>
      <c r="H2" s="2983">
        <v>89</v>
      </c>
      <c r="I2" s="2983">
        <v>436.09</v>
      </c>
      <c r="J2" s="2983">
        <v>49137</v>
      </c>
    </row>
    <row r="3" spans="1:10">
      <c r="A3" s="2979" t="s">
        <v>3221</v>
      </c>
      <c r="B3" s="2979" t="s">
        <v>3222</v>
      </c>
      <c r="C3" s="2979" t="s">
        <v>1326</v>
      </c>
      <c r="D3" s="2979" t="s">
        <v>3227</v>
      </c>
      <c r="E3" s="2979" t="s">
        <v>3224</v>
      </c>
      <c r="F3" s="2979" t="s">
        <v>3166</v>
      </c>
      <c r="G3" s="2979" t="s">
        <v>3182</v>
      </c>
      <c r="H3" s="2983">
        <v>89</v>
      </c>
      <c r="I3" s="2983">
        <v>436.26</v>
      </c>
      <c r="J3" s="2983">
        <v>49156</v>
      </c>
    </row>
    <row r="4" spans="1:10">
      <c r="A4" s="2979" t="s">
        <v>3221</v>
      </c>
      <c r="B4" s="2979" t="s">
        <v>3230</v>
      </c>
      <c r="C4" s="2979" t="s">
        <v>1326</v>
      </c>
      <c r="D4" s="2979" t="s">
        <v>3231</v>
      </c>
      <c r="E4" s="2979" t="s">
        <v>3224</v>
      </c>
      <c r="F4" s="2979" t="s">
        <v>3166</v>
      </c>
      <c r="G4" s="2979" t="s">
        <v>3182</v>
      </c>
      <c r="H4" s="2983">
        <v>89</v>
      </c>
      <c r="I4" s="2983">
        <v>438.5</v>
      </c>
      <c r="J4" s="2983">
        <v>49176</v>
      </c>
    </row>
    <row r="5" spans="1:10">
      <c r="A5" s="2979" t="s">
        <v>3234</v>
      </c>
      <c r="B5" s="2979" t="s">
        <v>3222</v>
      </c>
      <c r="C5" s="2979" t="s">
        <v>1326</v>
      </c>
      <c r="D5" s="2979" t="s">
        <v>3235</v>
      </c>
      <c r="E5" s="2979" t="s">
        <v>3224</v>
      </c>
      <c r="F5" s="2979" t="s">
        <v>3166</v>
      </c>
      <c r="G5" s="2979" t="s">
        <v>3182</v>
      </c>
      <c r="H5" s="2983">
        <v>89</v>
      </c>
      <c r="I5" s="2983">
        <v>436.09</v>
      </c>
      <c r="J5" s="2983">
        <v>49137</v>
      </c>
    </row>
    <row r="6" spans="1:10">
      <c r="A6" s="2979" t="s">
        <v>3234</v>
      </c>
      <c r="B6" s="2979" t="s">
        <v>3230</v>
      </c>
      <c r="C6" s="2979" t="s">
        <v>1326</v>
      </c>
      <c r="D6" s="2979" t="s">
        <v>3236</v>
      </c>
      <c r="E6" s="2979" t="s">
        <v>3224</v>
      </c>
      <c r="F6" s="2979" t="s">
        <v>3166</v>
      </c>
      <c r="G6" s="2979" t="s">
        <v>3182</v>
      </c>
      <c r="H6" s="2983">
        <v>89</v>
      </c>
      <c r="I6" s="2983">
        <v>438.16</v>
      </c>
      <c r="J6" s="2983">
        <v>49137</v>
      </c>
    </row>
    <row r="7" spans="1:10">
      <c r="A7" s="2979" t="s">
        <v>3234</v>
      </c>
      <c r="B7" s="2979" t="s">
        <v>3238</v>
      </c>
      <c r="C7" s="2979" t="s">
        <v>1326</v>
      </c>
      <c r="D7" s="2979" t="s">
        <v>3239</v>
      </c>
      <c r="E7" s="2979" t="s">
        <v>3224</v>
      </c>
      <c r="F7" s="2979" t="s">
        <v>3166</v>
      </c>
      <c r="G7" s="2979" t="s">
        <v>3182</v>
      </c>
      <c r="H7" s="2983">
        <v>89</v>
      </c>
      <c r="I7" s="2983">
        <v>458.55</v>
      </c>
      <c r="J7" s="2983">
        <v>51540</v>
      </c>
    </row>
    <row r="8" spans="1:10">
      <c r="A8" s="2979" t="s">
        <v>3242</v>
      </c>
      <c r="B8" s="2979" t="s">
        <v>3243</v>
      </c>
      <c r="C8" s="2979" t="s">
        <v>1326</v>
      </c>
      <c r="D8" s="2979" t="s">
        <v>3244</v>
      </c>
      <c r="E8" s="2979" t="s">
        <v>3224</v>
      </c>
      <c r="F8" s="2979" t="s">
        <v>3166</v>
      </c>
      <c r="G8" s="2979" t="s">
        <v>3182</v>
      </c>
      <c r="H8" s="2983">
        <v>89</v>
      </c>
      <c r="I8" s="2983">
        <v>437.96</v>
      </c>
      <c r="J8" s="2983">
        <v>49099</v>
      </c>
    </row>
    <row r="9" spans="1:10">
      <c r="A9" s="2979" t="s">
        <v>3251</v>
      </c>
      <c r="B9" s="2979" t="s">
        <v>3252</v>
      </c>
      <c r="C9" s="2979" t="s">
        <v>1326</v>
      </c>
      <c r="D9" s="2979" t="s">
        <v>3253</v>
      </c>
      <c r="E9" s="2979" t="s">
        <v>3224</v>
      </c>
      <c r="F9" s="2979" t="s">
        <v>3166</v>
      </c>
      <c r="G9" s="2979" t="s">
        <v>3182</v>
      </c>
      <c r="H9" s="2983">
        <v>83</v>
      </c>
      <c r="I9" s="2983">
        <v>374</v>
      </c>
      <c r="J9" s="2983">
        <v>45207</v>
      </c>
    </row>
    <row r="10" spans="1:10">
      <c r="A10" s="2979" t="s">
        <v>3257</v>
      </c>
      <c r="B10" s="2979" t="s">
        <v>3238</v>
      </c>
      <c r="C10" s="2979" t="s">
        <v>1326</v>
      </c>
      <c r="D10" s="2979" t="s">
        <v>3235</v>
      </c>
      <c r="E10" s="2979" t="s">
        <v>3224</v>
      </c>
      <c r="F10" s="2979" t="s">
        <v>3166</v>
      </c>
      <c r="G10" s="2979" t="s">
        <v>3182</v>
      </c>
      <c r="H10" s="2983">
        <v>89</v>
      </c>
      <c r="I10" s="2983">
        <v>459.99</v>
      </c>
      <c r="J10" s="2983">
        <v>51562</v>
      </c>
    </row>
    <row r="11" spans="1:10">
      <c r="A11" s="2979" t="s">
        <v>3162</v>
      </c>
      <c r="B11" s="2979" t="s">
        <v>3260</v>
      </c>
      <c r="C11" s="2979" t="s">
        <v>1326</v>
      </c>
      <c r="D11" s="2979" t="s">
        <v>3223</v>
      </c>
      <c r="E11" s="2979" t="s">
        <v>3224</v>
      </c>
      <c r="F11" s="2979" t="s">
        <v>3166</v>
      </c>
      <c r="G11" s="2979" t="s">
        <v>3182</v>
      </c>
      <c r="H11" s="2983">
        <v>89</v>
      </c>
      <c r="I11" s="2983">
        <v>460.35</v>
      </c>
      <c r="J11" s="2983">
        <v>51563</v>
      </c>
    </row>
    <row r="12" spans="1:10" s="2985" customFormat="1">
      <c r="A12" s="2985" t="s">
        <v>3162</v>
      </c>
      <c r="B12" s="2985" t="s">
        <v>3243</v>
      </c>
      <c r="C12" s="2985" t="s">
        <v>1326</v>
      </c>
      <c r="D12" s="2985" t="s">
        <v>3263</v>
      </c>
      <c r="E12" s="2985" t="s">
        <v>3224</v>
      </c>
      <c r="F12" s="2985" t="s">
        <v>3166</v>
      </c>
      <c r="G12" s="2985" t="s">
        <v>3167</v>
      </c>
      <c r="H12" s="2986">
        <v>83</v>
      </c>
      <c r="I12" s="2986">
        <v>374</v>
      </c>
      <c r="J12" s="2986">
        <v>45115</v>
      </c>
    </row>
    <row r="13" spans="1:10">
      <c r="A13" s="2979" t="s">
        <v>3265</v>
      </c>
      <c r="B13" s="2979" t="s">
        <v>3171</v>
      </c>
      <c r="C13" s="2979" t="s">
        <v>1326</v>
      </c>
      <c r="D13" s="2979" t="s">
        <v>3266</v>
      </c>
      <c r="E13" s="2979" t="s">
        <v>3224</v>
      </c>
      <c r="F13" s="2979" t="s">
        <v>3166</v>
      </c>
      <c r="G13" s="2979" t="s">
        <v>3182</v>
      </c>
      <c r="H13" s="2983">
        <v>86</v>
      </c>
      <c r="I13" s="2983">
        <v>420</v>
      </c>
      <c r="J13" s="2983">
        <v>49123</v>
      </c>
    </row>
    <row r="14" spans="1:10">
      <c r="A14" s="2979" t="s">
        <v>3270</v>
      </c>
      <c r="B14" s="2979" t="s">
        <v>3230</v>
      </c>
      <c r="C14" s="2979" t="s">
        <v>1326</v>
      </c>
      <c r="D14" s="2979" t="s">
        <v>3271</v>
      </c>
      <c r="E14" s="2979" t="s">
        <v>3224</v>
      </c>
      <c r="F14" s="2979" t="s">
        <v>3166</v>
      </c>
      <c r="G14" s="2979" t="s">
        <v>3182</v>
      </c>
      <c r="H14" s="2983">
        <v>89</v>
      </c>
      <c r="I14" s="2983">
        <v>438.33</v>
      </c>
      <c r="J14" s="2983">
        <v>49156</v>
      </c>
    </row>
    <row r="15" spans="1:10">
      <c r="A15" s="2979" t="s">
        <v>3198</v>
      </c>
      <c r="B15" s="2979" t="s">
        <v>3171</v>
      </c>
      <c r="C15" s="2979" t="s">
        <v>1326</v>
      </c>
      <c r="D15" s="2979" t="s">
        <v>3273</v>
      </c>
      <c r="E15" s="2979" t="s">
        <v>3224</v>
      </c>
      <c r="F15" s="2979" t="s">
        <v>3166</v>
      </c>
      <c r="G15" s="2979" t="s">
        <v>3182</v>
      </c>
      <c r="H15" s="2983">
        <v>89</v>
      </c>
      <c r="I15" s="2983">
        <v>465.03</v>
      </c>
      <c r="J15" s="2983">
        <v>52357</v>
      </c>
    </row>
    <row r="16" spans="1:10">
      <c r="A16" s="2979" t="s">
        <v>3276</v>
      </c>
      <c r="B16" s="2979" t="s">
        <v>3222</v>
      </c>
      <c r="C16" s="2979" t="s">
        <v>1326</v>
      </c>
      <c r="D16" s="2979" t="s">
        <v>3282</v>
      </c>
      <c r="E16" s="2979" t="s">
        <v>3224</v>
      </c>
      <c r="F16" s="2979" t="s">
        <v>3166</v>
      </c>
      <c r="G16" s="2979" t="s">
        <v>3182</v>
      </c>
      <c r="H16" s="2983">
        <v>89</v>
      </c>
      <c r="I16" s="2983">
        <v>437.74</v>
      </c>
      <c r="J16" s="2983">
        <v>49195</v>
      </c>
    </row>
    <row r="17" spans="1:10">
      <c r="A17" s="2979" t="s">
        <v>3276</v>
      </c>
      <c r="B17" s="2979" t="s">
        <v>3238</v>
      </c>
      <c r="C17" s="2979" t="s">
        <v>1326</v>
      </c>
      <c r="D17" s="2979" t="s">
        <v>3285</v>
      </c>
      <c r="E17" s="2979" t="s">
        <v>3224</v>
      </c>
      <c r="F17" s="2979" t="s">
        <v>3166</v>
      </c>
      <c r="G17" s="2979" t="s">
        <v>3182</v>
      </c>
      <c r="H17" s="2983">
        <v>89</v>
      </c>
      <c r="I17" s="2983">
        <v>459.81</v>
      </c>
      <c r="J17" s="2983">
        <v>51542</v>
      </c>
    </row>
    <row r="18" spans="1:10">
      <c r="A18" s="2979" t="s">
        <v>3205</v>
      </c>
      <c r="B18" s="2979" t="s">
        <v>3222</v>
      </c>
      <c r="C18" s="2979" t="s">
        <v>1326</v>
      </c>
      <c r="D18" s="2979" t="s">
        <v>3292</v>
      </c>
      <c r="E18" s="2979" t="s">
        <v>3224</v>
      </c>
      <c r="F18" s="2979" t="s">
        <v>3166</v>
      </c>
      <c r="G18" s="2979" t="s">
        <v>3182</v>
      </c>
      <c r="H18" s="2983">
        <v>89</v>
      </c>
      <c r="I18" s="2983">
        <v>435.92</v>
      </c>
      <c r="J18" s="2983">
        <v>49118</v>
      </c>
    </row>
    <row r="19" spans="1:10">
      <c r="A19" s="2979" t="s">
        <v>3205</v>
      </c>
      <c r="B19" s="2979" t="s">
        <v>3243</v>
      </c>
      <c r="C19" s="2979" t="s">
        <v>1326</v>
      </c>
      <c r="D19" s="2979" t="s">
        <v>3223</v>
      </c>
      <c r="E19" s="2979" t="s">
        <v>3224</v>
      </c>
      <c r="F19" s="2979" t="s">
        <v>3166</v>
      </c>
      <c r="G19" s="2979" t="s">
        <v>3182</v>
      </c>
      <c r="H19" s="2983">
        <v>89</v>
      </c>
      <c r="I19" s="2983">
        <v>438.3</v>
      </c>
      <c r="J19" s="2983">
        <v>49137</v>
      </c>
    </row>
    <row r="20" spans="1:10">
      <c r="A20" s="2979" t="s">
        <v>3214</v>
      </c>
      <c r="B20" s="2979" t="s">
        <v>3243</v>
      </c>
      <c r="C20" s="2979" t="s">
        <v>1326</v>
      </c>
      <c r="D20" s="2979" t="s">
        <v>3300</v>
      </c>
      <c r="E20" s="2979" t="s">
        <v>3224</v>
      </c>
      <c r="F20" s="2979" t="s">
        <v>3166</v>
      </c>
      <c r="G20" s="2979" t="s">
        <v>3182</v>
      </c>
      <c r="H20" s="2983">
        <v>89</v>
      </c>
      <c r="I20" s="2983">
        <v>438.65</v>
      </c>
      <c r="J20" s="2983">
        <v>49176</v>
      </c>
    </row>
    <row r="21" spans="1:10">
      <c r="A21" s="2979" t="s">
        <v>3302</v>
      </c>
      <c r="B21" s="2979" t="s">
        <v>3171</v>
      </c>
      <c r="C21" s="2979" t="s">
        <v>1326</v>
      </c>
      <c r="D21" s="2979" t="s">
        <v>3292</v>
      </c>
      <c r="E21" s="2979" t="s">
        <v>3224</v>
      </c>
      <c r="F21" s="2979" t="s">
        <v>3166</v>
      </c>
      <c r="G21" s="2979" t="s">
        <v>3182</v>
      </c>
      <c r="H21" s="2983">
        <v>89</v>
      </c>
      <c r="I21" s="2983">
        <v>465.39</v>
      </c>
      <c r="J21" s="2983">
        <v>52397</v>
      </c>
    </row>
    <row r="22" spans="1:10">
      <c r="A22" s="2979" t="s">
        <v>3302</v>
      </c>
      <c r="B22" s="2979" t="s">
        <v>3222</v>
      </c>
      <c r="C22" s="2979" t="s">
        <v>1326</v>
      </c>
      <c r="D22" s="2979" t="s">
        <v>3309</v>
      </c>
      <c r="E22" s="2979" t="s">
        <v>3224</v>
      </c>
      <c r="F22" s="2979" t="s">
        <v>3166</v>
      </c>
      <c r="G22" s="2979" t="s">
        <v>3182</v>
      </c>
      <c r="H22" s="2983">
        <v>89</v>
      </c>
      <c r="I22" s="2983">
        <v>436.6</v>
      </c>
      <c r="J22" s="2983">
        <v>49195</v>
      </c>
    </row>
    <row r="23" spans="1:10">
      <c r="A23" s="2979" t="s">
        <v>3316</v>
      </c>
      <c r="B23" s="2979" t="s">
        <v>3222</v>
      </c>
      <c r="C23" s="2979" t="s">
        <v>1326</v>
      </c>
      <c r="D23" s="2979" t="s">
        <v>3319</v>
      </c>
      <c r="E23" s="2979" t="s">
        <v>3224</v>
      </c>
      <c r="F23" s="2979" t="s">
        <v>3166</v>
      </c>
      <c r="G23" s="2979" t="s">
        <v>3182</v>
      </c>
      <c r="H23" s="2983">
        <v>89</v>
      </c>
      <c r="I23" s="2983">
        <v>445.57</v>
      </c>
      <c r="J23" s="2983">
        <v>49790</v>
      </c>
    </row>
    <row r="24" spans="1:10">
      <c r="A24" s="2979" t="s">
        <v>3322</v>
      </c>
      <c r="B24" s="2979" t="s">
        <v>3171</v>
      </c>
      <c r="C24" s="2979" t="s">
        <v>1326</v>
      </c>
      <c r="D24" s="2979" t="s">
        <v>3253</v>
      </c>
      <c r="E24" s="2979" t="s">
        <v>3224</v>
      </c>
      <c r="F24" s="2979" t="s">
        <v>3166</v>
      </c>
      <c r="G24" s="2979" t="s">
        <v>3182</v>
      </c>
      <c r="H24" s="2983">
        <v>86</v>
      </c>
      <c r="I24" s="2983">
        <v>420</v>
      </c>
      <c r="J24" s="2983">
        <v>49123</v>
      </c>
    </row>
    <row r="25" spans="1:10">
      <c r="A25" s="2979" t="s">
        <v>3322</v>
      </c>
      <c r="B25" s="2979" t="s">
        <v>3230</v>
      </c>
      <c r="C25" s="2979" t="s">
        <v>1326</v>
      </c>
      <c r="D25" s="2979" t="s">
        <v>3323</v>
      </c>
      <c r="E25" s="2979" t="s">
        <v>3224</v>
      </c>
      <c r="F25" s="2979" t="s">
        <v>3166</v>
      </c>
      <c r="G25" s="2979" t="s">
        <v>3182</v>
      </c>
      <c r="H25" s="2983">
        <v>90</v>
      </c>
      <c r="I25" s="2983">
        <v>444.03</v>
      </c>
      <c r="J25" s="2983">
        <v>49579</v>
      </c>
    </row>
    <row r="26" spans="1:10">
      <c r="A26" s="2979" t="s">
        <v>3326</v>
      </c>
      <c r="B26" s="2979" t="s">
        <v>3171</v>
      </c>
      <c r="C26" s="2979" t="s">
        <v>1326</v>
      </c>
      <c r="D26" s="2979" t="s">
        <v>3327</v>
      </c>
      <c r="E26" s="2979" t="s">
        <v>3224</v>
      </c>
      <c r="F26" s="2979" t="s">
        <v>3166</v>
      </c>
      <c r="G26" s="2979" t="s">
        <v>3182</v>
      </c>
      <c r="H26" s="2983">
        <v>89</v>
      </c>
      <c r="I26" s="2983">
        <v>464.68</v>
      </c>
      <c r="J26" s="2983">
        <v>52317</v>
      </c>
    </row>
    <row r="27" spans="1:10">
      <c r="A27" s="2979" t="s">
        <v>3330</v>
      </c>
      <c r="B27" s="2979" t="s">
        <v>3252</v>
      </c>
      <c r="C27" s="2979" t="s">
        <v>1326</v>
      </c>
      <c r="D27" s="2979" t="s">
        <v>3236</v>
      </c>
      <c r="E27" s="2979" t="s">
        <v>3224</v>
      </c>
      <c r="F27" s="2979" t="s">
        <v>3166</v>
      </c>
      <c r="G27" s="2979" t="s">
        <v>3182</v>
      </c>
      <c r="H27" s="2983">
        <v>83</v>
      </c>
      <c r="I27" s="2983">
        <v>374</v>
      </c>
      <c r="J27" s="2983">
        <v>45207</v>
      </c>
    </row>
    <row r="28" spans="1:10">
      <c r="A28" s="2979" t="s">
        <v>3334</v>
      </c>
      <c r="B28" s="2979" t="s">
        <v>3230</v>
      </c>
      <c r="C28" s="2979" t="s">
        <v>1326</v>
      </c>
      <c r="D28" s="2979" t="s">
        <v>3289</v>
      </c>
      <c r="E28" s="2979" t="s">
        <v>3224</v>
      </c>
      <c r="F28" s="2979" t="s">
        <v>3166</v>
      </c>
      <c r="G28" s="2979" t="s">
        <v>3182</v>
      </c>
      <c r="H28" s="2983">
        <v>89</v>
      </c>
      <c r="I28" s="2983">
        <v>436.27</v>
      </c>
      <c r="J28" s="2983">
        <v>49118</v>
      </c>
    </row>
    <row r="29" spans="1:10">
      <c r="A29" s="2979" t="s">
        <v>3336</v>
      </c>
      <c r="B29" s="2979" t="s">
        <v>3230</v>
      </c>
      <c r="C29" s="2979" t="s">
        <v>1326</v>
      </c>
      <c r="D29" s="2979" t="s">
        <v>3337</v>
      </c>
      <c r="E29" s="2979" t="s">
        <v>3224</v>
      </c>
      <c r="F29" s="2979" t="s">
        <v>3166</v>
      </c>
      <c r="G29" s="2979" t="s">
        <v>3182</v>
      </c>
      <c r="H29" s="2983">
        <v>89</v>
      </c>
      <c r="I29" s="2983">
        <v>440.86</v>
      </c>
      <c r="J29" s="2983">
        <v>49579</v>
      </c>
    </row>
    <row r="30" spans="1:10">
      <c r="A30" s="2979" t="s">
        <v>3336</v>
      </c>
      <c r="B30" s="2979" t="s">
        <v>3252</v>
      </c>
      <c r="C30" s="2979" t="s">
        <v>1326</v>
      </c>
      <c r="D30" s="2979" t="s">
        <v>3339</v>
      </c>
      <c r="E30" s="2979" t="s">
        <v>3224</v>
      </c>
      <c r="F30" s="2979" t="s">
        <v>3166</v>
      </c>
      <c r="G30" s="2979" t="s">
        <v>3182</v>
      </c>
      <c r="H30" s="2983">
        <v>83</v>
      </c>
      <c r="I30" s="2983">
        <v>374</v>
      </c>
      <c r="J30" s="2983">
        <v>45207</v>
      </c>
    </row>
    <row r="31" spans="1:10">
      <c r="A31" s="2979" t="s">
        <v>3336</v>
      </c>
      <c r="B31" s="2979" t="s">
        <v>3222</v>
      </c>
      <c r="C31" s="2979" t="s">
        <v>1326</v>
      </c>
      <c r="D31" s="2979" t="s">
        <v>3340</v>
      </c>
      <c r="E31" s="2979" t="s">
        <v>3224</v>
      </c>
      <c r="F31" s="2979" t="s">
        <v>3166</v>
      </c>
      <c r="G31" s="2979" t="s">
        <v>3182</v>
      </c>
      <c r="H31" s="2983">
        <v>89</v>
      </c>
      <c r="I31" s="2983">
        <v>436.09</v>
      </c>
      <c r="J31" s="2983">
        <v>49137</v>
      </c>
    </row>
    <row r="33" spans="1:10">
      <c r="A33" s="2979" t="s">
        <v>3341</v>
      </c>
      <c r="B33" s="2979" t="s">
        <v>3222</v>
      </c>
      <c r="C33" s="2979" t="s">
        <v>1326</v>
      </c>
      <c r="D33" s="2979" t="s">
        <v>3188</v>
      </c>
      <c r="E33" s="2979" t="s">
        <v>3224</v>
      </c>
      <c r="F33" s="2979" t="s">
        <v>3166</v>
      </c>
      <c r="G33" s="2979" t="s">
        <v>3182</v>
      </c>
      <c r="H33" s="2983">
        <v>89</v>
      </c>
      <c r="I33" s="2983">
        <v>437.22</v>
      </c>
      <c r="J33" s="2983">
        <v>49137</v>
      </c>
    </row>
    <row r="34" spans="1:10" s="2987" customFormat="1">
      <c r="A34" s="2987" t="s">
        <v>3341</v>
      </c>
      <c r="B34" s="2987" t="s">
        <v>3222</v>
      </c>
      <c r="C34" s="2987" t="s">
        <v>1326</v>
      </c>
      <c r="D34" s="2987" t="s">
        <v>3343</v>
      </c>
      <c r="E34" s="2987" t="s">
        <v>3224</v>
      </c>
      <c r="F34" s="2987" t="s">
        <v>3166</v>
      </c>
      <c r="G34" s="2987" t="s">
        <v>3182</v>
      </c>
      <c r="H34" s="2988">
        <v>89</v>
      </c>
      <c r="I34" s="2988">
        <v>435.41</v>
      </c>
      <c r="J34" s="2988">
        <v>49060</v>
      </c>
    </row>
    <row r="35" spans="1:10">
      <c r="A35" s="2979" t="s">
        <v>3346</v>
      </c>
      <c r="B35" s="2979" t="s">
        <v>3222</v>
      </c>
      <c r="C35" s="2979" t="s">
        <v>1326</v>
      </c>
      <c r="D35" s="2979" t="s">
        <v>3327</v>
      </c>
      <c r="E35" s="2979" t="s">
        <v>3224</v>
      </c>
      <c r="F35" s="2979" t="s">
        <v>3166</v>
      </c>
      <c r="G35" s="2979" t="s">
        <v>3182</v>
      </c>
      <c r="H35" s="2983">
        <v>89</v>
      </c>
      <c r="I35" s="2983">
        <v>436.26</v>
      </c>
      <c r="J35" s="2983">
        <v>49156</v>
      </c>
    </row>
    <row r="36" spans="1:10">
      <c r="A36" s="2979" t="s">
        <v>3346</v>
      </c>
      <c r="B36" s="2979" t="s">
        <v>3222</v>
      </c>
      <c r="C36" s="2979" t="s">
        <v>1326</v>
      </c>
      <c r="D36" s="2979" t="s">
        <v>3347</v>
      </c>
      <c r="E36" s="2979" t="s">
        <v>3224</v>
      </c>
      <c r="F36" s="2979" t="s">
        <v>3166</v>
      </c>
      <c r="G36" s="2979" t="s">
        <v>3182</v>
      </c>
      <c r="H36" s="2983">
        <v>89</v>
      </c>
      <c r="I36" s="2983">
        <v>441.34</v>
      </c>
      <c r="J36" s="2983">
        <v>49406</v>
      </c>
    </row>
    <row r="37" spans="1:10">
      <c r="A37" s="2979" t="s">
        <v>3350</v>
      </c>
      <c r="B37" s="2979" t="s">
        <v>3230</v>
      </c>
      <c r="C37" s="2979" t="s">
        <v>1326</v>
      </c>
      <c r="D37" s="2979" t="s">
        <v>3351</v>
      </c>
      <c r="E37" s="2979" t="s">
        <v>3224</v>
      </c>
      <c r="F37" s="2979" t="s">
        <v>3166</v>
      </c>
      <c r="G37" s="2979" t="s">
        <v>3182</v>
      </c>
      <c r="H37" s="2983">
        <v>89</v>
      </c>
      <c r="I37" s="2983">
        <v>436.61</v>
      </c>
      <c r="J37" s="2983">
        <v>49156</v>
      </c>
    </row>
    <row r="38" spans="1:10">
      <c r="A38" s="2979" t="s">
        <v>3350</v>
      </c>
      <c r="B38" s="2979" t="s">
        <v>3171</v>
      </c>
      <c r="C38" s="2979" t="s">
        <v>1326</v>
      </c>
      <c r="D38" s="2979" t="s">
        <v>3354</v>
      </c>
      <c r="E38" s="2979" t="s">
        <v>3224</v>
      </c>
      <c r="F38" s="2979" t="s">
        <v>3166</v>
      </c>
      <c r="G38" s="2979" t="s">
        <v>3182</v>
      </c>
      <c r="H38" s="2983">
        <v>89</v>
      </c>
      <c r="I38" s="2983">
        <v>465.03</v>
      </c>
      <c r="J38" s="2983">
        <v>52357</v>
      </c>
    </row>
    <row r="39" spans="1:10">
      <c r="A39" s="2979" t="s">
        <v>3358</v>
      </c>
      <c r="B39" s="2979" t="s">
        <v>3230</v>
      </c>
      <c r="C39" s="2979" t="s">
        <v>1326</v>
      </c>
      <c r="D39" s="2979" t="s">
        <v>1326</v>
      </c>
      <c r="E39" s="2979" t="s">
        <v>3224</v>
      </c>
      <c r="F39" s="2979" t="s">
        <v>3166</v>
      </c>
      <c r="G39" s="2979" t="s">
        <v>3182</v>
      </c>
      <c r="H39" s="2983">
        <v>89</v>
      </c>
      <c r="I39" s="2983">
        <v>437.99</v>
      </c>
      <c r="J39" s="2983">
        <v>49118</v>
      </c>
    </row>
    <row r="40" spans="1:10">
      <c r="A40" s="2979" t="s">
        <v>3364</v>
      </c>
      <c r="B40" s="2979" t="s">
        <v>3171</v>
      </c>
      <c r="C40" s="2979" t="s">
        <v>1326</v>
      </c>
      <c r="D40" s="2979" t="s">
        <v>1326</v>
      </c>
      <c r="E40" s="2979" t="s">
        <v>3224</v>
      </c>
      <c r="F40" s="2979" t="s">
        <v>3166</v>
      </c>
      <c r="G40" s="2979" t="s">
        <v>3167</v>
      </c>
      <c r="H40" s="2983">
        <v>84</v>
      </c>
      <c r="I40" s="2983">
        <v>441.44</v>
      </c>
      <c r="J40" s="2983">
        <v>52359</v>
      </c>
    </row>
    <row r="41" spans="1:10">
      <c r="A41" s="2979" t="s">
        <v>3371</v>
      </c>
      <c r="B41" s="2979" t="s">
        <v>3243</v>
      </c>
      <c r="C41" s="2979" t="s">
        <v>1326</v>
      </c>
      <c r="D41" s="2979" t="s">
        <v>1326</v>
      </c>
      <c r="E41" s="2979" t="s">
        <v>3224</v>
      </c>
      <c r="F41" s="2979" t="s">
        <v>3166</v>
      </c>
      <c r="G41" s="2979" t="s">
        <v>3182</v>
      </c>
      <c r="H41" s="2983">
        <v>89</v>
      </c>
      <c r="I41" s="2983">
        <v>437.79</v>
      </c>
      <c r="J41" s="2983">
        <v>49080</v>
      </c>
    </row>
    <row r="42" spans="1:10">
      <c r="A42" s="2979" t="s">
        <v>3374</v>
      </c>
      <c r="B42" s="2979" t="s">
        <v>3171</v>
      </c>
      <c r="C42" s="2979" t="s">
        <v>1326</v>
      </c>
      <c r="D42" s="2979" t="s">
        <v>1326</v>
      </c>
      <c r="E42" s="2979" t="s">
        <v>3224</v>
      </c>
      <c r="F42" s="2979" t="s">
        <v>3166</v>
      </c>
      <c r="G42" s="2979" t="s">
        <v>3182</v>
      </c>
      <c r="H42" s="2983">
        <v>89</v>
      </c>
      <c r="I42" s="2983">
        <v>464.5</v>
      </c>
      <c r="J42" s="2983">
        <v>52297</v>
      </c>
    </row>
    <row r="43" spans="1:10">
      <c r="A43" s="2979" t="s">
        <v>3374</v>
      </c>
      <c r="B43" s="2979" t="s">
        <v>3222</v>
      </c>
      <c r="C43" s="2979" t="s">
        <v>1326</v>
      </c>
      <c r="D43" s="2979" t="s">
        <v>1326</v>
      </c>
      <c r="E43" s="2979" t="s">
        <v>3224</v>
      </c>
      <c r="F43" s="2979" t="s">
        <v>3166</v>
      </c>
      <c r="G43" s="2979" t="s">
        <v>3182</v>
      </c>
      <c r="H43" s="2983">
        <v>89</v>
      </c>
      <c r="I43" s="2983">
        <v>437.57</v>
      </c>
      <c r="J43" s="2983">
        <v>49176</v>
      </c>
    </row>
    <row r="44" spans="1:10">
      <c r="A44" s="2979" t="s">
        <v>3374</v>
      </c>
      <c r="B44" s="2979" t="s">
        <v>3222</v>
      </c>
      <c r="C44" s="2979" t="s">
        <v>1326</v>
      </c>
      <c r="D44" s="2979" t="s">
        <v>1326</v>
      </c>
      <c r="E44" s="2979" t="s">
        <v>3224</v>
      </c>
      <c r="F44" s="2979" t="s">
        <v>3166</v>
      </c>
      <c r="G44" s="2979" t="s">
        <v>3182</v>
      </c>
      <c r="H44" s="2983">
        <v>89</v>
      </c>
      <c r="I44" s="2983">
        <v>441.86</v>
      </c>
      <c r="J44" s="2983">
        <v>49464</v>
      </c>
    </row>
    <row r="45" spans="1:10">
      <c r="A45" s="2979" t="s">
        <v>3382</v>
      </c>
      <c r="B45" s="2979" t="s">
        <v>3222</v>
      </c>
      <c r="C45" s="2979" t="s">
        <v>1326</v>
      </c>
      <c r="D45" s="2979" t="s">
        <v>1326</v>
      </c>
      <c r="E45" s="2979" t="s">
        <v>3224</v>
      </c>
      <c r="F45" s="2979" t="s">
        <v>3166</v>
      </c>
      <c r="G45" s="2979" t="s">
        <v>3182</v>
      </c>
      <c r="H45" s="2983">
        <v>89</v>
      </c>
      <c r="I45" s="2983">
        <v>442.21</v>
      </c>
      <c r="J45" s="2983">
        <v>49771</v>
      </c>
    </row>
    <row r="46" spans="1:10">
      <c r="A46" s="2979" t="s">
        <v>3382</v>
      </c>
      <c r="B46" s="2979" t="s">
        <v>3222</v>
      </c>
      <c r="C46" s="2979" t="s">
        <v>1326</v>
      </c>
      <c r="D46" s="2979" t="s">
        <v>1326</v>
      </c>
      <c r="E46" s="2979" t="s">
        <v>3224</v>
      </c>
      <c r="F46" s="2979" t="s">
        <v>3166</v>
      </c>
      <c r="G46" s="2979" t="s">
        <v>3182</v>
      </c>
      <c r="H46" s="2983">
        <v>89</v>
      </c>
      <c r="I46" s="2983">
        <v>436.09</v>
      </c>
      <c r="J46" s="2983">
        <v>49137</v>
      </c>
    </row>
    <row r="47" spans="1:10">
      <c r="A47" s="2979" t="s">
        <v>3382</v>
      </c>
      <c r="B47" s="2979" t="s">
        <v>3222</v>
      </c>
      <c r="C47" s="2979" t="s">
        <v>1326</v>
      </c>
      <c r="D47" s="2979" t="s">
        <v>1326</v>
      </c>
      <c r="E47" s="2979" t="s">
        <v>3224</v>
      </c>
      <c r="F47" s="2979" t="s">
        <v>3166</v>
      </c>
      <c r="G47" s="2979" t="s">
        <v>3182</v>
      </c>
      <c r="H47" s="2983">
        <v>89</v>
      </c>
      <c r="I47" s="2983">
        <v>437.39</v>
      </c>
      <c r="J47" s="2983">
        <v>49156</v>
      </c>
    </row>
    <row r="48" spans="1:10">
      <c r="A48" s="2979" t="s">
        <v>3382</v>
      </c>
      <c r="B48" s="2979" t="s">
        <v>3222</v>
      </c>
      <c r="C48" s="2979" t="s">
        <v>1326</v>
      </c>
      <c r="D48" s="2979" t="s">
        <v>1326</v>
      </c>
      <c r="E48" s="2979" t="s">
        <v>3224</v>
      </c>
      <c r="F48" s="2979" t="s">
        <v>3166</v>
      </c>
      <c r="G48" s="2979" t="s">
        <v>3182</v>
      </c>
      <c r="H48" s="2983">
        <v>89</v>
      </c>
      <c r="I48" s="2983">
        <v>445.92</v>
      </c>
      <c r="J48" s="2983">
        <v>49828</v>
      </c>
    </row>
    <row r="50" spans="1:10">
      <c r="A50" s="2979" t="s">
        <v>3388</v>
      </c>
      <c r="B50" s="2979" t="s">
        <v>3222</v>
      </c>
      <c r="C50" s="2979" t="s">
        <v>1326</v>
      </c>
      <c r="D50" s="2979" t="s">
        <v>1326</v>
      </c>
      <c r="E50" s="2979" t="s">
        <v>3224</v>
      </c>
      <c r="F50" s="2979" t="s">
        <v>3166</v>
      </c>
      <c r="G50" s="2979" t="s">
        <v>3182</v>
      </c>
      <c r="H50" s="2983">
        <v>89</v>
      </c>
      <c r="I50" s="2983">
        <v>436.26</v>
      </c>
      <c r="J50" s="2983">
        <v>49156</v>
      </c>
    </row>
    <row r="51" spans="1:10">
      <c r="A51" s="2979" t="s">
        <v>3389</v>
      </c>
      <c r="B51" s="2979" t="s">
        <v>3222</v>
      </c>
      <c r="C51" s="2979" t="s">
        <v>1326</v>
      </c>
      <c r="D51" s="2979" t="s">
        <v>1326</v>
      </c>
      <c r="E51" s="2979" t="s">
        <v>3224</v>
      </c>
      <c r="F51" s="2979" t="s">
        <v>3166</v>
      </c>
      <c r="G51" s="2979" t="s">
        <v>3182</v>
      </c>
      <c r="H51" s="2983">
        <v>89</v>
      </c>
      <c r="I51" s="2983">
        <v>437.91</v>
      </c>
      <c r="J51" s="2983">
        <v>49214</v>
      </c>
    </row>
    <row r="52" spans="1:10">
      <c r="A52" s="2979" t="s">
        <v>3392</v>
      </c>
      <c r="B52" s="2979" t="s">
        <v>3238</v>
      </c>
      <c r="C52" s="2979" t="s">
        <v>1326</v>
      </c>
      <c r="D52" s="2979" t="s">
        <v>1326</v>
      </c>
      <c r="E52" s="2979" t="s">
        <v>3224</v>
      </c>
      <c r="F52" s="2979" t="s">
        <v>3166</v>
      </c>
      <c r="G52" s="2979" t="s">
        <v>3182</v>
      </c>
      <c r="H52" s="2983">
        <v>89</v>
      </c>
      <c r="I52" s="2983">
        <v>458.91</v>
      </c>
      <c r="J52" s="2983">
        <v>51580</v>
      </c>
    </row>
    <row r="54" spans="1:10">
      <c r="A54" s="2979" t="s">
        <v>3396</v>
      </c>
      <c r="B54" s="2979" t="s">
        <v>3171</v>
      </c>
      <c r="C54" s="2979" t="s">
        <v>1326</v>
      </c>
      <c r="D54" s="2979" t="s">
        <v>1326</v>
      </c>
      <c r="E54" s="2979" t="s">
        <v>3224</v>
      </c>
      <c r="F54" s="2979" t="s">
        <v>3166</v>
      </c>
      <c r="G54" s="2979" t="s">
        <v>3167</v>
      </c>
      <c r="H54" s="2983">
        <v>84</v>
      </c>
      <c r="I54" s="2983">
        <v>441.77</v>
      </c>
      <c r="J54" s="2983">
        <v>52399</v>
      </c>
    </row>
    <row r="55" spans="1:10">
      <c r="A55" s="2979" t="s">
        <v>3396</v>
      </c>
      <c r="B55" s="2979" t="s">
        <v>3222</v>
      </c>
      <c r="C55" s="2979" t="s">
        <v>1326</v>
      </c>
      <c r="D55" s="2979" t="s">
        <v>1326</v>
      </c>
      <c r="E55" s="2979" t="s">
        <v>3224</v>
      </c>
      <c r="F55" s="2979" t="s">
        <v>3166</v>
      </c>
      <c r="G55" s="2979" t="s">
        <v>3182</v>
      </c>
      <c r="H55" s="2983">
        <v>89</v>
      </c>
      <c r="I55" s="2983">
        <v>437.05</v>
      </c>
      <c r="J55" s="2983">
        <v>49118</v>
      </c>
    </row>
    <row r="56" spans="1:10">
      <c r="A56" s="2979" t="s">
        <v>3401</v>
      </c>
      <c r="B56" s="2979" t="s">
        <v>3260</v>
      </c>
      <c r="C56" s="2979" t="s">
        <v>1326</v>
      </c>
      <c r="D56" s="2979" t="s">
        <v>1326</v>
      </c>
      <c r="E56" s="2979" t="s">
        <v>3224</v>
      </c>
      <c r="F56" s="2979" t="s">
        <v>3166</v>
      </c>
      <c r="G56" s="2979" t="s">
        <v>3182</v>
      </c>
      <c r="H56" s="2983">
        <v>90</v>
      </c>
      <c r="I56" s="2983">
        <v>464.91</v>
      </c>
      <c r="J56" s="2983">
        <v>51668</v>
      </c>
    </row>
    <row r="57" spans="1:10">
      <c r="A57" s="2979" t="s">
        <v>3406</v>
      </c>
      <c r="B57" s="2979" t="s">
        <v>3171</v>
      </c>
      <c r="C57" s="2979" t="s">
        <v>1326</v>
      </c>
      <c r="D57" s="2979" t="s">
        <v>1326</v>
      </c>
      <c r="E57" s="2979" t="s">
        <v>3224</v>
      </c>
      <c r="F57" s="2979" t="s">
        <v>3166</v>
      </c>
      <c r="G57" s="2979" t="s">
        <v>3182</v>
      </c>
      <c r="H57" s="2983">
        <v>89</v>
      </c>
      <c r="I57" s="2983">
        <v>465.84</v>
      </c>
      <c r="J57" s="2983">
        <v>52318</v>
      </c>
    </row>
    <row r="58" spans="1:10">
      <c r="A58" s="2979" t="s">
        <v>3406</v>
      </c>
      <c r="B58" s="2979" t="s">
        <v>3243</v>
      </c>
      <c r="C58" s="2979" t="s">
        <v>1326</v>
      </c>
      <c r="D58" s="2979" t="s">
        <v>1326</v>
      </c>
      <c r="E58" s="2979" t="s">
        <v>3224</v>
      </c>
      <c r="F58" s="2979" t="s">
        <v>3166</v>
      </c>
      <c r="G58" s="2979" t="s">
        <v>3167</v>
      </c>
      <c r="H58" s="2983">
        <v>85</v>
      </c>
      <c r="I58" s="2983">
        <v>434.11</v>
      </c>
      <c r="J58" s="2983">
        <v>51270</v>
      </c>
    </row>
    <row r="59" spans="1:10">
      <c r="A59" s="2979" t="s">
        <v>3412</v>
      </c>
      <c r="B59" s="2979" t="s">
        <v>3222</v>
      </c>
      <c r="C59" s="2979" t="s">
        <v>1326</v>
      </c>
      <c r="D59" s="2979" t="s">
        <v>1326</v>
      </c>
      <c r="E59" s="2979" t="s">
        <v>3224</v>
      </c>
      <c r="F59" s="2979" t="s">
        <v>3166</v>
      </c>
      <c r="G59" s="2979" t="s">
        <v>3182</v>
      </c>
      <c r="H59" s="2983">
        <v>89</v>
      </c>
      <c r="I59" s="2983">
        <v>447.12</v>
      </c>
      <c r="J59" s="2983">
        <v>49963</v>
      </c>
    </row>
    <row r="60" spans="1:10">
      <c r="A60" s="2979" t="s">
        <v>3415</v>
      </c>
      <c r="B60" s="2979" t="s">
        <v>3222</v>
      </c>
      <c r="C60" s="2979" t="s">
        <v>1326</v>
      </c>
      <c r="D60" s="2979" t="s">
        <v>1326</v>
      </c>
      <c r="E60" s="2979" t="s">
        <v>3224</v>
      </c>
      <c r="F60" s="2979" t="s">
        <v>3166</v>
      </c>
      <c r="G60" s="2979" t="s">
        <v>3182</v>
      </c>
      <c r="H60" s="2983">
        <v>89</v>
      </c>
      <c r="I60" s="2983">
        <v>435.75</v>
      </c>
      <c r="J60" s="2983">
        <v>49099</v>
      </c>
    </row>
    <row r="65" spans="1:10">
      <c r="A65" s="2979" t="s">
        <v>3429</v>
      </c>
      <c r="B65" s="2979" t="s">
        <v>3222</v>
      </c>
      <c r="C65" s="2979" t="s">
        <v>1326</v>
      </c>
      <c r="D65" s="2979" t="s">
        <v>1326</v>
      </c>
      <c r="E65" s="2979" t="s">
        <v>3224</v>
      </c>
      <c r="F65" s="2979" t="s">
        <v>3166</v>
      </c>
      <c r="G65" s="2979" t="s">
        <v>3182</v>
      </c>
      <c r="H65" s="2983">
        <v>89</v>
      </c>
      <c r="I65" s="2983">
        <v>436.77</v>
      </c>
      <c r="J65" s="2983">
        <v>49214</v>
      </c>
    </row>
    <row r="66" spans="1:10">
      <c r="A66" s="2979" t="s">
        <v>3431</v>
      </c>
      <c r="B66" s="2979" t="s">
        <v>3171</v>
      </c>
      <c r="C66" s="2979" t="s">
        <v>1326</v>
      </c>
      <c r="D66" s="2979" t="s">
        <v>1326</v>
      </c>
      <c r="E66" s="2979" t="s">
        <v>3224</v>
      </c>
      <c r="F66" s="2979" t="s">
        <v>3166</v>
      </c>
      <c r="G66" s="2979" t="s">
        <v>3182</v>
      </c>
      <c r="H66" s="2983">
        <v>89</v>
      </c>
      <c r="I66" s="2983">
        <v>464.32</v>
      </c>
      <c r="J66" s="2983">
        <v>52277</v>
      </c>
    </row>
    <row r="67" spans="1:10">
      <c r="A67" s="2979" t="s">
        <v>3437</v>
      </c>
      <c r="B67" s="2979" t="s">
        <v>3243</v>
      </c>
      <c r="C67" s="2979" t="s">
        <v>1326</v>
      </c>
      <c r="D67" s="2979" t="s">
        <v>1326</v>
      </c>
      <c r="E67" s="2979" t="s">
        <v>3224</v>
      </c>
      <c r="F67" s="2979" t="s">
        <v>3166</v>
      </c>
      <c r="G67" s="2979" t="s">
        <v>3182</v>
      </c>
      <c r="H67" s="2983">
        <v>90</v>
      </c>
      <c r="I67" s="2983">
        <v>440.47</v>
      </c>
      <c r="J67" s="2983">
        <v>49176</v>
      </c>
    </row>
    <row r="68" spans="1:10">
      <c r="A68" s="2979" t="s">
        <v>3444</v>
      </c>
      <c r="B68" s="2979" t="s">
        <v>3171</v>
      </c>
      <c r="C68" s="2979" t="s">
        <v>1326</v>
      </c>
      <c r="D68" s="2979" t="s">
        <v>1326</v>
      </c>
      <c r="E68" s="2979" t="s">
        <v>3224</v>
      </c>
      <c r="F68" s="2979" t="s">
        <v>3166</v>
      </c>
      <c r="G68" s="2979" t="s">
        <v>3182</v>
      </c>
      <c r="H68" s="2983">
        <v>89</v>
      </c>
      <c r="I68" s="2983">
        <v>465.39</v>
      </c>
      <c r="J68" s="2983">
        <v>52397</v>
      </c>
    </row>
    <row r="69" spans="1:10">
      <c r="A69" s="2979" t="s">
        <v>3449</v>
      </c>
      <c r="B69" s="2979" t="s">
        <v>3238</v>
      </c>
      <c r="C69" s="2979" t="s">
        <v>1326</v>
      </c>
      <c r="D69" s="2979" t="s">
        <v>1326</v>
      </c>
      <c r="E69" s="2979" t="s">
        <v>3224</v>
      </c>
      <c r="F69" s="2979" t="s">
        <v>3166</v>
      </c>
      <c r="G69" s="2979" t="s">
        <v>3182</v>
      </c>
      <c r="H69" s="2983">
        <v>89</v>
      </c>
      <c r="I69" s="2983">
        <v>458.91</v>
      </c>
      <c r="J69" s="2983">
        <v>51580</v>
      </c>
    </row>
    <row r="70" spans="1:10">
      <c r="A70" s="2979" t="s">
        <v>3449</v>
      </c>
      <c r="B70" s="2979" t="s">
        <v>3171</v>
      </c>
      <c r="C70" s="2979" t="s">
        <v>1326</v>
      </c>
      <c r="D70" s="2979" t="s">
        <v>1326</v>
      </c>
      <c r="E70" s="2979" t="s">
        <v>3224</v>
      </c>
      <c r="F70" s="2979" t="s">
        <v>3166</v>
      </c>
      <c r="G70" s="2979" t="s">
        <v>3182</v>
      </c>
      <c r="H70" s="2983">
        <v>89</v>
      </c>
      <c r="I70" s="2983">
        <v>464.5</v>
      </c>
      <c r="J70" s="2983">
        <v>52297</v>
      </c>
    </row>
    <row r="71" spans="1:10">
      <c r="A71" s="2979" t="s">
        <v>3450</v>
      </c>
      <c r="B71" s="2979" t="s">
        <v>3222</v>
      </c>
      <c r="C71" s="2979" t="s">
        <v>1326</v>
      </c>
      <c r="D71" s="2979" t="s">
        <v>1326</v>
      </c>
      <c r="E71" s="2979" t="s">
        <v>3224</v>
      </c>
      <c r="F71" s="2979" t="s">
        <v>3166</v>
      </c>
      <c r="G71" s="2979" t="s">
        <v>3182</v>
      </c>
      <c r="H71" s="2983">
        <v>89</v>
      </c>
      <c r="I71" s="2983">
        <v>441.69</v>
      </c>
      <c r="J71" s="2983">
        <v>49444</v>
      </c>
    </row>
    <row r="72" spans="1:10">
      <c r="A72" s="2979" t="s">
        <v>3453</v>
      </c>
      <c r="B72" s="2979" t="s">
        <v>3171</v>
      </c>
      <c r="C72" s="2979" t="s">
        <v>1326</v>
      </c>
      <c r="D72" s="2979" t="s">
        <v>1326</v>
      </c>
      <c r="E72" s="2979" t="s">
        <v>3224</v>
      </c>
      <c r="F72" s="2979" t="s">
        <v>3166</v>
      </c>
      <c r="G72" s="2979" t="s">
        <v>3182</v>
      </c>
      <c r="H72" s="2983">
        <v>89</v>
      </c>
      <c r="I72" s="2983">
        <v>464.5</v>
      </c>
      <c r="J72" s="2983">
        <v>52297</v>
      </c>
    </row>
    <row r="73" spans="1:10">
      <c r="A73" s="2979" t="s">
        <v>3454</v>
      </c>
      <c r="B73" s="2979" t="s">
        <v>3171</v>
      </c>
      <c r="C73" s="2979" t="s">
        <v>1326</v>
      </c>
      <c r="D73" s="2979" t="s">
        <v>1326</v>
      </c>
      <c r="E73" s="2979" t="s">
        <v>3224</v>
      </c>
      <c r="F73" s="2979" t="s">
        <v>3166</v>
      </c>
      <c r="G73" s="2979" t="s">
        <v>3182</v>
      </c>
      <c r="H73" s="2983">
        <v>89</v>
      </c>
      <c r="I73" s="2983">
        <v>464.86</v>
      </c>
      <c r="J73" s="2983">
        <v>52337</v>
      </c>
    </row>
    <row r="76" spans="1:10">
      <c r="A76" s="2979" t="s">
        <v>3459</v>
      </c>
      <c r="B76" s="2979" t="s">
        <v>3222</v>
      </c>
      <c r="C76" s="2979" t="s">
        <v>1326</v>
      </c>
      <c r="D76" s="2979" t="s">
        <v>1326</v>
      </c>
      <c r="E76" s="2979" t="s">
        <v>3224</v>
      </c>
      <c r="F76" s="2979" t="s">
        <v>3166</v>
      </c>
      <c r="G76" s="2979" t="s">
        <v>3182</v>
      </c>
      <c r="H76" s="2983">
        <v>89</v>
      </c>
      <c r="I76" s="2983">
        <v>436.43</v>
      </c>
      <c r="J76" s="2983">
        <v>49176</v>
      </c>
    </row>
    <row r="77" spans="1:10">
      <c r="A77" s="2979" t="s">
        <v>3459</v>
      </c>
      <c r="B77" s="2979" t="s">
        <v>3243</v>
      </c>
      <c r="C77" s="2979" t="s">
        <v>1326</v>
      </c>
      <c r="D77" s="2979" t="s">
        <v>1326</v>
      </c>
      <c r="E77" s="2979" t="s">
        <v>3224</v>
      </c>
      <c r="F77" s="2979" t="s">
        <v>3166</v>
      </c>
      <c r="G77" s="2979" t="s">
        <v>3167</v>
      </c>
      <c r="H77" s="2983">
        <v>83</v>
      </c>
      <c r="I77" s="2983">
        <v>374</v>
      </c>
      <c r="J77" s="2983">
        <v>44974</v>
      </c>
    </row>
    <row r="78" spans="1:10">
      <c r="A78" s="2979" t="s">
        <v>3462</v>
      </c>
      <c r="B78" s="2979" t="s">
        <v>3222</v>
      </c>
      <c r="C78" s="2979" t="s">
        <v>1326</v>
      </c>
      <c r="D78" s="2979" t="s">
        <v>1326</v>
      </c>
      <c r="E78" s="2979" t="s">
        <v>3224</v>
      </c>
      <c r="F78" s="2979" t="s">
        <v>3166</v>
      </c>
      <c r="G78" s="2979" t="s">
        <v>3182</v>
      </c>
      <c r="H78" s="2983">
        <v>89</v>
      </c>
      <c r="I78" s="2983">
        <v>436.6</v>
      </c>
      <c r="J78" s="2983">
        <v>49195</v>
      </c>
    </row>
    <row r="79" spans="1:10">
      <c r="A79" s="2979" t="s">
        <v>3463</v>
      </c>
      <c r="B79" s="2979" t="s">
        <v>3222</v>
      </c>
      <c r="C79" s="2979" t="s">
        <v>1326</v>
      </c>
      <c r="D79" s="2979" t="s">
        <v>1326</v>
      </c>
      <c r="E79" s="2979" t="s">
        <v>3224</v>
      </c>
      <c r="F79" s="2979" t="s">
        <v>3166</v>
      </c>
      <c r="G79" s="2979" t="s">
        <v>3182</v>
      </c>
      <c r="H79" s="2983">
        <v>89</v>
      </c>
      <c r="I79" s="2983">
        <v>437.46</v>
      </c>
      <c r="J79" s="2983">
        <v>49291</v>
      </c>
    </row>
    <row r="80" spans="1:10">
      <c r="A80" s="2979" t="s">
        <v>3463</v>
      </c>
      <c r="B80" s="2979" t="s">
        <v>3222</v>
      </c>
      <c r="C80" s="2979" t="s">
        <v>1326</v>
      </c>
      <c r="D80" s="2979" t="s">
        <v>1326</v>
      </c>
      <c r="E80" s="2979" t="s">
        <v>3224</v>
      </c>
      <c r="F80" s="2979" t="s">
        <v>3166</v>
      </c>
      <c r="G80" s="2979" t="s">
        <v>3182</v>
      </c>
      <c r="H80" s="2983">
        <v>89</v>
      </c>
      <c r="I80" s="2983">
        <v>447.29</v>
      </c>
      <c r="J80" s="2983">
        <v>49982</v>
      </c>
    </row>
    <row r="81" spans="1:10">
      <c r="A81" s="2979" t="s">
        <v>3471</v>
      </c>
      <c r="B81" s="2979" t="s">
        <v>3171</v>
      </c>
      <c r="C81" s="2979" t="s">
        <v>1326</v>
      </c>
      <c r="D81" s="2979" t="s">
        <v>1326</v>
      </c>
      <c r="E81" s="2979" t="s">
        <v>3224</v>
      </c>
      <c r="F81" s="2979" t="s">
        <v>3166</v>
      </c>
      <c r="G81" s="2979" t="s">
        <v>3182</v>
      </c>
      <c r="H81" s="2983">
        <v>89</v>
      </c>
      <c r="I81" s="2983">
        <v>464.86</v>
      </c>
      <c r="J81" s="2983">
        <v>52337</v>
      </c>
    </row>
    <row r="82" spans="1:10">
      <c r="A82" s="2979" t="s">
        <v>3472</v>
      </c>
      <c r="B82" s="2979" t="s">
        <v>3171</v>
      </c>
      <c r="C82" s="2979" t="s">
        <v>1326</v>
      </c>
      <c r="D82" s="2979" t="s">
        <v>1326</v>
      </c>
      <c r="E82" s="2979" t="s">
        <v>3224</v>
      </c>
      <c r="F82" s="2979" t="s">
        <v>3166</v>
      </c>
      <c r="G82" s="2979" t="s">
        <v>3182</v>
      </c>
      <c r="H82" s="2983">
        <v>90</v>
      </c>
      <c r="I82" s="2983">
        <v>469.34</v>
      </c>
      <c r="J82" s="2983">
        <v>52300</v>
      </c>
    </row>
    <row r="83" spans="1:10">
      <c r="A83" s="2979" t="s">
        <v>3477</v>
      </c>
      <c r="B83" s="2979" t="s">
        <v>3222</v>
      </c>
      <c r="C83" s="2979" t="s">
        <v>1326</v>
      </c>
      <c r="D83" s="2979" t="s">
        <v>3478</v>
      </c>
      <c r="E83" s="2979" t="s">
        <v>3224</v>
      </c>
      <c r="F83" s="2979" t="s">
        <v>3166</v>
      </c>
      <c r="G83" s="2979" t="s">
        <v>3182</v>
      </c>
      <c r="H83" s="2983">
        <v>89</v>
      </c>
      <c r="I83" s="2983">
        <v>441.52</v>
      </c>
      <c r="J83" s="2983">
        <v>49425</v>
      </c>
    </row>
    <row r="84" spans="1:10">
      <c r="A84" s="2979" t="s">
        <v>3477</v>
      </c>
      <c r="B84" s="2979" t="s">
        <v>3171</v>
      </c>
      <c r="C84" s="2979" t="s">
        <v>1326</v>
      </c>
      <c r="D84" s="2979" t="s">
        <v>3481</v>
      </c>
      <c r="E84" s="2979" t="s">
        <v>3224</v>
      </c>
      <c r="F84" s="2979" t="s">
        <v>3166</v>
      </c>
      <c r="G84" s="2979" t="s">
        <v>3182</v>
      </c>
      <c r="H84" s="2983">
        <v>90</v>
      </c>
      <c r="I84" s="2983">
        <v>469.34</v>
      </c>
      <c r="J84" s="2983">
        <v>52300</v>
      </c>
    </row>
    <row r="85" spans="1:10">
      <c r="A85" s="2979" t="s">
        <v>3477</v>
      </c>
      <c r="B85" s="2979" t="s">
        <v>3222</v>
      </c>
      <c r="C85" s="2979" t="s">
        <v>1326</v>
      </c>
      <c r="D85" s="2979" t="s">
        <v>3231</v>
      </c>
      <c r="E85" s="2979" t="s">
        <v>3224</v>
      </c>
      <c r="F85" s="2979" t="s">
        <v>3166</v>
      </c>
      <c r="G85" s="2979" t="s">
        <v>3182</v>
      </c>
      <c r="H85" s="2983">
        <v>89</v>
      </c>
      <c r="I85" s="2983">
        <v>446.09</v>
      </c>
      <c r="J85" s="2983">
        <v>49848</v>
      </c>
    </row>
    <row r="86" spans="1:10">
      <c r="A86" s="2979" t="s">
        <v>3485</v>
      </c>
      <c r="B86" s="2979" t="s">
        <v>3230</v>
      </c>
      <c r="C86" s="2979" t="s">
        <v>1326</v>
      </c>
      <c r="D86" s="2979" t="s">
        <v>3273</v>
      </c>
      <c r="E86" s="2979" t="s">
        <v>3224</v>
      </c>
      <c r="F86" s="2979" t="s">
        <v>3166</v>
      </c>
      <c r="G86" s="2979" t="s">
        <v>3182</v>
      </c>
      <c r="H86" s="2983">
        <v>89</v>
      </c>
      <c r="I86" s="2983">
        <v>437.8</v>
      </c>
      <c r="J86" s="2983">
        <v>49291</v>
      </c>
    </row>
    <row r="87" spans="1:10">
      <c r="A87" s="2979" t="s">
        <v>3485</v>
      </c>
      <c r="B87" s="2979" t="s">
        <v>3238</v>
      </c>
      <c r="C87" s="2979" t="s">
        <v>1326</v>
      </c>
      <c r="D87" s="2979" t="s">
        <v>3181</v>
      </c>
      <c r="E87" s="2979" t="s">
        <v>3224</v>
      </c>
      <c r="F87" s="2979" t="s">
        <v>3166</v>
      </c>
      <c r="G87" s="2979" t="s">
        <v>3182</v>
      </c>
      <c r="H87" s="2983">
        <v>89</v>
      </c>
      <c r="I87" s="2983">
        <v>458.55</v>
      </c>
      <c r="J87" s="2983">
        <v>51540</v>
      </c>
    </row>
    <row r="91" spans="1:10">
      <c r="A91" s="2979" t="s">
        <v>3499</v>
      </c>
      <c r="B91" s="2979" t="s">
        <v>3260</v>
      </c>
      <c r="C91" s="2979" t="s">
        <v>1326</v>
      </c>
      <c r="D91" s="2979" t="s">
        <v>3343</v>
      </c>
      <c r="E91" s="2979" t="s">
        <v>3224</v>
      </c>
      <c r="F91" s="2979" t="s">
        <v>3166</v>
      </c>
      <c r="G91" s="2979" t="s">
        <v>3182</v>
      </c>
      <c r="H91" s="2983">
        <v>90</v>
      </c>
      <c r="I91" s="2983">
        <v>465.09</v>
      </c>
      <c r="J91" s="2983">
        <v>51688</v>
      </c>
    </row>
    <row r="92" spans="1:10">
      <c r="A92" s="2979" t="s">
        <v>3504</v>
      </c>
      <c r="B92" s="2979" t="s">
        <v>3222</v>
      </c>
      <c r="C92" s="2979" t="s">
        <v>1326</v>
      </c>
      <c r="D92" s="2979" t="s">
        <v>3508</v>
      </c>
      <c r="E92" s="2979" t="s">
        <v>3224</v>
      </c>
      <c r="F92" s="2979" t="s">
        <v>3166</v>
      </c>
      <c r="G92" s="2979" t="s">
        <v>3182</v>
      </c>
      <c r="H92" s="2983">
        <v>89</v>
      </c>
      <c r="I92" s="2983">
        <v>437.57</v>
      </c>
      <c r="J92" s="2983">
        <v>49176</v>
      </c>
    </row>
    <row r="93" spans="1:10">
      <c r="A93" s="2979" t="s">
        <v>3504</v>
      </c>
      <c r="B93" s="2979" t="s">
        <v>3243</v>
      </c>
      <c r="C93" s="2979" t="s">
        <v>1326</v>
      </c>
      <c r="D93" s="2979" t="s">
        <v>3509</v>
      </c>
      <c r="E93" s="2979" t="s">
        <v>3224</v>
      </c>
      <c r="F93" s="2979" t="s">
        <v>3166</v>
      </c>
      <c r="G93" s="2979" t="s">
        <v>3167</v>
      </c>
      <c r="H93" s="2983">
        <v>83</v>
      </c>
      <c r="I93" s="2983">
        <v>374</v>
      </c>
      <c r="J93" s="2983">
        <v>45115</v>
      </c>
    </row>
    <row r="94" spans="1:10">
      <c r="A94" s="2979" t="s">
        <v>3510</v>
      </c>
      <c r="B94" s="2979" t="s">
        <v>3171</v>
      </c>
      <c r="C94" s="2979" t="s">
        <v>1326</v>
      </c>
      <c r="D94" s="2979" t="s">
        <v>3181</v>
      </c>
      <c r="E94" s="2979" t="s">
        <v>3224</v>
      </c>
      <c r="F94" s="2979" t="s">
        <v>3166</v>
      </c>
      <c r="G94" s="2979" t="s">
        <v>3182</v>
      </c>
      <c r="H94" s="2983">
        <v>89</v>
      </c>
      <c r="I94" s="2983">
        <v>464.32</v>
      </c>
      <c r="J94" s="2983">
        <v>52277</v>
      </c>
    </row>
    <row r="95" spans="1:10">
      <c r="A95" s="2979" t="s">
        <v>3511</v>
      </c>
      <c r="B95" s="2979" t="s">
        <v>3222</v>
      </c>
      <c r="C95" s="2979" t="s">
        <v>1326</v>
      </c>
      <c r="D95" s="2979" t="s">
        <v>3512</v>
      </c>
      <c r="E95" s="2979" t="s">
        <v>3224</v>
      </c>
      <c r="F95" s="2979" t="s">
        <v>3166</v>
      </c>
      <c r="G95" s="2979" t="s">
        <v>3182</v>
      </c>
      <c r="H95" s="2983">
        <v>89</v>
      </c>
      <c r="I95" s="2983">
        <v>442.2</v>
      </c>
      <c r="J95" s="2983">
        <v>49502</v>
      </c>
    </row>
    <row r="96" spans="1:10">
      <c r="A96" s="2979" t="s">
        <v>3519</v>
      </c>
      <c r="B96" s="2979" t="s">
        <v>3171</v>
      </c>
      <c r="C96" s="2979" t="s">
        <v>1326</v>
      </c>
      <c r="D96" s="2979" t="s">
        <v>3523</v>
      </c>
      <c r="E96" s="2979" t="s">
        <v>3224</v>
      </c>
      <c r="F96" s="2979" t="s">
        <v>3166</v>
      </c>
      <c r="G96" s="2979" t="s">
        <v>3182</v>
      </c>
      <c r="H96" s="2983">
        <v>90</v>
      </c>
      <c r="I96" s="2983">
        <v>466.17</v>
      </c>
      <c r="J96" s="2983">
        <v>51947</v>
      </c>
    </row>
    <row r="98" spans="1:10">
      <c r="A98" s="2979" t="s">
        <v>3526</v>
      </c>
      <c r="B98" s="2979" t="s">
        <v>3222</v>
      </c>
      <c r="C98" s="2979" t="s">
        <v>1326</v>
      </c>
      <c r="D98" s="2979" t="s">
        <v>3527</v>
      </c>
      <c r="E98" s="2979" t="s">
        <v>3224</v>
      </c>
      <c r="F98" s="2979" t="s">
        <v>3166</v>
      </c>
      <c r="G98" s="2979" t="s">
        <v>3182</v>
      </c>
      <c r="H98" s="2983">
        <v>89</v>
      </c>
      <c r="I98" s="2983">
        <v>436.6</v>
      </c>
      <c r="J98" s="2983">
        <v>49195</v>
      </c>
    </row>
    <row r="99" spans="1:10">
      <c r="A99" s="2979" t="s">
        <v>3535</v>
      </c>
      <c r="B99" s="2979" t="s">
        <v>3171</v>
      </c>
      <c r="C99" s="2979" t="s">
        <v>1326</v>
      </c>
      <c r="D99" s="2979" t="s">
        <v>3536</v>
      </c>
      <c r="E99" s="2979" t="s">
        <v>3224</v>
      </c>
      <c r="F99" s="2979" t="s">
        <v>3166</v>
      </c>
      <c r="G99" s="2979" t="s">
        <v>3182</v>
      </c>
      <c r="H99" s="2983">
        <v>89</v>
      </c>
      <c r="I99" s="2983">
        <v>464.5</v>
      </c>
      <c r="J99" s="2983">
        <v>52297</v>
      </c>
    </row>
    <row r="100" spans="1:10">
      <c r="A100" s="2979" t="s">
        <v>3535</v>
      </c>
      <c r="B100" s="2979" t="s">
        <v>3171</v>
      </c>
      <c r="C100" s="2979" t="s">
        <v>1326</v>
      </c>
      <c r="D100" s="2979" t="s">
        <v>3537</v>
      </c>
      <c r="E100" s="2979" t="s">
        <v>3224</v>
      </c>
      <c r="F100" s="2979" t="s">
        <v>3166</v>
      </c>
      <c r="G100" s="2979" t="s">
        <v>3182</v>
      </c>
      <c r="H100" s="2983">
        <v>89</v>
      </c>
      <c r="I100" s="2983">
        <v>465.21</v>
      </c>
      <c r="J100" s="2983">
        <v>52377</v>
      </c>
    </row>
    <row r="101" spans="1:10">
      <c r="A101" s="2979" t="s">
        <v>3540</v>
      </c>
      <c r="B101" s="2979" t="s">
        <v>3171</v>
      </c>
      <c r="C101" s="2979" t="s">
        <v>1326</v>
      </c>
      <c r="D101" s="2979" t="s">
        <v>3312</v>
      </c>
      <c r="E101" s="2979" t="s">
        <v>3224</v>
      </c>
      <c r="F101" s="2979" t="s">
        <v>3166</v>
      </c>
      <c r="G101" s="2979" t="s">
        <v>3182</v>
      </c>
      <c r="H101" s="2983">
        <v>89</v>
      </c>
      <c r="I101" s="2983">
        <v>466.37</v>
      </c>
      <c r="J101" s="2983">
        <v>52378</v>
      </c>
    </row>
    <row r="102" spans="1:10">
      <c r="A102" s="2979" t="s">
        <v>3543</v>
      </c>
      <c r="B102" s="2979" t="s">
        <v>3171</v>
      </c>
      <c r="C102" s="2979" t="s">
        <v>1326</v>
      </c>
      <c r="D102" s="2979" t="s">
        <v>3309</v>
      </c>
      <c r="E102" s="2979" t="s">
        <v>3224</v>
      </c>
      <c r="F102" s="2979" t="s">
        <v>3166</v>
      </c>
      <c r="G102" s="2979" t="s">
        <v>3182</v>
      </c>
      <c r="H102" s="2983">
        <v>89</v>
      </c>
      <c r="I102" s="2983">
        <v>461.37</v>
      </c>
      <c r="J102" s="2983">
        <v>51945</v>
      </c>
    </row>
    <row r="103" spans="1:10">
      <c r="A103" s="2979" t="s">
        <v>3548</v>
      </c>
      <c r="B103" s="2979" t="s">
        <v>3222</v>
      </c>
      <c r="C103" s="2979" t="s">
        <v>1326</v>
      </c>
      <c r="D103" s="2979" t="s">
        <v>3236</v>
      </c>
      <c r="E103" s="2979" t="s">
        <v>3224</v>
      </c>
      <c r="F103" s="2979" t="s">
        <v>3166</v>
      </c>
      <c r="G103" s="2979" t="s">
        <v>3182</v>
      </c>
      <c r="H103" s="2983">
        <v>89</v>
      </c>
      <c r="I103" s="2983">
        <v>445.74</v>
      </c>
      <c r="J103" s="2983">
        <v>49809</v>
      </c>
    </row>
    <row r="104" spans="1:10">
      <c r="A104" s="2979" t="s">
        <v>3548</v>
      </c>
      <c r="B104" s="2979" t="s">
        <v>3222</v>
      </c>
      <c r="C104" s="2979" t="s">
        <v>1326</v>
      </c>
      <c r="D104" s="2979" t="s">
        <v>3551</v>
      </c>
      <c r="E104" s="2979" t="s">
        <v>3224</v>
      </c>
      <c r="F104" s="2979" t="s">
        <v>3166</v>
      </c>
      <c r="G104" s="2979" t="s">
        <v>3182</v>
      </c>
      <c r="H104" s="2983">
        <v>89</v>
      </c>
      <c r="I104" s="2983">
        <v>437.63</v>
      </c>
      <c r="J104" s="2983">
        <v>49310</v>
      </c>
    </row>
    <row r="105" spans="1:10">
      <c r="A105" s="2979" t="s">
        <v>3554</v>
      </c>
      <c r="B105" s="2979" t="s">
        <v>3243</v>
      </c>
      <c r="C105" s="2979" t="s">
        <v>1326</v>
      </c>
      <c r="D105" s="2979" t="s">
        <v>3239</v>
      </c>
      <c r="E105" s="2979" t="s">
        <v>3224</v>
      </c>
      <c r="F105" s="2979" t="s">
        <v>3166</v>
      </c>
      <c r="G105" s="2979" t="s">
        <v>3167</v>
      </c>
      <c r="H105" s="2983">
        <v>85</v>
      </c>
      <c r="I105" s="2983">
        <v>433.6</v>
      </c>
      <c r="J105" s="2983">
        <v>51210</v>
      </c>
    </row>
    <row r="106" spans="1:10">
      <c r="A106" s="2979" t="s">
        <v>3554</v>
      </c>
      <c r="B106" s="2979" t="s">
        <v>3222</v>
      </c>
      <c r="C106" s="2979" t="s">
        <v>1326</v>
      </c>
      <c r="D106" s="2979" t="s">
        <v>3557</v>
      </c>
      <c r="E106" s="2979" t="s">
        <v>3224</v>
      </c>
      <c r="F106" s="2979" t="s">
        <v>3166</v>
      </c>
      <c r="G106" s="2979" t="s">
        <v>3182</v>
      </c>
      <c r="H106" s="2983">
        <v>89</v>
      </c>
      <c r="I106" s="2983">
        <v>436.77</v>
      </c>
      <c r="J106" s="2983">
        <v>49214</v>
      </c>
    </row>
    <row r="107" spans="1:10">
      <c r="A107" s="2979" t="s">
        <v>3558</v>
      </c>
      <c r="B107" s="2979" t="s">
        <v>3171</v>
      </c>
      <c r="C107" s="2979" t="s">
        <v>1326</v>
      </c>
      <c r="D107" s="2979" t="s">
        <v>3557</v>
      </c>
      <c r="E107" s="2979" t="s">
        <v>3224</v>
      </c>
      <c r="F107" s="2979" t="s">
        <v>3166</v>
      </c>
      <c r="G107" s="2979" t="s">
        <v>3182</v>
      </c>
      <c r="H107" s="2983">
        <v>89</v>
      </c>
      <c r="I107" s="2983">
        <v>466.37</v>
      </c>
      <c r="J107" s="2983">
        <v>52378</v>
      </c>
    </row>
    <row r="108" spans="1:10">
      <c r="A108" s="2979" t="s">
        <v>3559</v>
      </c>
      <c r="B108" s="2979" t="s">
        <v>3222</v>
      </c>
      <c r="C108" s="2979" t="s">
        <v>1326</v>
      </c>
      <c r="D108" s="2979" t="s">
        <v>3561</v>
      </c>
      <c r="E108" s="2979" t="s">
        <v>3224</v>
      </c>
      <c r="F108" s="2979" t="s">
        <v>3166</v>
      </c>
      <c r="G108" s="2979" t="s">
        <v>3182</v>
      </c>
      <c r="H108" s="2983">
        <v>89</v>
      </c>
      <c r="I108" s="2983">
        <v>437.39</v>
      </c>
      <c r="J108" s="2983">
        <v>49156</v>
      </c>
    </row>
    <row r="109" spans="1:10">
      <c r="A109" s="2979" t="s">
        <v>3565</v>
      </c>
      <c r="B109" s="2979" t="s">
        <v>3171</v>
      </c>
      <c r="C109" s="2979" t="s">
        <v>1326</v>
      </c>
      <c r="D109" s="2979" t="s">
        <v>3285</v>
      </c>
      <c r="E109" s="2979" t="s">
        <v>3224</v>
      </c>
      <c r="F109" s="2979" t="s">
        <v>3166</v>
      </c>
      <c r="G109" s="2979" t="s">
        <v>3182</v>
      </c>
      <c r="H109" s="2983">
        <v>89</v>
      </c>
      <c r="I109" s="2983">
        <v>465.48</v>
      </c>
      <c r="J109" s="2983">
        <v>52278</v>
      </c>
    </row>
    <row r="110" spans="1:10">
      <c r="A110" s="2979" t="s">
        <v>3565</v>
      </c>
      <c r="B110" s="2979" t="s">
        <v>3222</v>
      </c>
      <c r="C110" s="2979" t="s">
        <v>1326</v>
      </c>
      <c r="D110" s="2979" t="s">
        <v>3495</v>
      </c>
      <c r="E110" s="2979" t="s">
        <v>3224</v>
      </c>
      <c r="F110" s="2979" t="s">
        <v>3166</v>
      </c>
      <c r="G110" s="2979" t="s">
        <v>3182</v>
      </c>
      <c r="H110" s="2983">
        <v>89</v>
      </c>
      <c r="I110" s="2983">
        <v>436.77</v>
      </c>
      <c r="J110" s="2983">
        <v>49214</v>
      </c>
    </row>
    <row r="111" spans="1:10">
      <c r="A111" s="2979" t="s">
        <v>3568</v>
      </c>
      <c r="B111" s="2979" t="s">
        <v>3171</v>
      </c>
      <c r="C111" s="2979" t="s">
        <v>1326</v>
      </c>
      <c r="D111" s="2979" t="s">
        <v>3527</v>
      </c>
      <c r="E111" s="2979" t="s">
        <v>3224</v>
      </c>
      <c r="F111" s="2979" t="s">
        <v>3166</v>
      </c>
      <c r="G111" s="2979" t="s">
        <v>3182</v>
      </c>
      <c r="H111" s="2983">
        <v>89</v>
      </c>
      <c r="I111" s="2983">
        <v>462.52</v>
      </c>
      <c r="J111" s="2983">
        <v>51945</v>
      </c>
    </row>
    <row r="112" spans="1:10">
      <c r="A112" s="2979" t="s">
        <v>3570</v>
      </c>
      <c r="B112" s="2979" t="s">
        <v>3238</v>
      </c>
      <c r="C112" s="2979" t="s">
        <v>1326</v>
      </c>
      <c r="D112" s="2979" t="s">
        <v>3571</v>
      </c>
      <c r="E112" s="2979" t="s">
        <v>3224</v>
      </c>
      <c r="F112" s="2979" t="s">
        <v>3166</v>
      </c>
      <c r="G112" s="2979" t="s">
        <v>3182</v>
      </c>
      <c r="H112" s="2983">
        <v>89</v>
      </c>
      <c r="I112" s="2983">
        <v>458.28</v>
      </c>
      <c r="J112" s="2983">
        <v>51510</v>
      </c>
    </row>
    <row r="113" spans="1:10">
      <c r="A113" s="2979" t="s">
        <v>3584</v>
      </c>
      <c r="B113" s="2979" t="s">
        <v>3171</v>
      </c>
      <c r="C113" s="2979" t="s">
        <v>1326</v>
      </c>
      <c r="D113" s="2979" t="s">
        <v>3282</v>
      </c>
      <c r="E113" s="2979" t="s">
        <v>3224</v>
      </c>
      <c r="F113" s="2979" t="s">
        <v>3166</v>
      </c>
      <c r="G113" s="2979" t="s">
        <v>3182</v>
      </c>
      <c r="H113" s="2983">
        <v>89</v>
      </c>
      <c r="I113" s="2983">
        <v>465.03</v>
      </c>
      <c r="J113" s="2983">
        <v>52357</v>
      </c>
    </row>
    <row r="114" spans="1:10">
      <c r="A114" s="2979" t="s">
        <v>3590</v>
      </c>
      <c r="B114" s="2979" t="s">
        <v>3171</v>
      </c>
      <c r="C114" s="2979" t="s">
        <v>1326</v>
      </c>
      <c r="D114" s="2979" t="s">
        <v>3495</v>
      </c>
      <c r="E114" s="2979" t="s">
        <v>3224</v>
      </c>
      <c r="F114" s="2979" t="s">
        <v>3166</v>
      </c>
      <c r="G114" s="2979" t="s">
        <v>3182</v>
      </c>
      <c r="H114" s="2983">
        <v>89</v>
      </c>
      <c r="I114" s="2983">
        <v>465.21</v>
      </c>
      <c r="J114" s="2983">
        <v>52377</v>
      </c>
    </row>
    <row r="115" spans="1:10">
      <c r="A115" s="2979" t="s">
        <v>3594</v>
      </c>
      <c r="B115" s="2979" t="s">
        <v>3171</v>
      </c>
      <c r="C115" s="2979" t="s">
        <v>1326</v>
      </c>
      <c r="D115" s="2979" t="s">
        <v>3595</v>
      </c>
      <c r="E115" s="2979" t="s">
        <v>3224</v>
      </c>
      <c r="F115" s="2979" t="s">
        <v>3166</v>
      </c>
      <c r="G115" s="2979" t="s">
        <v>3182</v>
      </c>
      <c r="H115" s="2983">
        <v>90</v>
      </c>
      <c r="I115" s="2983">
        <v>466.53</v>
      </c>
      <c r="J115" s="2983">
        <v>51987</v>
      </c>
    </row>
    <row r="116" spans="1:10">
      <c r="A116" s="2979" t="s">
        <v>3598</v>
      </c>
      <c r="B116" s="2979" t="s">
        <v>3171</v>
      </c>
      <c r="C116" s="2979" t="s">
        <v>1326</v>
      </c>
      <c r="D116" s="2979" t="s">
        <v>3560</v>
      </c>
      <c r="E116" s="2979" t="s">
        <v>3224</v>
      </c>
      <c r="F116" s="2979" t="s">
        <v>3166</v>
      </c>
      <c r="G116" s="2979" t="s">
        <v>3182</v>
      </c>
      <c r="H116" s="2983">
        <v>89</v>
      </c>
      <c r="I116" s="2983">
        <v>461.55</v>
      </c>
      <c r="J116" s="2983">
        <v>51965</v>
      </c>
    </row>
    <row r="117" spans="1:10">
      <c r="A117" s="2979" t="s">
        <v>3601</v>
      </c>
      <c r="B117" s="2979" t="s">
        <v>3171</v>
      </c>
      <c r="C117" s="2979" t="s">
        <v>1326</v>
      </c>
      <c r="D117" s="2979" t="s">
        <v>3227</v>
      </c>
      <c r="E117" s="2979" t="s">
        <v>3224</v>
      </c>
      <c r="F117" s="2979" t="s">
        <v>3166</v>
      </c>
      <c r="G117" s="2979" t="s">
        <v>3182</v>
      </c>
      <c r="H117" s="2983">
        <v>89</v>
      </c>
      <c r="I117" s="2983">
        <v>462.17</v>
      </c>
      <c r="J117" s="2983">
        <v>51906</v>
      </c>
    </row>
    <row r="118" spans="1:10">
      <c r="A118" s="2979" t="s">
        <v>3610</v>
      </c>
      <c r="B118" s="2979" t="s">
        <v>3260</v>
      </c>
      <c r="C118" s="2979" t="s">
        <v>1326</v>
      </c>
      <c r="D118" s="2979" t="s">
        <v>3561</v>
      </c>
      <c r="E118" s="2979" t="s">
        <v>3224</v>
      </c>
      <c r="F118" s="2979" t="s">
        <v>3166</v>
      </c>
      <c r="G118" s="2979" t="s">
        <v>3182</v>
      </c>
      <c r="H118" s="2983">
        <v>89</v>
      </c>
      <c r="I118" s="2983">
        <v>465.28</v>
      </c>
      <c r="J118" s="2983">
        <v>52255</v>
      </c>
    </row>
    <row r="119" spans="1:10">
      <c r="A119" s="2979" t="s">
        <v>3610</v>
      </c>
      <c r="B119" s="2979" t="s">
        <v>3171</v>
      </c>
      <c r="C119" s="2979" t="s">
        <v>1326</v>
      </c>
      <c r="D119" s="2979" t="s">
        <v>3617</v>
      </c>
      <c r="E119" s="2979" t="s">
        <v>3224</v>
      </c>
      <c r="F119" s="2979" t="s">
        <v>3166</v>
      </c>
      <c r="G119" s="2979" t="s">
        <v>3182</v>
      </c>
      <c r="H119" s="2983">
        <v>90</v>
      </c>
      <c r="I119" s="2983">
        <v>470.06</v>
      </c>
      <c r="J119" s="2983">
        <v>52380</v>
      </c>
    </row>
    <row r="120" spans="1:10">
      <c r="A120" s="2979" t="s">
        <v>3622</v>
      </c>
      <c r="B120" s="2979" t="s">
        <v>3222</v>
      </c>
      <c r="C120" s="2979" t="s">
        <v>1326</v>
      </c>
      <c r="D120" s="2979" t="s">
        <v>3560</v>
      </c>
      <c r="E120" s="2979" t="s">
        <v>3224</v>
      </c>
      <c r="F120" s="2979" t="s">
        <v>3166</v>
      </c>
      <c r="G120" s="2979" t="s">
        <v>3182</v>
      </c>
      <c r="H120" s="2983">
        <v>89</v>
      </c>
      <c r="I120" s="2983">
        <v>453.15</v>
      </c>
      <c r="J120" s="2983">
        <v>50928</v>
      </c>
    </row>
    <row r="121" spans="1:10">
      <c r="A121" s="2979" t="s">
        <v>3633</v>
      </c>
      <c r="B121" s="2979" t="s">
        <v>3171</v>
      </c>
      <c r="C121" s="2979" t="s">
        <v>1326</v>
      </c>
      <c r="D121" s="2979" t="s">
        <v>3637</v>
      </c>
      <c r="E121" s="2979" t="s">
        <v>3224</v>
      </c>
      <c r="F121" s="2979" t="s">
        <v>3166</v>
      </c>
      <c r="G121" s="2979" t="s">
        <v>3182</v>
      </c>
      <c r="H121" s="2983">
        <v>89</v>
      </c>
      <c r="I121" s="2983">
        <v>462.35</v>
      </c>
      <c r="J121" s="2983">
        <v>51926</v>
      </c>
    </row>
    <row r="122" spans="1:10">
      <c r="A122" s="2979" t="s">
        <v>3645</v>
      </c>
      <c r="B122" s="2979" t="s">
        <v>3260</v>
      </c>
      <c r="C122" s="2979" t="s">
        <v>1326</v>
      </c>
      <c r="D122" s="2979" t="s">
        <v>3646</v>
      </c>
      <c r="E122" s="2979" t="s">
        <v>3224</v>
      </c>
      <c r="F122" s="2979" t="s">
        <v>3166</v>
      </c>
      <c r="G122" s="2979" t="s">
        <v>3182</v>
      </c>
      <c r="H122" s="2983">
        <v>89</v>
      </c>
      <c r="I122" s="2983">
        <v>463.53</v>
      </c>
      <c r="J122" s="2983">
        <v>51919</v>
      </c>
    </row>
    <row r="123" spans="1:10">
      <c r="A123" s="2979" t="s">
        <v>3649</v>
      </c>
      <c r="B123" s="2979" t="s">
        <v>3171</v>
      </c>
      <c r="C123" s="2979" t="s">
        <v>1326</v>
      </c>
      <c r="D123" s="2979" t="s">
        <v>3300</v>
      </c>
      <c r="E123" s="2979" t="s">
        <v>3224</v>
      </c>
      <c r="F123" s="2979" t="s">
        <v>3166</v>
      </c>
      <c r="G123" s="2979" t="s">
        <v>3182</v>
      </c>
      <c r="H123" s="2983">
        <v>89</v>
      </c>
      <c r="I123" s="2983">
        <v>466.02</v>
      </c>
      <c r="J123" s="2983">
        <v>52338</v>
      </c>
    </row>
    <row r="124" spans="1:10">
      <c r="A124" s="2979" t="s">
        <v>3656</v>
      </c>
      <c r="B124" s="2979" t="s">
        <v>3171</v>
      </c>
      <c r="C124" s="2979" t="s">
        <v>1326</v>
      </c>
      <c r="D124" s="2979" t="s">
        <v>3323</v>
      </c>
      <c r="E124" s="2979" t="s">
        <v>3224</v>
      </c>
      <c r="F124" s="2979" t="s">
        <v>3166</v>
      </c>
      <c r="G124" s="2979" t="s">
        <v>3182</v>
      </c>
      <c r="H124" s="2983">
        <v>89</v>
      </c>
      <c r="I124" s="2983">
        <v>465.21</v>
      </c>
      <c r="J124" s="2983">
        <v>52377</v>
      </c>
    </row>
    <row r="125" spans="1:10">
      <c r="A125" s="2979" t="s">
        <v>3657</v>
      </c>
      <c r="B125" s="2979" t="s">
        <v>3222</v>
      </c>
      <c r="C125" s="2979" t="s">
        <v>1326</v>
      </c>
      <c r="D125" s="2979" t="s">
        <v>3520</v>
      </c>
      <c r="E125" s="2979" t="s">
        <v>3224</v>
      </c>
      <c r="F125" s="2979" t="s">
        <v>3166</v>
      </c>
      <c r="G125" s="2979" t="s">
        <v>3182</v>
      </c>
      <c r="H125" s="2983">
        <v>89</v>
      </c>
      <c r="I125" s="2983">
        <v>448.09</v>
      </c>
      <c r="J125" s="2983">
        <v>50489</v>
      </c>
    </row>
    <row r="126" spans="1:10">
      <c r="A126" s="2979" t="s">
        <v>3664</v>
      </c>
      <c r="B126" s="2979" t="s">
        <v>3171</v>
      </c>
      <c r="C126" s="2979" t="s">
        <v>1326</v>
      </c>
      <c r="D126" s="2979" t="s">
        <v>1326</v>
      </c>
      <c r="E126" s="2979" t="s">
        <v>3224</v>
      </c>
      <c r="F126" s="2979" t="s">
        <v>3166</v>
      </c>
      <c r="G126" s="2979" t="s">
        <v>3182</v>
      </c>
      <c r="H126" s="2983">
        <v>90</v>
      </c>
      <c r="I126" s="2983">
        <v>465.82</v>
      </c>
      <c r="J126" s="2983">
        <v>51907</v>
      </c>
    </row>
    <row r="127" spans="1:10">
      <c r="A127" s="2979" t="s">
        <v>3664</v>
      </c>
      <c r="B127" s="2979" t="s">
        <v>3171</v>
      </c>
      <c r="C127" s="2979" t="s">
        <v>1326</v>
      </c>
      <c r="D127" s="2979" t="s">
        <v>1326</v>
      </c>
      <c r="E127" s="2979" t="s">
        <v>3224</v>
      </c>
      <c r="F127" s="2979" t="s">
        <v>3166</v>
      </c>
      <c r="G127" s="2979" t="s">
        <v>3182</v>
      </c>
      <c r="H127" s="2983">
        <v>89</v>
      </c>
      <c r="I127" s="2983">
        <v>465.39</v>
      </c>
      <c r="J127" s="2983">
        <v>52397</v>
      </c>
    </row>
    <row r="128" spans="1:10">
      <c r="A128" s="2979" t="s">
        <v>3671</v>
      </c>
      <c r="B128" s="2979" t="s">
        <v>3171</v>
      </c>
      <c r="C128" s="2979" t="s">
        <v>1326</v>
      </c>
      <c r="D128" s="2979" t="s">
        <v>1326</v>
      </c>
      <c r="E128" s="2979" t="s">
        <v>3224</v>
      </c>
      <c r="F128" s="2979" t="s">
        <v>3166</v>
      </c>
      <c r="G128" s="2979" t="s">
        <v>3182</v>
      </c>
      <c r="H128" s="2983">
        <v>89</v>
      </c>
      <c r="I128" s="2983">
        <v>465.66</v>
      </c>
      <c r="J128" s="2983">
        <v>52298</v>
      </c>
    </row>
    <row r="129" spans="1:10">
      <c r="A129" s="2979" t="s">
        <v>3676</v>
      </c>
      <c r="B129" s="2979" t="s">
        <v>3171</v>
      </c>
      <c r="C129" s="2979" t="s">
        <v>1326</v>
      </c>
      <c r="D129" s="2979" t="s">
        <v>1326</v>
      </c>
      <c r="E129" s="2979" t="s">
        <v>3224</v>
      </c>
      <c r="F129" s="2979" t="s">
        <v>3166</v>
      </c>
      <c r="G129" s="2979" t="s">
        <v>3182</v>
      </c>
      <c r="H129" s="2983">
        <v>89</v>
      </c>
      <c r="I129" s="2983">
        <v>465.66</v>
      </c>
      <c r="J129" s="2983">
        <v>52298</v>
      </c>
    </row>
    <row r="130" spans="1:10">
      <c r="A130" s="2979" t="s">
        <v>3679</v>
      </c>
      <c r="B130" s="2979" t="s">
        <v>3171</v>
      </c>
      <c r="C130" s="2979" t="s">
        <v>1326</v>
      </c>
      <c r="D130" s="2979" t="s">
        <v>1326</v>
      </c>
      <c r="E130" s="2979" t="s">
        <v>3224</v>
      </c>
      <c r="F130" s="2979" t="s">
        <v>3166</v>
      </c>
      <c r="G130" s="2979" t="s">
        <v>3182</v>
      </c>
      <c r="H130" s="2983">
        <v>84</v>
      </c>
      <c r="I130" s="2983">
        <v>441.61</v>
      </c>
      <c r="J130" s="2983">
        <v>52379</v>
      </c>
    </row>
    <row r="131" spans="1:10">
      <c r="A131" s="2979" t="s">
        <v>3687</v>
      </c>
      <c r="B131" s="2979" t="s">
        <v>3171</v>
      </c>
      <c r="C131" s="2979" t="s">
        <v>1326</v>
      </c>
      <c r="D131" s="2979" t="s">
        <v>1326</v>
      </c>
      <c r="E131" s="2979" t="s">
        <v>3224</v>
      </c>
      <c r="F131" s="2979" t="s">
        <v>3166</v>
      </c>
      <c r="G131" s="2979" t="s">
        <v>3182</v>
      </c>
      <c r="H131" s="2983">
        <v>89</v>
      </c>
      <c r="I131" s="2983">
        <v>461.2</v>
      </c>
      <c r="J131" s="2983">
        <v>51925</v>
      </c>
    </row>
    <row r="132" spans="1:10">
      <c r="A132" s="2979" t="s">
        <v>3701</v>
      </c>
      <c r="B132" s="2979" t="s">
        <v>3171</v>
      </c>
      <c r="C132" s="2979" t="s">
        <v>1326</v>
      </c>
      <c r="D132" s="2979" t="s">
        <v>1326</v>
      </c>
      <c r="E132" s="2979" t="s">
        <v>3224</v>
      </c>
      <c r="F132" s="2979" t="s">
        <v>3166</v>
      </c>
      <c r="G132" s="2979" t="s">
        <v>3182</v>
      </c>
      <c r="H132" s="2983">
        <v>89</v>
      </c>
      <c r="I132" s="2983">
        <v>464.86</v>
      </c>
      <c r="J132" s="2983">
        <v>52337</v>
      </c>
    </row>
    <row r="133" spans="1:10">
      <c r="A133" s="2979" t="s">
        <v>3701</v>
      </c>
      <c r="B133" s="2979" t="s">
        <v>3222</v>
      </c>
      <c r="C133" s="2979" t="s">
        <v>1326</v>
      </c>
      <c r="D133" s="2979" t="s">
        <v>1326</v>
      </c>
      <c r="E133" s="2979" t="s">
        <v>3224</v>
      </c>
      <c r="F133" s="2979" t="s">
        <v>3166</v>
      </c>
      <c r="G133" s="2979" t="s">
        <v>3182</v>
      </c>
      <c r="H133" s="2983">
        <v>89</v>
      </c>
      <c r="I133" s="2983">
        <v>452.98</v>
      </c>
      <c r="J133" s="2983">
        <v>50908</v>
      </c>
    </row>
    <row r="134" spans="1:10">
      <c r="A134" s="2979" t="s">
        <v>3707</v>
      </c>
      <c r="B134" s="2979" t="s">
        <v>3222</v>
      </c>
      <c r="C134" s="2979" t="s">
        <v>1326</v>
      </c>
      <c r="D134" s="2979" t="s">
        <v>1326</v>
      </c>
      <c r="E134" s="2979" t="s">
        <v>3224</v>
      </c>
      <c r="F134" s="2979" t="s">
        <v>3166</v>
      </c>
      <c r="G134" s="2979" t="s">
        <v>3182</v>
      </c>
      <c r="H134" s="2983">
        <v>89</v>
      </c>
      <c r="I134" s="2983">
        <v>456.73</v>
      </c>
      <c r="J134" s="2983">
        <v>51129</v>
      </c>
    </row>
    <row r="135" spans="1:10">
      <c r="A135" s="2979" t="s">
        <v>3707</v>
      </c>
      <c r="B135" s="2979" t="s">
        <v>3171</v>
      </c>
      <c r="C135" s="2979" t="s">
        <v>1326</v>
      </c>
      <c r="D135" s="2979" t="s">
        <v>1326</v>
      </c>
      <c r="E135" s="2979" t="s">
        <v>3224</v>
      </c>
      <c r="F135" s="2979" t="s">
        <v>3166</v>
      </c>
      <c r="G135" s="2979" t="s">
        <v>3182</v>
      </c>
      <c r="H135" s="2983">
        <v>89</v>
      </c>
      <c r="I135" s="2983">
        <v>464.68</v>
      </c>
      <c r="J135" s="2983">
        <v>52317</v>
      </c>
    </row>
    <row r="136" spans="1:10">
      <c r="A136" s="2979" t="s">
        <v>3712</v>
      </c>
      <c r="B136" s="2979" t="s">
        <v>3171</v>
      </c>
      <c r="C136" s="2979" t="s">
        <v>1326</v>
      </c>
      <c r="D136" s="2979" t="s">
        <v>1326</v>
      </c>
      <c r="E136" s="2979" t="s">
        <v>3224</v>
      </c>
      <c r="F136" s="2979" t="s">
        <v>3166</v>
      </c>
      <c r="G136" s="2979" t="s">
        <v>3182</v>
      </c>
      <c r="H136" s="2983">
        <v>89</v>
      </c>
      <c r="I136" s="2983">
        <v>464.68</v>
      </c>
      <c r="J136" s="2983">
        <v>52317</v>
      </c>
    </row>
    <row r="137" spans="1:10">
      <c r="A137" s="2979" t="s">
        <v>3712</v>
      </c>
      <c r="B137" s="2979" t="s">
        <v>3171</v>
      </c>
      <c r="C137" s="2979" t="s">
        <v>1326</v>
      </c>
      <c r="D137" s="2979" t="s">
        <v>1326</v>
      </c>
      <c r="E137" s="2979" t="s">
        <v>3224</v>
      </c>
      <c r="F137" s="2979" t="s">
        <v>3166</v>
      </c>
      <c r="G137" s="2979" t="s">
        <v>3182</v>
      </c>
      <c r="H137" s="2983">
        <v>89</v>
      </c>
      <c r="I137" s="2983">
        <v>462.87</v>
      </c>
      <c r="J137" s="2983">
        <v>51985</v>
      </c>
    </row>
    <row r="138" spans="1:10">
      <c r="A138" s="2979" t="s">
        <v>3719</v>
      </c>
      <c r="B138" s="2979" t="s">
        <v>3222</v>
      </c>
      <c r="C138" s="2979" t="s">
        <v>1326</v>
      </c>
      <c r="D138" s="2979" t="s">
        <v>1326</v>
      </c>
      <c r="E138" s="2979" t="s">
        <v>3224</v>
      </c>
      <c r="F138" s="2979" t="s">
        <v>3166</v>
      </c>
      <c r="G138" s="2979" t="s">
        <v>3182</v>
      </c>
      <c r="H138" s="2983">
        <v>89</v>
      </c>
      <c r="I138" s="2983">
        <v>453.86</v>
      </c>
      <c r="J138" s="2983">
        <v>50808</v>
      </c>
    </row>
    <row r="139" spans="1:10">
      <c r="A139" s="2979" t="s">
        <v>3728</v>
      </c>
      <c r="B139" s="2979" t="s">
        <v>3171</v>
      </c>
      <c r="C139" s="2979" t="s">
        <v>1326</v>
      </c>
      <c r="D139" s="2979" t="s">
        <v>3551</v>
      </c>
      <c r="E139" s="2979" t="s">
        <v>3224</v>
      </c>
      <c r="F139" s="2979" t="s">
        <v>3166</v>
      </c>
      <c r="G139" s="2979" t="s">
        <v>3167</v>
      </c>
      <c r="H139" s="2983">
        <v>84</v>
      </c>
      <c r="I139" s="2983">
        <v>438.85</v>
      </c>
      <c r="J139" s="2983">
        <v>52052</v>
      </c>
    </row>
    <row r="140" spans="1:10">
      <c r="A140" s="2979" t="s">
        <v>3739</v>
      </c>
      <c r="B140" s="2979" t="s">
        <v>3171</v>
      </c>
      <c r="C140" s="2979" t="s">
        <v>1326</v>
      </c>
      <c r="D140" s="2979" t="s">
        <v>3740</v>
      </c>
      <c r="E140" s="2979" t="s">
        <v>3224</v>
      </c>
      <c r="F140" s="2979" t="s">
        <v>3166</v>
      </c>
      <c r="G140" s="2979" t="s">
        <v>3182</v>
      </c>
      <c r="H140" s="2983">
        <v>89</v>
      </c>
      <c r="I140" s="2983">
        <v>464.68</v>
      </c>
      <c r="J140" s="2983">
        <v>52317</v>
      </c>
    </row>
    <row r="141" spans="1:10">
      <c r="A141" s="2979" t="s">
        <v>3753</v>
      </c>
      <c r="B141" s="2979" t="s">
        <v>3171</v>
      </c>
      <c r="C141" s="2979" t="s">
        <v>1326</v>
      </c>
      <c r="D141" s="2979" t="s">
        <v>3732</v>
      </c>
      <c r="E141" s="2979" t="s">
        <v>3224</v>
      </c>
      <c r="F141" s="2979" t="s">
        <v>3166</v>
      </c>
      <c r="G141" s="2979" t="s">
        <v>3167</v>
      </c>
      <c r="H141" s="2983">
        <v>84</v>
      </c>
      <c r="I141" s="2983">
        <v>439.01</v>
      </c>
      <c r="J141" s="2983">
        <v>52071</v>
      </c>
    </row>
    <row r="142" spans="1:10">
      <c r="A142" s="2979" t="s">
        <v>3753</v>
      </c>
      <c r="B142" s="2979" t="s">
        <v>3171</v>
      </c>
      <c r="C142" s="2979" t="s">
        <v>1326</v>
      </c>
      <c r="D142" s="2979" t="s">
        <v>3277</v>
      </c>
      <c r="E142" s="2979" t="s">
        <v>3224</v>
      </c>
      <c r="F142" s="2979" t="s">
        <v>3166</v>
      </c>
      <c r="G142" s="2979" t="s">
        <v>3167</v>
      </c>
      <c r="H142" s="2983">
        <v>84</v>
      </c>
      <c r="I142" s="2983">
        <v>441.94</v>
      </c>
      <c r="J142" s="2983">
        <v>52419</v>
      </c>
    </row>
    <row r="143" spans="1:10">
      <c r="A143" s="2979" t="s">
        <v>3765</v>
      </c>
      <c r="B143" s="2979" t="s">
        <v>3222</v>
      </c>
      <c r="C143" s="2979" t="s">
        <v>1326</v>
      </c>
      <c r="D143" s="2979" t="s">
        <v>3277</v>
      </c>
      <c r="E143" s="2979" t="s">
        <v>3224</v>
      </c>
      <c r="F143" s="2979" t="s">
        <v>3166</v>
      </c>
      <c r="G143" s="2979" t="s">
        <v>3182</v>
      </c>
      <c r="H143" s="2983">
        <v>89</v>
      </c>
      <c r="I143" s="2983">
        <v>452.51</v>
      </c>
      <c r="J143" s="2983">
        <v>50987</v>
      </c>
    </row>
    <row r="144" spans="1:10">
      <c r="A144" s="2979" t="s">
        <v>3776</v>
      </c>
      <c r="B144" s="2979" t="s">
        <v>3222</v>
      </c>
      <c r="C144" s="2979" t="s">
        <v>1326</v>
      </c>
      <c r="D144" s="2979" t="s">
        <v>3617</v>
      </c>
      <c r="E144" s="2979" t="s">
        <v>3224</v>
      </c>
      <c r="F144" s="2979" t="s">
        <v>3166</v>
      </c>
      <c r="G144" s="2979" t="s">
        <v>3182</v>
      </c>
      <c r="H144" s="2983">
        <v>89</v>
      </c>
      <c r="I144" s="2983">
        <v>447.57</v>
      </c>
      <c r="J144" s="2983">
        <v>50430</v>
      </c>
    </row>
    <row r="145" spans="1:10">
      <c r="A145" s="2979" t="s">
        <v>3776</v>
      </c>
      <c r="B145" s="2979" t="s">
        <v>3171</v>
      </c>
      <c r="C145" s="2979" t="s">
        <v>1326</v>
      </c>
      <c r="D145" s="2979" t="s">
        <v>3783</v>
      </c>
      <c r="E145" s="2979" t="s">
        <v>3224</v>
      </c>
      <c r="F145" s="2979" t="s">
        <v>3166</v>
      </c>
      <c r="G145" s="2979" t="s">
        <v>3182</v>
      </c>
      <c r="H145" s="2979">
        <v>89</v>
      </c>
      <c r="I145" s="2983">
        <v>461.73</v>
      </c>
      <c r="J145" s="2983">
        <v>51984</v>
      </c>
    </row>
    <row r="146" spans="1:10" ht="14">
      <c r="A146" s="2984" t="s">
        <v>3803</v>
      </c>
      <c r="H146" s="2979">
        <f>ROUND(AVERAGE(H2:H145),0)</f>
        <v>88</v>
      </c>
      <c r="I146" s="2979">
        <f>ROUND(AVERAGE(I2:I145),0)</f>
        <v>447</v>
      </c>
      <c r="J146" s="2979">
        <f>ROUND(AVERAGE(J2:J145),0)</f>
        <v>50533</v>
      </c>
    </row>
    <row r="147" spans="1:10" ht="14">
      <c r="A147" s="2984" t="s">
        <v>3804</v>
      </c>
      <c r="H147" s="2983">
        <f>SUM(H2:H145)</f>
        <v>11589</v>
      </c>
      <c r="I147" s="2983">
        <f>SUM(I2:I145)</f>
        <v>58546.59</v>
      </c>
      <c r="J147" s="2979">
        <f>ROUND(I147*10000/H147,0)</f>
        <v>50519</v>
      </c>
    </row>
    <row r="154" spans="1:10">
      <c r="A154" s="2979" t="s">
        <v>3526</v>
      </c>
      <c r="B154" s="2979" t="s">
        <v>3243</v>
      </c>
      <c r="C154" s="2979" t="s">
        <v>1326</v>
      </c>
      <c r="D154" s="2979" t="s">
        <v>3319</v>
      </c>
      <c r="E154" s="2979" t="s">
        <v>3224</v>
      </c>
      <c r="F154" s="2979" t="s">
        <v>3166</v>
      </c>
      <c r="G154" s="2979" t="s">
        <v>3167</v>
      </c>
      <c r="H154" s="2983">
        <v>83</v>
      </c>
      <c r="I154" s="2983">
        <v>374</v>
      </c>
      <c r="J154" s="2983">
        <v>44974</v>
      </c>
    </row>
    <row r="155" spans="1:10">
      <c r="A155" s="2979" t="s">
        <v>3485</v>
      </c>
      <c r="B155" s="2979" t="s">
        <v>3243</v>
      </c>
      <c r="C155" s="2979" t="s">
        <v>1326</v>
      </c>
      <c r="D155" s="2979" t="s">
        <v>3488</v>
      </c>
      <c r="E155" s="2979" t="s">
        <v>3224</v>
      </c>
      <c r="F155" s="2979" t="s">
        <v>3166</v>
      </c>
      <c r="G155" s="2979" t="s">
        <v>3167</v>
      </c>
      <c r="H155" s="2983">
        <v>83</v>
      </c>
      <c r="I155" s="2983">
        <v>374</v>
      </c>
      <c r="J155" s="2983">
        <v>45207</v>
      </c>
    </row>
    <row r="156" spans="1:10">
      <c r="A156" s="2979" t="s">
        <v>3489</v>
      </c>
      <c r="B156" s="2979" t="s">
        <v>3243</v>
      </c>
      <c r="C156" s="2979" t="s">
        <v>1326</v>
      </c>
      <c r="D156" s="2979" t="s">
        <v>3490</v>
      </c>
      <c r="E156" s="2979" t="s">
        <v>3224</v>
      </c>
      <c r="F156" s="2979" t="s">
        <v>3166</v>
      </c>
      <c r="G156" s="2979" t="s">
        <v>3167</v>
      </c>
      <c r="H156" s="2983">
        <v>82</v>
      </c>
      <c r="I156" s="2983">
        <v>374</v>
      </c>
      <c r="J156" s="2983">
        <v>45366</v>
      </c>
    </row>
    <row r="157" spans="1:10">
      <c r="A157" s="2979" t="s">
        <v>3493</v>
      </c>
      <c r="B157" s="2979" t="s">
        <v>3243</v>
      </c>
      <c r="C157" s="2979" t="s">
        <v>1326</v>
      </c>
      <c r="D157" s="2979" t="s">
        <v>3266</v>
      </c>
      <c r="E157" s="2979" t="s">
        <v>3224</v>
      </c>
      <c r="F157" s="2979" t="s">
        <v>3166</v>
      </c>
      <c r="G157" s="2979" t="s">
        <v>3167</v>
      </c>
      <c r="H157" s="2983">
        <v>83</v>
      </c>
      <c r="I157" s="2983">
        <v>374</v>
      </c>
      <c r="J157" s="2983">
        <v>44974</v>
      </c>
    </row>
    <row r="158" spans="1:10">
      <c r="A158" s="2979" t="s">
        <v>3457</v>
      </c>
      <c r="B158" s="2979" t="s">
        <v>3243</v>
      </c>
      <c r="C158" s="2979" t="s">
        <v>1326</v>
      </c>
      <c r="D158" s="2979" t="s">
        <v>1326</v>
      </c>
      <c r="E158" s="2979" t="s">
        <v>3224</v>
      </c>
      <c r="F158" s="2979" t="s">
        <v>3166</v>
      </c>
      <c r="G158" s="2979" t="s">
        <v>3167</v>
      </c>
      <c r="H158" s="2983">
        <v>83</v>
      </c>
      <c r="I158" s="2983">
        <v>374</v>
      </c>
      <c r="J158" s="2983">
        <v>45207</v>
      </c>
    </row>
    <row r="159" spans="1:10">
      <c r="A159" s="2979" t="s">
        <v>3458</v>
      </c>
      <c r="B159" s="2979" t="s">
        <v>3243</v>
      </c>
      <c r="C159" s="2979" t="s">
        <v>1326</v>
      </c>
      <c r="D159" s="2979" t="s">
        <v>1326</v>
      </c>
      <c r="E159" s="2979" t="s">
        <v>3224</v>
      </c>
      <c r="F159" s="2979" t="s">
        <v>3166</v>
      </c>
      <c r="G159" s="2979" t="s">
        <v>3167</v>
      </c>
      <c r="H159" s="2983">
        <v>83</v>
      </c>
      <c r="I159" s="2983">
        <v>374</v>
      </c>
      <c r="J159" s="2983">
        <v>44974</v>
      </c>
    </row>
    <row r="160" spans="1:10">
      <c r="A160" s="2979" t="s">
        <v>3422</v>
      </c>
      <c r="B160" s="2979" t="s">
        <v>3243</v>
      </c>
      <c r="C160" s="2979" t="s">
        <v>1326</v>
      </c>
      <c r="D160" s="2979" t="s">
        <v>1326</v>
      </c>
      <c r="E160" s="2979" t="s">
        <v>3224</v>
      </c>
      <c r="F160" s="2979" t="s">
        <v>3166</v>
      </c>
      <c r="G160" s="2979" t="s">
        <v>3167</v>
      </c>
      <c r="H160" s="2983">
        <v>83</v>
      </c>
      <c r="I160" s="2983">
        <v>374</v>
      </c>
      <c r="J160" s="2983">
        <v>44974</v>
      </c>
    </row>
    <row r="161" spans="1:10">
      <c r="A161" s="2979" t="s">
        <v>3426</v>
      </c>
      <c r="B161" s="2979" t="s">
        <v>3243</v>
      </c>
      <c r="C161" s="2979" t="s">
        <v>1326</v>
      </c>
      <c r="D161" s="2979" t="s">
        <v>1326</v>
      </c>
      <c r="E161" s="2979" t="s">
        <v>3224</v>
      </c>
      <c r="F161" s="2979" t="s">
        <v>3166</v>
      </c>
      <c r="G161" s="2979" t="s">
        <v>3167</v>
      </c>
      <c r="H161" s="2983">
        <v>83</v>
      </c>
      <c r="I161" s="2983">
        <v>374</v>
      </c>
      <c r="J161" s="2983">
        <v>44974</v>
      </c>
    </row>
    <row r="162" spans="1:10">
      <c r="A162" s="2979" t="s">
        <v>3427</v>
      </c>
      <c r="B162" s="2979" t="s">
        <v>3243</v>
      </c>
      <c r="C162" s="2979" t="s">
        <v>1326</v>
      </c>
      <c r="D162" s="2979" t="s">
        <v>1326</v>
      </c>
      <c r="E162" s="2979" t="s">
        <v>3224</v>
      </c>
      <c r="F162" s="2979" t="s">
        <v>3166</v>
      </c>
      <c r="G162" s="2979" t="s">
        <v>3167</v>
      </c>
      <c r="H162" s="2983">
        <v>83</v>
      </c>
      <c r="I162" s="2983">
        <v>374</v>
      </c>
      <c r="J162" s="2983">
        <v>45207</v>
      </c>
    </row>
    <row r="163" spans="1:10">
      <c r="A163" s="2979" t="s">
        <v>3428</v>
      </c>
      <c r="B163" s="2979" t="s">
        <v>3243</v>
      </c>
      <c r="C163" s="2979" t="s">
        <v>1326</v>
      </c>
      <c r="D163" s="2979" t="s">
        <v>1326</v>
      </c>
      <c r="E163" s="2979" t="s">
        <v>3224</v>
      </c>
      <c r="F163" s="2979" t="s">
        <v>3166</v>
      </c>
      <c r="G163" s="2979" t="s">
        <v>3167</v>
      </c>
      <c r="H163" s="2983">
        <v>83</v>
      </c>
      <c r="I163" s="2983">
        <v>374</v>
      </c>
      <c r="J163" s="2983">
        <v>45207</v>
      </c>
    </row>
    <row r="164" spans="1:10">
      <c r="A164" s="2979" t="s">
        <v>3382</v>
      </c>
      <c r="B164" s="2979" t="s">
        <v>3243</v>
      </c>
      <c r="C164" s="2979" t="s">
        <v>1326</v>
      </c>
      <c r="D164" s="2979" t="s">
        <v>1326</v>
      </c>
      <c r="E164" s="2979" t="s">
        <v>3224</v>
      </c>
      <c r="F164" s="2979" t="s">
        <v>3166</v>
      </c>
      <c r="G164" s="2979" t="s">
        <v>3167</v>
      </c>
      <c r="H164" s="2983">
        <v>83</v>
      </c>
      <c r="I164" s="2983">
        <v>374</v>
      </c>
      <c r="J164" s="2983">
        <v>45207</v>
      </c>
    </row>
    <row r="165" spans="1:10">
      <c r="A165" s="2979" t="s">
        <v>3395</v>
      </c>
      <c r="B165" s="2979" t="s">
        <v>3243</v>
      </c>
      <c r="C165" s="2979" t="s">
        <v>1326</v>
      </c>
      <c r="D165" s="2979" t="s">
        <v>1326</v>
      </c>
      <c r="E165" s="2979" t="s">
        <v>3224</v>
      </c>
      <c r="F165" s="2979" t="s">
        <v>3166</v>
      </c>
      <c r="G165" s="2979" t="s">
        <v>3167</v>
      </c>
      <c r="H165" s="2983">
        <v>83</v>
      </c>
      <c r="I165" s="2983">
        <v>374</v>
      </c>
      <c r="J165" s="2983">
        <v>45207</v>
      </c>
    </row>
    <row r="166" spans="1:10">
      <c r="A166" s="2979" t="s">
        <v>3341</v>
      </c>
      <c r="B166" s="2979" t="s">
        <v>3252</v>
      </c>
      <c r="C166" s="2979" t="s">
        <v>1326</v>
      </c>
      <c r="D166" s="2979" t="s">
        <v>3266</v>
      </c>
      <c r="E166" s="2979" t="s">
        <v>3224</v>
      </c>
      <c r="F166" s="2979" t="s">
        <v>3166</v>
      </c>
      <c r="G166" s="2979" t="s">
        <v>3182</v>
      </c>
      <c r="H166" s="2983">
        <v>83</v>
      </c>
      <c r="I166" s="2983">
        <v>374</v>
      </c>
      <c r="J166" s="2983">
        <v>45207</v>
      </c>
    </row>
  </sheetData>
  <autoFilter ref="A1:J147" xr:uid="{00000000-0009-0000-0000-000031000000}"/>
  <phoneticPr fontId="144" type="noConversion"/>
  <pageMargins left="0.75" right="0.75" top="1" bottom="1" header="0.5" footer="0.5"/>
  <pageSetup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baseColWidth="10" defaultColWidth="9" defaultRowHeight="14"/>
  <cols>
    <col min="1" max="1" width="16.6640625" style="1944" customWidth="1"/>
    <col min="2" max="3" width="22.33203125" style="1944" customWidth="1"/>
    <col min="4" max="4" width="23" style="1944" customWidth="1"/>
    <col min="5" max="16384" width="9" style="1944"/>
  </cols>
  <sheetData>
    <row r="1" spans="1:4" ht="18">
      <c r="A1" s="3021" t="s">
        <v>1656</v>
      </c>
      <c r="B1" s="3021"/>
      <c r="C1" s="3021"/>
      <c r="D1" s="3021"/>
    </row>
    <row r="2" spans="1:4" ht="18">
      <c r="A2" s="3022" t="s">
        <v>1640</v>
      </c>
      <c r="B2" s="3022"/>
      <c r="C2" s="3022"/>
      <c r="D2" s="3022"/>
    </row>
    <row r="3" spans="1:4" ht="18">
      <c r="A3" s="1976" t="s">
        <v>1641</v>
      </c>
      <c r="B3" s="1976" t="s">
        <v>1642</v>
      </c>
      <c r="C3" s="1976" t="s">
        <v>1643</v>
      </c>
      <c r="D3" s="1976" t="s">
        <v>1644</v>
      </c>
    </row>
    <row r="4" spans="1:4" ht="56.25" customHeight="1">
      <c r="A4" s="1977" t="str">
        <f>项目基本情况!B4</f>
        <v>叶凌</v>
      </c>
      <c r="B4" s="1978">
        <f ca="1">项目基本情况!C4</f>
        <v>1119970111</v>
      </c>
      <c r="C4" s="1979"/>
      <c r="D4" s="1980" t="s">
        <v>1645</v>
      </c>
    </row>
    <row r="5" spans="1:4" ht="56.25" customHeight="1">
      <c r="A5" s="1977" t="str">
        <f>项目基本情况!D4</f>
        <v>陈颖</v>
      </c>
      <c r="B5" s="1978">
        <f ca="1">项目基本情况!E4</f>
        <v>1120060040</v>
      </c>
      <c r="C5" s="1981"/>
      <c r="D5" s="1980" t="s">
        <v>1645</v>
      </c>
    </row>
    <row r="6" spans="1:4" ht="18">
      <c r="A6" s="3022" t="s">
        <v>1646</v>
      </c>
      <c r="B6" s="3022"/>
      <c r="C6" s="3022"/>
      <c r="D6" s="3022"/>
    </row>
    <row r="7" spans="1:4" ht="18">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
      <c r="A10" s="1983" t="s">
        <v>1648</v>
      </c>
      <c r="B10" s="728"/>
      <c r="C10" s="728"/>
      <c r="D10" s="728"/>
    </row>
    <row r="11" spans="1:4" ht="30" customHeight="1">
      <c r="A11" s="3023" t="s">
        <v>1649</v>
      </c>
      <c r="B11" s="3015"/>
      <c r="C11" s="3015"/>
      <c r="D11" s="3015"/>
    </row>
    <row r="12" spans="1:4" ht="16">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0"/>
      <c r="C12" s="3020"/>
      <c r="D12" s="3020"/>
    </row>
    <row r="13" spans="1:4" ht="30" customHeight="1">
      <c r="A13" s="3015" t="str">
        <f>IF(项目基本情况!B8="抵押","3.抵押双方在办理抵押登记手续时，应使用本公司出具的正式《房地产评估报告》，特提醒报告使用者注意。","——")</f>
        <v>——</v>
      </c>
      <c r="B13" s="3020"/>
      <c r="C13" s="3020"/>
      <c r="D13" s="3020"/>
    </row>
    <row r="14" spans="1:4" ht="15.75" customHeight="1">
      <c r="A14" s="3015" t="str">
        <f>IF(项目基本情况!B8="抵押","4.本次评估估价师所知悉的法定优先受偿款情况说明如下：","——")</f>
        <v>——</v>
      </c>
      <c r="B14" s="3020"/>
      <c r="C14" s="3020"/>
      <c r="D14" s="3020"/>
    </row>
    <row r="15" spans="1:4" ht="42" customHeight="1">
      <c r="A15" s="3015" t="str">
        <f>IF(项目基本情况!B8="抵押","（1）"&amp;CONCATENATE(项目基本情况!L20,项目基本情况!L21,项目基本情况!L22),"——")</f>
        <v>——</v>
      </c>
      <c r="B15" s="3015"/>
      <c r="C15" s="3015"/>
      <c r="D15" s="3015"/>
    </row>
    <row r="16" spans="1:4" ht="30" customHeight="1">
      <c r="A16" s="3017" t="s">
        <v>1650</v>
      </c>
      <c r="B16" s="3017"/>
      <c r="C16" s="3017"/>
      <c r="D16" s="3017"/>
    </row>
    <row r="17" spans="1:4" ht="144" customHeight="1">
      <c r="A17" s="3017" t="s">
        <v>1651</v>
      </c>
      <c r="B17" s="3017"/>
      <c r="C17" s="3017"/>
      <c r="D17" s="3017"/>
    </row>
    <row r="18" spans="1:4" ht="15.75" customHeight="1">
      <c r="A18" s="3015" t="str">
        <f>IF(项目基本情况!B8="抵押",结果表!K120,"——")</f>
        <v>——</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5"/>
      <c r="C20" s="3015"/>
      <c r="D20" s="3015"/>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1652</v>
      </c>
      <c r="B22" s="3019"/>
      <c r="C22" s="3019"/>
      <c r="D22" s="3019"/>
    </row>
    <row r="23" spans="1:4">
      <c r="A23" s="1984"/>
      <c r="B23" s="1956"/>
      <c r="C23" s="1956"/>
      <c r="D23" s="1956"/>
    </row>
    <row r="24" spans="1:4">
      <c r="A24" s="1984"/>
      <c r="B24" s="1956"/>
      <c r="C24" s="1956"/>
      <c r="D24" s="1956"/>
    </row>
    <row r="25" spans="1:4" ht="18">
      <c r="A25" s="1985" t="s">
        <v>1653</v>
      </c>
    </row>
    <row r="26" spans="1:4" ht="18">
      <c r="A26" s="1954"/>
    </row>
    <row r="27" spans="1:4" ht="18">
      <c r="A27" s="1954" t="s">
        <v>1654</v>
      </c>
    </row>
    <row r="30" spans="1:4" ht="18">
      <c r="D30" s="1985" t="s">
        <v>1655</v>
      </c>
    </row>
    <row r="31" spans="1:4" ht="13.5" customHeight="1">
      <c r="C31" s="3016">
        <v>42551</v>
      </c>
      <c r="D31" s="30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baseColWidth="10" defaultColWidth="9" defaultRowHeight="14"/>
  <cols>
    <col min="1" max="2" width="13.1640625" style="1942" customWidth="1"/>
    <col min="3" max="10" width="12.5" style="1942" customWidth="1"/>
    <col min="11" max="16384" width="9" style="1942"/>
  </cols>
  <sheetData>
    <row r="1" spans="1:10" ht="17">
      <c r="A1" s="1975" t="s">
        <v>866</v>
      </c>
      <c r="B1" s="1986"/>
      <c r="C1" s="1986"/>
      <c r="D1" s="1986"/>
      <c r="E1" s="1986"/>
      <c r="F1" s="1986"/>
      <c r="G1" s="1986"/>
      <c r="H1" s="1986"/>
      <c r="I1" s="1986"/>
      <c r="J1" s="1986"/>
    </row>
    <row r="2" spans="1:10" ht="17">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15" sqref="C15"/>
      <selection pane="bottomLeft" activeCell="C15" sqref="C15"/>
    </sheetView>
  </sheetViews>
  <sheetFormatPr baseColWidth="10" defaultColWidth="14.5" defaultRowHeight="15"/>
  <cols>
    <col min="1" max="1" width="14.5" style="1992" customWidth="1"/>
    <col min="2" max="16384" width="14.5" style="1974"/>
  </cols>
  <sheetData>
    <row r="1" spans="1:7" s="1989" customFormat="1" ht="17">
      <c r="A1" s="1988" t="s">
        <v>1657</v>
      </c>
    </row>
    <row r="3" spans="1:7" ht="16">
      <c r="A3" s="1990" t="s">
        <v>82</v>
      </c>
      <c r="B3" s="1974" t="s">
        <v>1658</v>
      </c>
      <c r="G3" s="1991"/>
    </row>
    <row r="4" spans="1:7">
      <c r="G4" s="1991"/>
    </row>
    <row r="5" spans="1:7" ht="16">
      <c r="A5" s="1993" t="s">
        <v>73</v>
      </c>
      <c r="B5" s="1974" t="s">
        <v>1659</v>
      </c>
      <c r="G5" s="1991"/>
    </row>
    <row r="6" spans="1:7">
      <c r="G6" s="1991"/>
    </row>
    <row r="7" spans="1:7" ht="16">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4">
      <c r="A15" s="3029" t="s">
        <v>1663</v>
      </c>
      <c r="B15" s="3024" t="s">
        <v>136</v>
      </c>
      <c r="C15" s="3025"/>
    </row>
    <row r="16" spans="1:7" ht="14">
      <c r="A16" s="3030"/>
      <c r="B16" s="3024" t="s">
        <v>69</v>
      </c>
      <c r="C16" s="3025"/>
    </row>
    <row r="17" spans="1:3" ht="14">
      <c r="A17" s="3030"/>
      <c r="B17" s="3027" t="s">
        <v>1664</v>
      </c>
      <c r="C17" s="1999" t="s">
        <v>1663</v>
      </c>
    </row>
    <row r="18" spans="1:3" ht="14">
      <c r="A18" s="3030"/>
      <c r="B18" s="3027"/>
      <c r="C18" s="1999" t="s">
        <v>1665</v>
      </c>
    </row>
    <row r="19" spans="1:3" ht="14">
      <c r="A19" s="3030"/>
      <c r="B19" s="3027"/>
      <c r="C19" s="1999" t="s">
        <v>1666</v>
      </c>
    </row>
    <row r="20" spans="1:3" ht="14">
      <c r="A20" s="3031"/>
      <c r="B20" s="3026" t="s">
        <v>1667</v>
      </c>
      <c r="C20" s="3025"/>
    </row>
    <row r="21" spans="1:3" ht="14">
      <c r="A21" s="2000" t="s">
        <v>1668</v>
      </c>
      <c r="B21" s="2001"/>
      <c r="C21" s="2002"/>
    </row>
    <row r="22" spans="1:3" ht="14">
      <c r="A22" s="3028" t="s">
        <v>1669</v>
      </c>
      <c r="B22" s="3026" t="s">
        <v>1670</v>
      </c>
      <c r="C22" s="3025"/>
    </row>
    <row r="23" spans="1:3" ht="14">
      <c r="A23" s="3028"/>
      <c r="B23" s="3026" t="s">
        <v>1671</v>
      </c>
      <c r="C23" s="3025"/>
    </row>
    <row r="24" spans="1:3" ht="14">
      <c r="A24" s="3028"/>
      <c r="B24" s="3026" t="s">
        <v>1672</v>
      </c>
      <c r="C24" s="3025"/>
    </row>
    <row r="25" spans="1:3" ht="14">
      <c r="A25" s="3028"/>
      <c r="B25" s="3027" t="s">
        <v>1673</v>
      </c>
      <c r="C25" s="1999" t="s">
        <v>1674</v>
      </c>
    </row>
    <row r="26" spans="1:3" ht="14">
      <c r="A26" s="3028"/>
      <c r="B26" s="3027"/>
      <c r="C26" s="1999" t="s">
        <v>1675</v>
      </c>
    </row>
    <row r="27" spans="1:3" ht="14">
      <c r="A27" s="3028"/>
      <c r="B27" s="3027"/>
      <c r="C27" s="1999" t="s">
        <v>1676</v>
      </c>
    </row>
    <row r="28" spans="1:3" ht="14">
      <c r="A28" s="3028"/>
      <c r="B28" s="3027"/>
      <c r="C28" s="1999" t="s">
        <v>1677</v>
      </c>
    </row>
    <row r="29" spans="1:3" ht="14">
      <c r="A29" s="3028"/>
      <c r="B29" s="3027"/>
      <c r="C29" s="1999" t="s">
        <v>1678</v>
      </c>
    </row>
    <row r="30" spans="1:3" ht="14">
      <c r="A30" s="3028"/>
      <c r="B30" s="3027"/>
      <c r="C30" s="1999" t="s">
        <v>1679</v>
      </c>
    </row>
    <row r="31" spans="1:3" ht="14">
      <c r="A31" s="3028"/>
      <c r="B31" s="3027"/>
      <c r="C31" s="1999" t="s">
        <v>1680</v>
      </c>
    </row>
    <row r="32" spans="1:3" ht="14">
      <c r="A32" s="3028"/>
      <c r="B32" s="3027"/>
      <c r="C32" s="1999" t="s">
        <v>1681</v>
      </c>
    </row>
    <row r="33" spans="1:3" ht="14">
      <c r="A33" s="3028"/>
      <c r="B33" s="3027"/>
      <c r="C33" s="1999" t="s">
        <v>1682</v>
      </c>
    </row>
    <row r="34" spans="1:3">
      <c r="A34" s="2003" t="s">
        <v>76</v>
      </c>
    </row>
    <row r="37" spans="1:3">
      <c r="A37" s="2003" t="s">
        <v>1683</v>
      </c>
    </row>
    <row r="38" spans="1:3" ht="14">
      <c r="A38" s="2004" t="s">
        <v>77</v>
      </c>
    </row>
    <row r="39" spans="1:3" ht="14">
      <c r="A39" s="2004" t="s">
        <v>78</v>
      </c>
    </row>
    <row r="40" spans="1:3" ht="14">
      <c r="A40" s="2004" t="s">
        <v>79</v>
      </c>
    </row>
    <row r="41" spans="1:3" ht="14">
      <c r="A41" s="2005" t="s">
        <v>80</v>
      </c>
    </row>
    <row r="42" spans="1:3" ht="1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C15" sqref="C15"/>
    </sheetView>
  </sheetViews>
  <sheetFormatPr baseColWidth="10" defaultColWidth="22.6640625" defaultRowHeight="24" customHeight="1"/>
  <cols>
    <col min="1" max="2" width="22.6640625" style="1015"/>
    <col min="3" max="3" width="32.1640625" style="1015" customWidth="1"/>
    <col min="4" max="5" width="22.6640625" style="1015"/>
    <col min="6" max="6" width="25.6640625" style="1015" customWidth="1"/>
    <col min="7" max="16384" width="22.6640625" style="1015"/>
  </cols>
  <sheetData>
    <row r="2" spans="1:6" ht="24" customHeight="1">
      <c r="A2" s="1017" t="s">
        <v>825</v>
      </c>
      <c r="B2" s="1018">
        <f ca="1">TODAY()</f>
        <v>44082</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t="str">
        <f ca="1">IF(C4&lt;B2,"已过期",1119970066)</f>
        <v>已过期</v>
      </c>
      <c r="C4" s="2346">
        <v>43849</v>
      </c>
      <c r="D4" s="2349" t="s">
        <v>832</v>
      </c>
      <c r="E4" s="1022">
        <f ca="1">IF(F4&lt;B2,"已过期",96010014)</f>
        <v>96010014</v>
      </c>
      <c r="F4" s="1030">
        <v>47118</v>
      </c>
    </row>
    <row r="5" spans="1:6" ht="24" customHeight="1">
      <c r="A5" s="1702"/>
      <c r="B5" s="1022"/>
      <c r="C5" s="2346"/>
      <c r="D5" s="2349"/>
      <c r="E5" s="1022"/>
      <c r="F5" s="1030"/>
    </row>
    <row r="6" spans="1:6" ht="24" customHeight="1">
      <c r="A6" s="1702" t="s">
        <v>833</v>
      </c>
      <c r="B6" s="1022">
        <f ca="1">IF(C6&lt;B2,"已过期",1119970111)</f>
        <v>1119970111</v>
      </c>
      <c r="C6" s="2346">
        <v>44876</v>
      </c>
      <c r="D6" s="2349" t="s">
        <v>833</v>
      </c>
      <c r="E6" s="1022">
        <f ca="1">IF(F6&lt;B2,"已过期",94010078)</f>
        <v>94010078</v>
      </c>
      <c r="F6" s="1030">
        <v>46387</v>
      </c>
    </row>
    <row r="7" spans="1:6" ht="24" customHeight="1">
      <c r="A7" s="1702" t="s">
        <v>834</v>
      </c>
      <c r="B7" s="1022">
        <f ca="1">IF(C7&lt;B2,"已过期",1120050019)</f>
        <v>1120050019</v>
      </c>
      <c r="C7" s="2346">
        <v>44395</v>
      </c>
      <c r="D7" s="2349" t="s">
        <v>834</v>
      </c>
      <c r="E7" s="1022">
        <f ca="1">IF(F7&lt;B2,"已过期",2002110030)</f>
        <v>2002110030</v>
      </c>
      <c r="F7" s="1030">
        <v>46387</v>
      </c>
    </row>
    <row r="8" spans="1:6" ht="24" customHeight="1">
      <c r="A8" s="1702" t="s">
        <v>835</v>
      </c>
      <c r="B8" s="1022" t="str">
        <f ca="1">IF(C8&lt;B2,"已过期",1120000080)</f>
        <v>已过期</v>
      </c>
      <c r="C8" s="2346">
        <v>43849</v>
      </c>
      <c r="D8" s="2349" t="s">
        <v>835</v>
      </c>
      <c r="E8" s="1022">
        <f ca="1">IF(F8&lt;B2,"已过期",2000110082)</f>
        <v>2000110082</v>
      </c>
      <c r="F8" s="1030">
        <v>46387</v>
      </c>
    </row>
    <row r="9" spans="1:6" ht="24" customHeight="1">
      <c r="A9" s="1702" t="s">
        <v>836</v>
      </c>
      <c r="B9" s="1022" t="str">
        <f ca="1">IF(C9&lt;B2,"已过期",1419970001)</f>
        <v>已过期</v>
      </c>
      <c r="C9" s="2346">
        <v>43867</v>
      </c>
      <c r="D9" s="2349" t="s">
        <v>836</v>
      </c>
      <c r="E9" s="1022">
        <f ca="1">IF(F9&lt;B2,"已过期",2002110125)</f>
        <v>2002110125</v>
      </c>
      <c r="F9" s="1030">
        <v>47118</v>
      </c>
    </row>
    <row r="10" spans="1:6" ht="24" customHeight="1">
      <c r="A10" s="1702" t="s">
        <v>837</v>
      </c>
      <c r="B10" s="1022">
        <f ca="1">IF(C10&lt;B2,"已过期",1120060040)</f>
        <v>1120060040</v>
      </c>
      <c r="C10" s="2346">
        <v>44554</v>
      </c>
      <c r="D10" s="2349" t="s">
        <v>837</v>
      </c>
      <c r="E10" s="1022">
        <f ca="1">IF(F10&lt;B2,"已过期",2004110096)</f>
        <v>2004110096</v>
      </c>
      <c r="F10" s="1030">
        <v>47118</v>
      </c>
    </row>
    <row r="11" spans="1:6" ht="24" customHeight="1">
      <c r="A11" s="1702" t="s">
        <v>838</v>
      </c>
      <c r="B11" s="1022">
        <f ca="1">IF(C11&lt;B2,"已过期",1120100036)</f>
        <v>1120100036</v>
      </c>
      <c r="C11" s="2346">
        <v>44675</v>
      </c>
      <c r="D11" s="2349" t="s">
        <v>838</v>
      </c>
      <c r="E11" s="1022">
        <f ca="1">IF(F11&lt;B2,"已过期",2010110070)</f>
        <v>2010110070</v>
      </c>
      <c r="F11" s="1030">
        <v>47907</v>
      </c>
    </row>
    <row r="12" spans="1:6" ht="24" customHeight="1">
      <c r="A12" s="1702"/>
      <c r="B12" s="1022"/>
      <c r="C12" s="2926"/>
      <c r="D12" s="1702"/>
      <c r="E12" s="1022"/>
      <c r="F12" s="1030"/>
    </row>
    <row r="13" spans="1:6" ht="24" customHeight="1">
      <c r="A13" s="1702" t="s">
        <v>839</v>
      </c>
      <c r="B13" s="1022">
        <f ca="1">IF(C13&lt;B2,"已过期",1120070131)</f>
        <v>1120070131</v>
      </c>
      <c r="C13" s="2346">
        <v>44849</v>
      </c>
      <c r="D13" s="2349" t="s">
        <v>839</v>
      </c>
      <c r="E13" s="1022">
        <f ca="1">IF(F13&lt;B2,"已过期",2014110011)</f>
        <v>2014110011</v>
      </c>
      <c r="F13" s="1030">
        <v>49302</v>
      </c>
    </row>
    <row r="14" spans="1:6" ht="24" customHeight="1">
      <c r="A14" s="1702" t="s">
        <v>3044</v>
      </c>
      <c r="B14" s="1022">
        <f ca="1">IF(C14&lt;B2,"已过期",1120040230)</f>
        <v>1120040230</v>
      </c>
      <c r="C14" s="2346">
        <v>44864</v>
      </c>
      <c r="D14" s="2349" t="s">
        <v>3044</v>
      </c>
      <c r="E14" s="1022">
        <f ca="1">IF(F14&lt;B2,"已过期",98030020)</f>
        <v>98030020</v>
      </c>
      <c r="F14" s="1030">
        <v>47118</v>
      </c>
    </row>
    <row r="15" spans="1:6" ht="24" customHeight="1">
      <c r="A15" s="1703"/>
      <c r="B15" s="1022"/>
      <c r="C15" s="2346"/>
      <c r="D15" s="2350"/>
      <c r="E15" s="1022"/>
      <c r="F15" s="1023"/>
    </row>
    <row r="16" spans="1:6" ht="24" customHeight="1">
      <c r="A16" s="1702"/>
      <c r="B16" s="1022"/>
      <c r="C16" s="2926"/>
      <c r="D16" s="2349"/>
      <c r="E16" s="1022"/>
      <c r="F16" s="1030"/>
    </row>
    <row r="17" spans="1:7" ht="24" customHeight="1">
      <c r="A17" s="1702"/>
      <c r="B17" s="1022"/>
      <c r="C17" s="2346"/>
      <c r="D17" s="2349"/>
      <c r="E17" s="1022"/>
      <c r="F17" s="1030"/>
    </row>
    <row r="18" spans="1:7" ht="24" customHeight="1">
      <c r="A18" s="1702" t="s">
        <v>3051</v>
      </c>
      <c r="B18" s="1022">
        <v>1120190079</v>
      </c>
      <c r="C18" s="2926">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840</v>
      </c>
      <c r="E21" s="1022">
        <f ca="1">IF(F21&lt;B2,"已过期",2011110090)</f>
        <v>2011110090</v>
      </c>
      <c r="F21" s="1030">
        <v>48302</v>
      </c>
    </row>
    <row r="22" spans="1:7" ht="24" customHeight="1">
      <c r="A22" s="1702" t="s">
        <v>841</v>
      </c>
      <c r="B22" s="1022">
        <f ca="1">IF(C22&lt;B2,"已过期",1120020033)</f>
        <v>1120020033</v>
      </c>
      <c r="C22" s="2926">
        <v>44339</v>
      </c>
      <c r="D22" s="2349" t="s">
        <v>841</v>
      </c>
      <c r="E22" s="1022">
        <f ca="1">IF(F22&lt;B2,"已过期",2000110137)</f>
        <v>2000110137</v>
      </c>
      <c r="F22" s="1030">
        <v>46387</v>
      </c>
    </row>
    <row r="23" spans="1:7" ht="24" customHeight="1">
      <c r="A23" s="1702" t="s">
        <v>3053</v>
      </c>
      <c r="B23" s="1022">
        <v>1119980106</v>
      </c>
      <c r="C23" s="2346">
        <v>43916</v>
      </c>
      <c r="D23" s="2349"/>
      <c r="E23" s="1022"/>
      <c r="F23" s="1022"/>
    </row>
    <row r="24" spans="1:7" s="1024" customFormat="1" ht="24" customHeight="1">
      <c r="A24" s="1703" t="s">
        <v>1328</v>
      </c>
      <c r="B24" s="1703" t="s">
        <v>1328</v>
      </c>
      <c r="C24" s="2347" t="s">
        <v>1328</v>
      </c>
      <c r="D24" s="2350" t="s">
        <v>1328</v>
      </c>
      <c r="E24" s="1703" t="s">
        <v>1328</v>
      </c>
      <c r="F24" s="1703" t="s">
        <v>1328</v>
      </c>
    </row>
    <row r="25" spans="1:7" ht="24" customHeight="1">
      <c r="A25" s="3032" t="s">
        <v>842</v>
      </c>
      <c r="B25" s="3032"/>
      <c r="C25" s="3032"/>
      <c r="D25" s="3032"/>
      <c r="E25" s="3032"/>
      <c r="F25" s="3032"/>
      <c r="G25" s="3032"/>
    </row>
    <row r="26" spans="1:7" s="1025" customFormat="1" ht="24" customHeight="1">
      <c r="A26" s="3033" t="s">
        <v>843</v>
      </c>
      <c r="B26" s="3033"/>
      <c r="C26" s="3034"/>
      <c r="D26" s="3035" t="s">
        <v>844</v>
      </c>
      <c r="E26" s="3033"/>
      <c r="F26" s="3033"/>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7"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50</vt:i4>
      </vt:variant>
      <vt:variant>
        <vt:lpstr>命名范围</vt:lpstr>
      </vt:variant>
      <vt:variant>
        <vt:i4>134</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北京统计局2019年住宅销售价格环比指数</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金麟府数据</vt:lpstr>
      <vt:lpstr>中国铁建国际公馆</vt:lpstr>
      <vt:lpstr>金麟府分户</vt:lpstr>
      <vt:lpstr>金麟府分户 (80-90)</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Chang</cp:lastModifiedBy>
  <cp:lastPrinted>2017-03-01T09:15:43Z</cp:lastPrinted>
  <dcterms:created xsi:type="dcterms:W3CDTF">2015-07-13T07:17:23Z</dcterms:created>
  <dcterms:modified xsi:type="dcterms:W3CDTF">2020-09-08T14:54:21Z</dcterms:modified>
</cp:coreProperties>
</file>