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汇总）" sheetId="70" r:id="rId23"/>
    <sheet name="收益法-未出租"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已出租" sheetId="79" r:id="rId45"/>
    <sheet name="土地案例" sheetId="77" r:id="rId46"/>
    <sheet name="案例"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'收益法-未出租'!$A$1:$AK$69</definedName>
    <definedName name="_xlnm.Print_Area" localSheetId="4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22" i="77" l="1"/>
  <c r="X22" i="77" s="1"/>
  <c r="V21" i="77"/>
  <c r="X21" i="77" s="1"/>
  <c r="U22" i="77"/>
  <c r="T22" i="77"/>
  <c r="T21" i="77"/>
  <c r="S22" i="77"/>
  <c r="S21" i="77"/>
  <c r="R22" i="77"/>
  <c r="R21" i="77"/>
  <c r="N24" i="77" l="1"/>
  <c r="J21" i="9" l="1"/>
  <c r="F70" i="79"/>
  <c r="F52" i="79"/>
  <c r="F49" i="79"/>
  <c r="E66" i="40"/>
  <c r="F66" i="40" s="1"/>
  <c r="G66" i="40" s="1"/>
  <c r="H66" i="40" s="1"/>
  <c r="I66" i="40" s="1"/>
  <c r="J66" i="40" s="1"/>
  <c r="K66" i="40" s="1"/>
  <c r="L66" i="40" s="1"/>
  <c r="M66" i="40" s="1"/>
  <c r="N66" i="40" s="1"/>
  <c r="O66" i="40" s="1"/>
  <c r="D66" i="40"/>
  <c r="U7" i="1"/>
  <c r="AF7" i="1"/>
  <c r="AD7" i="1"/>
  <c r="C11" i="79"/>
  <c r="AB7" i="1"/>
  <c r="AA7" i="1"/>
  <c r="Z7" i="1" l="1"/>
  <c r="O23" i="77" l="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M7" i="1"/>
  <c r="AL7" i="1"/>
  <c r="AK7" i="1"/>
  <c r="Y7" i="1"/>
  <c r="N22" i="77"/>
  <c r="N21" i="77"/>
  <c r="Q7" i="1"/>
  <c r="N7" i="1"/>
  <c r="L7" i="1"/>
  <c r="J7" i="1"/>
  <c r="I7" i="1"/>
  <c r="H7" i="1"/>
  <c r="F19" i="6"/>
  <c r="F20" i="6"/>
  <c r="F23" i="77"/>
  <c r="P22" i="77"/>
  <c r="M22" i="77"/>
  <c r="F22" i="77"/>
  <c r="P21" i="77"/>
  <c r="M21" i="77"/>
  <c r="F21" i="77"/>
  <c r="I41" i="40"/>
  <c r="G41" i="40"/>
  <c r="E41" i="40"/>
  <c r="AL3" i="77"/>
  <c r="AL2" i="77"/>
  <c r="AL1" i="77"/>
  <c r="N6" i="1"/>
  <c r="AY3" i="3"/>
  <c r="B13" i="3"/>
  <c r="B15" i="3"/>
  <c r="B7" i="4"/>
  <c r="D24" i="79" l="1"/>
  <c r="P61" i="79"/>
  <c r="D22" i="79"/>
  <c r="N23" i="77"/>
  <c r="I34" i="40"/>
  <c r="G34" i="40"/>
  <c r="E34" i="40"/>
  <c r="I11" i="40"/>
  <c r="G11" i="40"/>
  <c r="E11" i="40"/>
  <c r="E109" i="40"/>
  <c r="F109" i="40" s="1"/>
  <c r="G109" i="40" s="1"/>
  <c r="H109" i="40" s="1"/>
  <c r="I109" i="40" s="1"/>
  <c r="J109" i="40" s="1"/>
  <c r="D109" i="40"/>
  <c r="I7" i="40"/>
  <c r="G7" i="40"/>
  <c r="E7" i="40"/>
  <c r="I5" i="40"/>
  <c r="G5" i="40"/>
  <c r="E5" i="40"/>
  <c r="AL17" i="77"/>
  <c r="AL16" i="77"/>
  <c r="AL15" i="77"/>
  <c r="AL14" i="77"/>
  <c r="AL13" i="77"/>
  <c r="AL12" i="77"/>
  <c r="AL11" i="77"/>
  <c r="AL10" i="77"/>
  <c r="AL9" i="77"/>
  <c r="AL8" i="77"/>
  <c r="AL7" i="77"/>
  <c r="AL6" i="77"/>
  <c r="AL5" i="77"/>
  <c r="Y6" i="1"/>
  <c r="D3" i="4"/>
  <c r="F37" i="79"/>
  <c r="L48" i="79"/>
  <c r="F26" i="79"/>
  <c r="F7" i="79"/>
  <c r="M9" i="79"/>
  <c r="M8" i="79"/>
  <c r="F13" i="79"/>
  <c r="M6" i="79"/>
  <c r="M26" i="79"/>
  <c r="M22" i="79"/>
  <c r="J15" i="79"/>
  <c r="F43" i="79"/>
  <c r="F40" i="79"/>
  <c r="C76" i="79"/>
  <c r="F38" i="79"/>
  <c r="L47" i="79"/>
  <c r="F36" i="79"/>
  <c r="F42" i="79"/>
  <c r="M29" i="79"/>
  <c r="M28" i="79"/>
  <c r="M23" i="79"/>
  <c r="F9" i="79"/>
  <c r="M24" i="79"/>
  <c r="F8" i="79"/>
  <c r="F16" i="79"/>
  <c r="F6" i="79"/>
  <c r="F64" i="79" l="1"/>
  <c r="F66" i="79"/>
  <c r="F50" i="79"/>
  <c r="M7" i="79"/>
  <c r="J6" i="79" s="1"/>
  <c r="N59" i="79"/>
  <c r="L59" i="79"/>
  <c r="L58" i="79"/>
  <c r="M59" i="79"/>
  <c r="Q71" i="79"/>
  <c r="C27" i="79"/>
  <c r="F65" i="79"/>
  <c r="C6" i="79"/>
  <c r="F51" i="79"/>
  <c r="F68" i="79"/>
  <c r="F71" i="79"/>
  <c r="L57" i="79"/>
  <c r="L56" i="79"/>
  <c r="I54" i="79"/>
  <c r="L60" i="79"/>
  <c r="J53" i="79"/>
  <c r="J57" i="79"/>
  <c r="J55" i="79" s="1"/>
  <c r="J58" i="79" s="1"/>
  <c r="Q50" i="79" s="1"/>
  <c r="D7" i="71"/>
  <c r="C17" i="79"/>
  <c r="C49" i="79" l="1"/>
  <c r="Q66" i="79"/>
  <c r="Q57" i="79"/>
  <c r="Q61" i="79"/>
  <c r="Q74" i="79"/>
  <c r="F1" i="79"/>
  <c r="Q52" i="79"/>
  <c r="Q60" i="79"/>
  <c r="Q73" i="79"/>
  <c r="AH5" i="7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B10" i="76"/>
  <c r="E9" i="76"/>
  <c r="E12" i="76"/>
  <c r="E11" i="76"/>
  <c r="E8" i="76"/>
  <c r="B7" i="76"/>
  <c r="E10" i="76"/>
  <c r="B8" i="76"/>
  <c r="B12" i="76"/>
  <c r="E13" i="76"/>
  <c r="B11" i="76"/>
  <c r="B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D6" i="73"/>
  <c r="D5" i="73"/>
  <c r="F3" i="73"/>
  <c r="D3" i="73"/>
  <c r="F4" i="73"/>
  <c r="F6" i="73"/>
  <c r="F5" i="73"/>
  <c r="I1" i="73" l="1"/>
  <c r="B39" i="1" s="1"/>
  <c r="D4" i="73"/>
  <c r="D7" i="73"/>
  <c r="F11" i="79" l="1"/>
  <c r="M11" i="79"/>
  <c r="J10" i="79" s="1"/>
  <c r="J5"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48" i="79" s="1"/>
  <c r="C10" i="79"/>
  <c r="C5" i="79" s="1"/>
  <c r="J24" i="79"/>
  <c r="J18" i="79"/>
  <c r="AA10" i="43"/>
  <c r="AC10" i="43"/>
  <c r="AE10" i="43"/>
  <c r="AG10" i="43"/>
  <c r="AI10" i="43"/>
  <c r="Z10" i="43"/>
  <c r="AB10" i="43"/>
  <c r="AD10" i="43"/>
  <c r="AF10" i="43"/>
  <c r="AH10" i="43"/>
  <c r="AJ10" i="43"/>
  <c r="C66" i="79" l="1"/>
  <c r="C60" i="79"/>
  <c r="C38" i="79"/>
  <c r="C32" i="79"/>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5" i="71"/>
  <c r="AA6"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S34" i="35"/>
  <c r="W34" i="35"/>
  <c r="W36" i="35"/>
  <c r="S31" i="35"/>
  <c r="F36" i="34"/>
  <c r="J35" i="34"/>
  <c r="W9" i="34"/>
  <c r="S34" i="34"/>
  <c r="U34" i="34"/>
  <c r="H39" i="33"/>
  <c r="AB39" i="33" s="1"/>
  <c r="F26" i="33"/>
  <c r="AA26" i="33" s="1"/>
  <c r="S9" i="33"/>
  <c r="U33" i="33"/>
  <c r="S40" i="33"/>
  <c r="W33" i="33"/>
  <c r="W39" i="33"/>
  <c r="H39" i="37"/>
  <c r="AB39" i="37" s="1"/>
  <c r="S27" i="35"/>
  <c r="W8" i="40"/>
  <c r="AB39" i="40"/>
  <c r="AA9" i="40"/>
  <c r="AC9" i="40"/>
  <c r="U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AA44" i="33"/>
  <c r="AA14" i="33"/>
  <c r="J36" i="37"/>
  <c r="AC36" i="37" s="1"/>
  <c r="G105" i="37"/>
  <c r="AB11" i="35"/>
  <c r="J10" i="36"/>
  <c r="AC10" i="36" s="1"/>
  <c r="AB26" i="33"/>
  <c r="AB30" i="21"/>
  <c r="W31" i="34"/>
  <c r="AC13" i="36"/>
  <c r="W13" i="36"/>
  <c r="S11" i="36"/>
  <c r="W11" i="36"/>
  <c r="AC30" i="34"/>
  <c r="AB31"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9"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8" i="3"/>
  <c r="BL549"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G129" i="3"/>
  <c r="BA131" i="3"/>
  <c r="BL132" i="3"/>
  <c r="AZ132" i="3"/>
  <c r="G133" i="3"/>
  <c r="BA135" i="3"/>
  <c r="AZ135" i="3" s="1"/>
  <c r="BL136" i="3"/>
  <c r="G137" i="3"/>
  <c r="BA139" i="3"/>
  <c r="AZ139" i="3" s="1"/>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160" i="3"/>
  <c r="AZ200" i="3"/>
  <c r="AZ85" i="3"/>
  <c r="AZ89" i="3"/>
  <c r="AZ97" i="3"/>
  <c r="AZ105"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AZ382" i="3" s="1"/>
  <c r="BL382" i="3"/>
  <c r="G383" i="3"/>
  <c r="G386" i="3"/>
  <c r="BL387" i="3"/>
  <c r="BA389" i="3"/>
  <c r="AZ389" i="3" s="1"/>
  <c r="BA390" i="3"/>
  <c r="BL390" i="3"/>
  <c r="G391" i="3"/>
  <c r="G394" i="3"/>
  <c r="AZ138" i="3"/>
  <c r="AZ150" i="3"/>
  <c r="AZ158"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BB5" i="3"/>
  <c r="E8" i="6" s="1"/>
  <c r="F27" i="6" s="1"/>
  <c r="BR5" i="3"/>
  <c r="G28" i="6" s="1"/>
  <c r="AZ384" i="3"/>
  <c r="AZ392" i="3"/>
  <c r="AZ394" i="3"/>
  <c r="AZ499" i="3"/>
  <c r="AZ509" i="3"/>
  <c r="G509" i="3"/>
  <c r="BL493" i="3"/>
  <c r="AZ491" i="3"/>
  <c r="AZ376" i="3"/>
  <c r="AZ390" i="3"/>
  <c r="AZ493" i="3"/>
  <c r="U36" i="40"/>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7" i="3"/>
  <c r="AZ240" i="3"/>
  <c r="AZ243" i="3"/>
  <c r="AZ256" i="3"/>
  <c r="AZ259" i="3"/>
  <c r="AZ280" i="3"/>
  <c r="AZ296" i="3"/>
  <c r="AZ114"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F28" i="40" l="1"/>
  <c r="AA28" i="40" s="1"/>
  <c r="H28" i="40"/>
  <c r="U28" i="40" s="1"/>
  <c r="J28" i="40"/>
  <c r="AC28" i="40" s="1"/>
  <c r="W35" i="40"/>
  <c r="C21" i="39"/>
  <c r="A15" i="62"/>
  <c r="B61" i="72" s="1"/>
  <c r="F29" i="6"/>
  <c r="AZ310" i="3"/>
  <c r="AZ329" i="3"/>
  <c r="AZ321" i="3"/>
  <c r="AZ362" i="3"/>
  <c r="S25" i="21"/>
  <c r="AA25" i="21"/>
  <c r="AZ557" i="3"/>
  <c r="AC14" i="37"/>
  <c r="W14" i="37"/>
  <c r="W13" i="40"/>
  <c r="AC13" i="40"/>
  <c r="S13" i="35"/>
  <c r="AA13" i="35"/>
  <c r="AB46" i="33"/>
  <c r="U46" i="33"/>
  <c r="U11" i="36"/>
  <c r="AB11" i="36"/>
  <c r="U46" i="34"/>
  <c r="AB46" i="34"/>
  <c r="S14" i="34"/>
  <c r="AA14" i="34"/>
  <c r="U45" i="33"/>
  <c r="AB45" i="33"/>
  <c r="AB13" i="33"/>
  <c r="U13" i="33"/>
  <c r="W46" i="21"/>
  <c r="AC46" i="21"/>
  <c r="AC44" i="21"/>
  <c r="W44" i="21"/>
  <c r="AA44" i="34"/>
  <c r="S44" i="34"/>
  <c r="AC31" i="40"/>
  <c r="W31" i="40"/>
  <c r="AA38" i="40"/>
  <c r="S38" i="40"/>
  <c r="W40" i="40"/>
  <c r="AC40" i="40"/>
  <c r="S41" i="34"/>
  <c r="AA41" i="34"/>
  <c r="AB43" i="33"/>
  <c r="U43" i="33"/>
  <c r="AZ523" i="3"/>
  <c r="AZ527" i="3"/>
  <c r="AZ531" i="3"/>
  <c r="AZ535" i="3"/>
  <c r="AZ539" i="3"/>
  <c r="AZ543" i="3"/>
  <c r="AZ547" i="3"/>
  <c r="AZ559" i="3"/>
  <c r="AZ567" i="3"/>
  <c r="AZ579" i="3"/>
  <c r="AZ508" i="3"/>
  <c r="W29" i="33"/>
  <c r="S45" i="33"/>
  <c r="W11" i="35"/>
  <c r="AA14" i="37"/>
  <c r="U31" i="34"/>
  <c r="AB14" i="37"/>
  <c r="U14" i="37"/>
  <c r="AB26" i="37"/>
  <c r="U26" i="37"/>
  <c r="AC32" i="40"/>
  <c r="W32" i="40"/>
  <c r="AZ375" i="3"/>
  <c r="AB37" i="34"/>
  <c r="U33" i="37"/>
  <c r="AZ507" i="3"/>
  <c r="AZ513" i="3"/>
  <c r="AZ521" i="3"/>
  <c r="AZ553" i="3"/>
  <c r="AZ583" i="3"/>
  <c r="AZ581" i="3"/>
  <c r="AZ518" i="3"/>
  <c r="AZ538" i="3"/>
  <c r="AZ552" i="3"/>
  <c r="U23" i="40"/>
  <c r="AA29" i="35"/>
  <c r="U33" i="35"/>
  <c r="C27" i="39"/>
  <c r="U35" i="33"/>
  <c r="U34" i="35"/>
  <c r="W22" i="35"/>
  <c r="AA31" i="36"/>
  <c r="W28" i="36"/>
  <c r="F39" i="37"/>
  <c r="BL586" i="3"/>
  <c r="BL585" i="3"/>
  <c r="AZ585" i="3" s="1"/>
  <c r="H12" i="33"/>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BL220" i="3"/>
  <c r="AZ220" i="3" s="1"/>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AZ125" i="3"/>
  <c r="BA141" i="3"/>
  <c r="AZ141" i="3" s="1"/>
  <c r="BA142" i="3"/>
  <c r="AZ142" i="3" s="1"/>
  <c r="BL143" i="3"/>
  <c r="AZ143" i="3" s="1"/>
  <c r="BA145" i="3"/>
  <c r="AZ145" i="3" s="1"/>
  <c r="BA146" i="3"/>
  <c r="AZ146" i="3" s="1"/>
  <c r="BA148" i="3"/>
  <c r="AZ148" i="3" s="1"/>
  <c r="BL149" i="3"/>
  <c r="G152" i="3"/>
  <c r="BL154" i="3"/>
  <c r="AZ154" i="3" s="1"/>
  <c r="BA156" i="3"/>
  <c r="AZ156" i="3" s="1"/>
  <c r="BL157" i="3"/>
  <c r="G160" i="3"/>
  <c r="AZ177" i="3"/>
  <c r="AZ226" i="3"/>
  <c r="AZ230" i="3"/>
  <c r="AZ242" i="3"/>
  <c r="AZ246" i="3"/>
  <c r="AZ258" i="3"/>
  <c r="AZ262" i="3"/>
  <c r="BL125" i="3"/>
  <c r="BA126" i="3"/>
  <c r="AZ126" i="3" s="1"/>
  <c r="BL127" i="3"/>
  <c r="AZ127" i="3" s="1"/>
  <c r="BA129" i="3"/>
  <c r="AZ129" i="3" s="1"/>
  <c r="BA130" i="3"/>
  <c r="AZ130" i="3" s="1"/>
  <c r="BL131" i="3"/>
  <c r="AZ131" i="3" s="1"/>
  <c r="G135" i="3"/>
  <c r="G138" i="3"/>
  <c r="G139"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3" i="15"/>
  <c r="L48" i="67"/>
  <c r="M23" i="67"/>
  <c r="F43" i="15"/>
  <c r="F6" i="15"/>
  <c r="F6" i="67"/>
  <c r="M9" i="67"/>
  <c r="L48" i="15"/>
  <c r="F36" i="15"/>
  <c r="F7" i="15"/>
  <c r="M26" i="15"/>
  <c r="F37" i="15"/>
  <c r="F8" i="67"/>
  <c r="F37" i="67"/>
  <c r="M9" i="15"/>
  <c r="M23" i="15"/>
  <c r="F38" i="67"/>
  <c r="L47" i="15"/>
  <c r="F7" i="67"/>
  <c r="F36" i="67"/>
  <c r="F40" i="15"/>
  <c r="F38" i="15"/>
  <c r="F16" i="15"/>
  <c r="J15" i="67"/>
  <c r="M6" i="67"/>
  <c r="F13" i="67"/>
  <c r="F42" i="67"/>
  <c r="M24" i="67"/>
  <c r="C76" i="15"/>
  <c r="F9" i="15"/>
  <c r="F40" i="67"/>
  <c r="F8" i="15"/>
  <c r="M6" i="15"/>
  <c r="M28" i="67"/>
  <c r="M22" i="15"/>
  <c r="F26" i="15"/>
  <c r="J15" i="15"/>
  <c r="C76" i="67"/>
  <c r="M22" i="67"/>
  <c r="M29" i="67"/>
  <c r="M8" i="15"/>
  <c r="F26" i="67"/>
  <c r="F9" i="67"/>
  <c r="F43" i="67"/>
  <c r="M26" i="67"/>
  <c r="M8" i="67"/>
  <c r="M24" i="15"/>
  <c r="L47" i="67"/>
  <c r="M28" i="15"/>
  <c r="M29" i="15"/>
  <c r="F16" i="67"/>
  <c r="F42" i="15"/>
  <c r="G1" i="73"/>
  <c r="C109" i="43" l="1"/>
  <c r="T10" i="1"/>
  <c r="F103" i="43"/>
  <c r="I116" i="43"/>
  <c r="J116" i="43" s="1"/>
  <c r="K116" i="43" s="1"/>
  <c r="L116" i="43" s="1"/>
  <c r="M116" i="43" s="1"/>
  <c r="B118" i="43"/>
  <c r="C118" i="43" s="1"/>
  <c r="G118" i="43"/>
  <c r="H118" i="43" s="1"/>
  <c r="D116" i="43"/>
  <c r="E116" i="43" s="1"/>
  <c r="F116" i="43" s="1"/>
  <c r="G116" i="43" s="1"/>
  <c r="H116" i="43" s="1"/>
  <c r="C103" i="43"/>
  <c r="C107" i="43"/>
  <c r="F102" i="43"/>
  <c r="C4" i="4"/>
  <c r="B4" i="62" s="1"/>
  <c r="B71" i="72" s="1"/>
  <c r="D22" i="43"/>
  <c r="E4" i="4"/>
  <c r="B5" i="62" s="1"/>
  <c r="B73" i="72" s="1"/>
  <c r="AB38" i="40"/>
  <c r="U38" i="40"/>
  <c r="U12" i="33"/>
  <c r="AB12" i="33"/>
  <c r="AA40" i="40"/>
  <c r="S40" i="40"/>
  <c r="AC25" i="37"/>
  <c r="W25" i="37"/>
  <c r="S39" i="37"/>
  <c r="AA39" i="37"/>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F31" i="15"/>
  <c r="M17" i="67"/>
  <c r="M17" i="15"/>
  <c r="F59" i="67"/>
  <c r="F59" i="15"/>
  <c r="F31" i="67"/>
  <c r="C16" i="79"/>
  <c r="C14" i="79"/>
  <c r="C16" i="15"/>
  <c r="C17" i="15"/>
  <c r="C16" i="67"/>
  <c r="C18" i="79" l="1"/>
  <c r="C15" i="79"/>
  <c r="O7" i="1"/>
  <c r="C24" i="79"/>
  <c r="K16" i="1"/>
  <c r="B29" i="1" s="1"/>
  <c r="C8" i="68" s="1"/>
  <c r="AQ7" i="1"/>
  <c r="K4" i="4"/>
  <c r="B46" i="48" s="1"/>
  <c r="B4" i="72" s="1"/>
  <c r="C30" i="69"/>
  <c r="S5" i="43"/>
  <c r="S7" i="43"/>
  <c r="S4" i="43"/>
  <c r="S6" i="43"/>
  <c r="S3" i="43"/>
  <c r="C23" i="43"/>
  <c r="C21"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4" i="40"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9" i="79" l="1"/>
  <c r="C20" i="79" s="1"/>
  <c r="C26" i="79" s="1"/>
  <c r="J34" i="40"/>
  <c r="F34" i="40"/>
  <c r="H34" i="40"/>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23" i="79" l="1"/>
  <c r="C29" i="79" s="1"/>
  <c r="J59" i="79" s="1"/>
  <c r="J60" i="79" s="1"/>
  <c r="Q48" i="79" s="1"/>
  <c r="C33" i="79"/>
  <c r="C34" i="11"/>
  <c r="C38" i="11" s="1"/>
  <c r="AA34" i="40"/>
  <c r="S34" i="40"/>
  <c r="AB34" i="40"/>
  <c r="U34" i="40"/>
  <c r="AC34" i="40"/>
  <c r="W34" i="40"/>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F35" i="79"/>
  <c r="M21" i="79"/>
  <c r="E6" i="76"/>
  <c r="Q49" i="79" l="1"/>
  <c r="C36" i="79"/>
  <c r="J14" i="79"/>
  <c r="J22" i="79" s="1"/>
  <c r="L46" i="79"/>
  <c r="C13" i="79"/>
  <c r="Q70" i="79" s="1"/>
  <c r="J19" i="79"/>
  <c r="C57" i="79"/>
  <c r="C61" i="79" s="1"/>
  <c r="C34" i="79"/>
  <c r="C31" i="79" s="1"/>
  <c r="F63" i="79"/>
  <c r="C62" i="79" s="1"/>
  <c r="J20" i="79"/>
  <c r="D31" i="6"/>
  <c r="I6" i="6" s="1"/>
  <c r="C11" i="40"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15"/>
  <c r="M21" i="67"/>
  <c r="F35" i="67"/>
  <c r="C75" i="79" l="1"/>
  <c r="J17" i="79"/>
  <c r="C64" i="79"/>
  <c r="J13" i="79"/>
  <c r="J23" i="79" s="1"/>
  <c r="C37" i="79"/>
  <c r="C30" i="79" s="1"/>
  <c r="C39" i="79" s="1"/>
  <c r="Q69" i="79" s="1"/>
  <c r="Q68" i="79" s="1"/>
  <c r="C56" i="79"/>
  <c r="C65" i="79" s="1"/>
  <c r="C59" i="79"/>
  <c r="F11" i="40"/>
  <c r="J11" i="40"/>
  <c r="H11" i="40"/>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J16" i="79" l="1"/>
  <c r="J25" i="79" s="1"/>
  <c r="C58" i="79"/>
  <c r="C67" i="79" s="1"/>
  <c r="C80" i="79"/>
  <c r="C79" i="79" s="1"/>
  <c r="W11" i="40"/>
  <c r="AC11" i="40"/>
  <c r="AB11" i="40"/>
  <c r="U11" i="40"/>
  <c r="AA11" i="40"/>
  <c r="S11" i="40"/>
  <c r="C27" i="12"/>
  <c r="C25" i="12" s="1"/>
  <c r="C32" i="12" s="1"/>
  <c r="B2" i="12" s="1"/>
  <c r="B3" i="12" s="1"/>
  <c r="C39" i="68"/>
  <c r="C43" i="68" s="1"/>
  <c r="C42" i="68"/>
  <c r="J63" i="40"/>
  <c r="I65" i="40"/>
  <c r="C46" i="11"/>
  <c r="C45" i="11" s="1"/>
  <c r="C49" i="11" s="1"/>
  <c r="C51" i="11" s="1"/>
  <c r="C52" i="11" s="1"/>
  <c r="B2" i="11" s="1"/>
  <c r="B3" i="11" s="1"/>
  <c r="J70" i="39"/>
  <c r="L51" i="79"/>
  <c r="Q67" i="79"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B3" i="40" s="1"/>
  <c r="C64" i="67"/>
  <c r="C56" i="67"/>
  <c r="C65" i="67" s="1"/>
  <c r="J22" i="67"/>
  <c r="J16" i="67" s="1"/>
  <c r="J25" i="67" s="1"/>
  <c r="C75" i="67"/>
  <c r="C37" i="67"/>
  <c r="C30" i="67" s="1"/>
  <c r="C39" i="67" s="1"/>
  <c r="C48" i="67"/>
  <c r="C60" i="67" s="1"/>
  <c r="L51" i="67"/>
  <c r="F41" i="79"/>
  <c r="C14" i="15"/>
  <c r="AE7" i="1"/>
  <c r="AG7" i="1" l="1"/>
  <c r="F69" i="79"/>
  <c r="C68" i="79" s="1"/>
  <c r="C40" i="79"/>
  <c r="C6" i="68"/>
  <c r="C7" i="68" s="1"/>
  <c r="C5" i="68" s="1"/>
  <c r="L57" i="67"/>
  <c r="L60" i="67" s="1"/>
  <c r="L46" i="67" s="1"/>
  <c r="C80" i="67"/>
  <c r="C79" i="67" s="1"/>
  <c r="Q69" i="67"/>
  <c r="Q68" i="67" s="1"/>
  <c r="Q67" i="67"/>
  <c r="C59" i="67"/>
  <c r="C66" i="67"/>
  <c r="T16" i="1"/>
  <c r="C18" i="15"/>
  <c r="C15" i="15"/>
  <c r="M27" i="79"/>
  <c r="J26" i="79" l="1"/>
  <c r="J29" i="79" s="1"/>
  <c r="B2" i="79" s="1"/>
  <c r="B3" i="79" s="1"/>
  <c r="C83" i="79"/>
  <c r="C82" i="79" s="1"/>
  <c r="C43" i="79"/>
  <c r="C46" i="79"/>
  <c r="C71" i="79"/>
  <c r="C23" i="68"/>
  <c r="C20" i="68"/>
  <c r="Q66" i="67"/>
  <c r="Q57" i="67"/>
  <c r="C58" i="67"/>
  <c r="C67" i="67" s="1"/>
  <c r="C19" i="15"/>
  <c r="Q47" i="79" l="1"/>
  <c r="Q53" i="79" s="1"/>
  <c r="Q56" i="79"/>
  <c r="Q62" i="79" s="1"/>
  <c r="Q65" i="79"/>
  <c r="Q75" i="79" s="1"/>
  <c r="C28" i="68"/>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3" i="67"/>
  <c r="D2" i="36"/>
  <c r="D2" i="33"/>
  <c r="D2" i="37"/>
  <c r="D2" i="34"/>
  <c r="F20" i="31"/>
  <c r="E2" i="68"/>
  <c r="D2" i="35"/>
  <c r="D2" i="21"/>
  <c r="B2" i="68" l="1"/>
  <c r="B3" i="68" s="1"/>
  <c r="B20" i="31"/>
  <c r="B2" i="36"/>
  <c r="B3" i="36" s="1"/>
  <c r="B2" i="35"/>
  <c r="B3" i="35" s="1"/>
  <c r="B2" i="37"/>
  <c r="B3" i="37" s="1"/>
  <c r="B2" i="34"/>
  <c r="B3" i="34" s="1"/>
  <c r="B2" i="21"/>
  <c r="B3" i="21" s="1"/>
  <c r="B2" i="70"/>
  <c r="B3" i="70" s="1"/>
  <c r="D20" i="9"/>
  <c r="C20" i="9"/>
  <c r="C19" i="9"/>
  <c r="D19" i="9"/>
  <c r="C102" i="9" l="1"/>
  <c r="C21" i="9"/>
  <c r="G19" i="9"/>
  <c r="D102" i="9"/>
  <c r="D22" i="9"/>
  <c r="D21" i="9"/>
  <c r="C103" i="9"/>
  <c r="D103" i="9"/>
  <c r="G20" i="9"/>
  <c r="W24" i="1" l="1"/>
  <c r="AM21" i="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D20" i="53" s="1"/>
  <c r="B40" i="72" s="1"/>
  <c r="B38" i="72"/>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M49" i="9" s="1"/>
  <c r="D45" i="9"/>
  <c r="D53" i="9" s="1"/>
  <c r="I4" i="52"/>
  <c r="D5" i="53"/>
  <c r="B20" i="72" s="1"/>
  <c r="H102" i="9"/>
  <c r="D7" i="53" s="1"/>
  <c r="B21" i="72" s="1"/>
  <c r="E118" i="9"/>
  <c r="D122" i="9"/>
  <c r="H108" i="9"/>
  <c r="D15" i="53" s="1"/>
  <c r="B31" i="72" s="1"/>
  <c r="D13" i="53"/>
  <c r="E14" i="74"/>
  <c r="B5" i="74"/>
  <c r="F14" i="74"/>
  <c r="E4" i="52" l="1"/>
  <c r="B48" i="72" s="1"/>
  <c r="J118" i="9"/>
  <c r="L68" i="9"/>
  <c r="M68" i="9" s="1"/>
  <c r="L67" i="9"/>
  <c r="M67" i="9" s="1"/>
  <c r="L63" i="9"/>
  <c r="M63" i="9" s="1"/>
  <c r="L64" i="9"/>
  <c r="M64" i="9" s="1"/>
  <c r="L66" i="9"/>
  <c r="M66" i="9" s="1"/>
  <c r="L65" i="9"/>
  <c r="M65" i="9" s="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M69" i="9" l="1"/>
  <c r="N69" i="9" s="1"/>
  <c r="B34" i="72"/>
  <c r="D17" i="53"/>
  <c r="B36" i="72" s="1"/>
  <c r="H14" i="74"/>
  <c r="B7" i="74" s="1"/>
  <c r="D125" i="9"/>
  <c r="D11" i="52" s="1"/>
  <c r="D10" i="52"/>
  <c r="C95" i="9"/>
  <c r="C67" i="9"/>
  <c r="C68" i="9" s="1"/>
  <c r="D54" i="9" s="1"/>
  <c r="C79" i="9"/>
  <c r="D6" i="74"/>
  <c r="C6" i="74"/>
  <c r="D7" i="74" l="1"/>
  <c r="C7" i="74"/>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<sst xmlns="http://schemas.openxmlformats.org/spreadsheetml/2006/main" count="8307" uniqueCount="3280">
  <si>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</si>
  <si>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</si>
  <si>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</si>
  <si>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</si>
  <si>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</si>
  <si>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</si>
  <si>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</si>
  <si>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</si>
  <si>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</si>
  <si>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</si>
  <si>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</si>
  <si>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</si>
  <si>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</si>
  <si>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</si>
  <si>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</si>
  <si>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</si>
  <si>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</si>
  <si>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</si>
  <si>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</si>
  <si>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</si>
  <si>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</si>
  <si>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</si>
  <si>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</si>
  <si>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</si>
  <si>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</si>
  <si>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</si>
  <si>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</si>
  <si>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</si>
  <si>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</si>
  <si>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</si>
  <si>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</si>
  <si>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</si>
  <si>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</si>
  <si>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</si>
  <si>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</si>
  <si>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</si>
  <si>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</si>
  <si>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</si>
  <si>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</si>
  <si>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</si>
  <si>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</si>
  <si>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</si>
  <si>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</si>
  <si>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</si>
  <si>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</si>
  <si>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</si>
  <si>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</si>
  <si>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</si>
  <si>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</si>
  <si>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</si>
  <si>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</si>
  <si>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</si>
  <si>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</si>
  <si>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</si>
  <si>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</si>
  <si>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</si>
  <si>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</si>
  <si>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</si>
  <si>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</si>
  <si>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</si>
  <si>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</si>
  <si>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</si>
  <si>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</si>
  <si>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</si>
  <si>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</si>
  <si>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</si>
  <si>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</si>
  <si>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</si>
  <si>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</si>
  <si>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</si>
  <si>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</si>
  <si>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</si>
  <si>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</si>
  <si>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</si>
  <si>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</si>
  <si>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</si>
  <si>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</si>
  <si>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</si>
  <si>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</si>
  <si>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</si>
  <si>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</si>
  <si>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</si>
  <si>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</si>
  <si>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</si>
  <si>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</si>
  <si>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</si>
  <si>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</si>
  <si>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</si>
  <si>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</si>
  <si>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</si>
  <si>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</si>
  <si>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</si>
  <si>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</si>
  <si>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</si>
  <si>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</si>
  <si>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</si>
  <si>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</si>
  <si>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</si>
  <si>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</si>
  <si>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</si>
  <si>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</si>
  <si>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</si>
  <si>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</si>
  <si>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</si>
  <si>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</si>
  <si>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</si>
  <si>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</si>
  <si>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</si>
  <si>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</si>
  <si>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</si>
  <si>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</si>
  <si>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</si>
  <si>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</si>
  <si>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</si>
  <si>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</si>
  <si>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</si>
  <si>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</si>
  <si>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</si>
  <si>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</si>
  <si>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</si>
  <si>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</si>
  <si>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</si>
  <si>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</si>
  <si>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</si>
  <si>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</si>
  <si>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</si>
  <si>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</si>
  <si>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</si>
  <si>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</si>
  <si>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</si>
  <si>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</si>
  <si>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</si>
  <si>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</si>
  <si>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</si>
  <si>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</si>
  <si>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</si>
  <si>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</si>
  <si>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</si>
  <si>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</si>
  <si>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</si>
  <si>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</si>
  <si>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</si>
  <si>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</si>
  <si>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</si>
  <si>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</si>
  <si>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</si>
  <si>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</si>
  <si>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</si>
  <si>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</si>
  <si>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</si>
  <si>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</si>
  <si>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</si>
  <si>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</si>
  <si>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</si>
  <si>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</si>
  <si>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</si>
  <si>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</si>
  <si>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</si>
  <si>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</si>
  <si>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</si>
  <si>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</si>
  <si>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</si>
  <si>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</si>
  <si>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</si>
  <si>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</si>
  <si>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</si>
  <si>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</si>
  <si>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</si>
  <si>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</si>
  <si>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</si>
  <si>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</si>
  <si>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</si>
  <si>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</si>
  <si>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</si>
  <si>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</si>
  <si>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</si>
  <si>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</si>
  <si>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</si>
  <si>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</si>
  <si>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</si>
  <si>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</si>
  <si>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</si>
  <si>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</si>
  <si>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</si>
  <si>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</si>
  <si>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</si>
  <si>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</si>
  <si>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</si>
  <si>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</si>
  <si>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</si>
  <si>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</si>
  <si>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</si>
  <si>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</si>
  <si>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</si>
  <si>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</si>
  <si>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</si>
  <si>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</si>
  <si>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</si>
  <si>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</si>
  <si>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</si>
  <si>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</si>
  <si>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</si>
  <si>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</si>
  <si>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</si>
  <si>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</si>
  <si>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</si>
  <si>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</si>
  <si>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</si>
  <si>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</si>
  <si>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</si>
  <si>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</si>
  <si>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</si>
  <si>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</si>
  <si>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</si>
  <si>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</si>
  <si>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</si>
  <si>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</si>
  <si>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</si>
  <si>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</si>
  <si>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</si>
  <si>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</si>
  <si>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</si>
  <si>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</si>
  <si>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</si>
  <si>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</si>
  <si>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</si>
  <si>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</si>
  <si>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</si>
  <si>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</si>
  <si>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</si>
  <si>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</si>
  <si>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</si>
  <si>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</si>
  <si>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</si>
  <si>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</si>
  <si>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</si>
  <si>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</si>
  <si>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</si>
  <si>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</si>
  <si>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</si>
  <si>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</si>
  <si>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</si>
  <si>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</si>
  <si>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</si>
  <si>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</si>
  <si>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</si>
  <si>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</si>
  <si>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</si>
  <si>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</si>
  <si>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</si>
  <si>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</si>
  <si>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</si>
  <si>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</si>
  <si>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</si>
  <si>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</si>
  <si>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</si>
  <si>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</si>
  <si>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</si>
  <si>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</si>
  <si>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</si>
  <si>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</si>
  <si>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</si>
  <si>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</si>
  <si>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</si>
  <si>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</si>
  <si>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</si>
  <si>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</si>
  <si>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</si>
  <si>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</si>
  <si>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</si>
  <si>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</si>
  <si>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</si>
  <si>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</si>
  <si>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</si>
  <si>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</si>
  <si>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</si>
  <si>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</si>
  <si>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</si>
  <si>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</si>
  <si>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</si>
  <si>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</si>
  <si>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</si>
  <si>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</si>
  <si>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</si>
  <si>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</si>
  <si>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</si>
  <si>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</si>
  <si>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</si>
  <si>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</si>
  <si>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</si>
  <si>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</si>
  <si>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</si>
  <si>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</si>
  <si>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</si>
  <si>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</si>
  <si>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</si>
  <si>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</si>
  <si>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</si>
  <si>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</si>
  <si>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</si>
  <si>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</si>
  <si>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</si>
  <si>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</si>
  <si>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</si>
  <si>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</si>
  <si>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</si>
  <si>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</si>
  <si>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</si>
  <si>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</si>
  <si>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</si>
  <si>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</si>
  <si>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</si>
  <si>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</si>
  <si>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</si>
  <si>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</si>
  <si>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</si>
  <si>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</si>
  <si>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</si>
  <si>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</si>
  <si>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</si>
  <si>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</si>
  <si>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</si>
  <si>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</si>
  <si>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</si>
  <si>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</si>
  <si>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</si>
  <si>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</si>
  <si>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</si>
  <si>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</si>
  <si>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</si>
  <si>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</si>
  <si>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</si>
  <si>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</si>
  <si>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</si>
  <si>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</si>
  <si>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</si>
  <si>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</si>
  <si>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</si>
  <si>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</si>
  <si>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</si>
  <si>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</si>
  <si>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</si>
  <si>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</si>
  <si>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</si>
  <si>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</si>
  <si>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</si>
  <si>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</si>
  <si>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</si>
  <si>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</si>
  <si>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</si>
  <si>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</si>
  <si>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</si>
  <si>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</si>
  <si>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</si>
  <si>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</si>
  <si>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</si>
  <si>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</si>
  <si>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</si>
  <si>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</si>
  <si>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</si>
  <si>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</si>
  <si>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</si>
  <si>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</si>
  <si>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</si>
  <si>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</si>
  <si>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</si>
  <si>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</si>
  <si>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</si>
  <si>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</si>
  <si>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</si>
  <si>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</si>
  <si>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</si>
  <si>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</si>
  <si>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</si>
  <si>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</si>
  <si>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</si>
  <si>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</si>
  <si>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</si>
  <si>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</si>
  <si>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</si>
  <si>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</si>
  <si>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</si>
  <si>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</si>
  <si>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</si>
  <si>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</si>
  <si>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</si>
  <si>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</si>
  <si>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</si>
  <si>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</si>
  <si>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</si>
  <si>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</si>
  <si>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</si>
  <si>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</si>
  <si>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</si>
  <si>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</si>
  <si>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</si>
  <si>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</si>
  <si>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</si>
  <si>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</si>
  <si>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</si>
  <si>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</si>
  <si>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</si>
  <si>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</si>
  <si>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</si>
  <si>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</si>
  <si>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</si>
  <si>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</si>
  <si>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</si>
  <si>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</si>
  <si>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</si>
  <si>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</si>
  <si>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</si>
  <si>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</si>
  <si>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</si>
  <si>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</si>
  <si>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</si>
  <si>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</si>
  <si>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</si>
  <si>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</si>
  <si>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</si>
  <si>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</si>
  <si>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</si>
  <si>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</si>
  <si>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</si>
  <si>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</si>
  <si>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</si>
  <si>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</si>
  <si>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</si>
  <si>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</si>
  <si>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</si>
  <si>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</si>
  <si>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</si>
  <si>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</si>
  <si>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</si>
  <si>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</si>
  <si>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</si>
  <si>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</si>
  <si>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</si>
  <si>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</si>
  <si>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</si>
  <si>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</si>
  <si>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</si>
  <si>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</si>
  <si>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</si>
  <si>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</si>
  <si>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</si>
  <si>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</si>
  <si>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</si>
  <si>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</si>
  <si>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</si>
  <si>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</si>
  <si>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</si>
  <si>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</si>
  <si>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</si>
  <si>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</si>
  <si>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</si>
  <si>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</si>
  <si>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</si>
  <si>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</si>
  <si>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</si>
  <si>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</si>
  <si>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</si>
  <si>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</si>
  <si>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</si>
  <si>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</si>
  <si>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</si>
  <si>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</si>
  <si>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</si>
  <si>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</si>
  <si>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</si>
  <si>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</si>
  <si>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</si>
  <si>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</si>
  <si>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</si>
  <si>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</si>
  <si>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</si>
  <si>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</si>
  <si>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</si>
  <si>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</si>
  <si>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</si>
  <si>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</si>
  <si>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</si>
  <si>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</si>
  <si>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</si>
  <si>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</si>
  <si>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</si>
  <si>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</si>
  <si>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</si>
  <si>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</si>
  <si>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</si>
  <si>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</si>
  <si>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</si>
  <si>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</si>
  <si>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</si>
  <si>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</si>
  <si>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</si>
  <si>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</si>
  <si>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</si>
  <si>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</si>
  <si>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</si>
  <si>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</si>
  <si>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</si>
  <si>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</si>
  <si>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</si>
  <si>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</si>
  <si>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</si>
  <si>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</si>
  <si>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</si>
  <si>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</si>
  <si>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</si>
  <si>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</si>
  <si>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</si>
  <si>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</si>
  <si>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</si>
  <si>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</si>
  <si>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</si>
  <si>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</si>
  <si>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</si>
  <si>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</si>
  <si>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</si>
  <si>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</si>
  <si>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</si>
  <si>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</si>
  <si>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</si>
  <si>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</si>
  <si>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</si>
  <si>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</si>
  <si>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</si>
  <si>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</si>
  <si>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</si>
  <si>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</si>
  <si>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</si>
  <si>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</si>
  <si>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</si>
  <si>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</si>
  <si>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</si>
  <si>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</si>
  <si>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</si>
  <si>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</si>
  <si>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</si>
  <si>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</si>
  <si>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</si>
  <si>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</si>
  <si>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</si>
  <si>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</si>
  <si>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</si>
  <si>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</si>
  <si>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</si>
  <si>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</si>
  <si>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</si>
  <si>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</si>
  <si>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</si>
  <si>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</si>
  <si>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</si>
  <si>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</si>
  <si>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</si>
  <si>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</si>
  <si>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</si>
  <si>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</si>
  <si>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</si>
  <si>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</si>
  <si>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</si>
  <si>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</si>
  <si>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</si>
  <si>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</si>
  <si>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</si>
  <si>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</si>
  <si>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</si>
  <si>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</si>
  <si>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</si>
  <si>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</si>
  <si>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</si>
  <si>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</si>
  <si>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</si>
  <si>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</si>
  <si>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</si>
  <si>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</si>
  <si>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</si>
  <si>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</si>
  <si>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</si>
  <si>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</si>
  <si>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</si>
  <si>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</si>
  <si>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</si>
  <si>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</si>
  <si>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</si>
  <si>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</si>
  <si>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</si>
  <si>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</si>
  <si>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</si>
  <si>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</si>
  <si>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</si>
  <si>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</si>
  <si>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</si>
  <si>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</si>
  <si>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</si>
  <si>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</si>
  <si>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</si>
  <si>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</si>
  <si>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</si>
  <si>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</si>
  <si>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</si>
  <si>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</si>
  <si>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</si>
  <si>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</si>
  <si>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</si>
  <si>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</si>
  <si>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</si>
  <si>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</si>
  <si>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</si>
  <si>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</si>
  <si>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</si>
  <si>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</si>
  <si>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</si>
  <si>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</si>
  <si>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</si>
  <si>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</si>
  <si>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</si>
  <si>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</si>
  <si>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</si>
  <si>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</si>
  <si>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</si>
  <si>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</si>
  <si>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</si>
  <si>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</si>
  <si>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</si>
  <si>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</si>
  <si>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</si>
  <si>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</si>
  <si>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</si>
  <si>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</si>
  <si>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</si>
  <si>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</si>
  <si>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</si>
  <si>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</si>
  <si>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</si>
  <si>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</si>
  <si>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</si>
  <si>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</si>
  <si>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</si>
  <si>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</si>
  <si>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</si>
  <si>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</si>
  <si>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</si>
  <si>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</si>
  <si>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</si>
  <si>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</si>
  <si>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</si>
  <si>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</si>
  <si>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</si>
  <si>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</si>
  <si>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</si>
  <si>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</si>
  <si>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</si>
  <si>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</si>
  <si>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</si>
  <si>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</si>
  <si>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</si>
  <si>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</si>
  <si>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</si>
  <si>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</si>
  <si>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</si>
  <si>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</si>
  <si>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</si>
  <si>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</si>
  <si>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</si>
  <si>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</si>
  <si>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</si>
  <si>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</si>
  <si>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</si>
  <si>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</si>
  <si>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</si>
  <si>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</si>
  <si>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</si>
  <si>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</si>
  <si>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</si>
  <si>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</si>
  <si>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</si>
  <si>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</si>
  <si>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</si>
  <si>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</si>
  <si>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</si>
  <si>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</si>
  <si>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</si>
  <si>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</si>
  <si>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</si>
  <si>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</si>
  <si>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</si>
  <si>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</si>
  <si>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</si>
  <si>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</si>
  <si>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</si>
  <si>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</si>
  <si>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</si>
  <si>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</si>
  <si>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</si>
  <si>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</si>
  <si>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</si>
  <si>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</si>
  <si>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</si>
  <si>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</si>
  <si>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</si>
  <si>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</si>
  <si>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</si>
  <si>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</si>
  <si>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</si>
  <si>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</si>
  <si>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</si>
  <si>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</si>
  <si>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</si>
  <si>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</si>
  <si>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</si>
  <si>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</si>
  <si>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</si>
  <si>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</si>
  <si>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</si>
  <si>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</si>
  <si>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</si>
  <si>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</si>
  <si>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</si>
  <si>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</si>
  <si>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</si>
  <si>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</si>
  <si>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</si>
  <si>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</si>
  <si>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</si>
  <si>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</si>
  <si>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</si>
  <si>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</si>
  <si>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</si>
  <si>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</si>
  <si>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</si>
  <si>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</si>
  <si>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</si>
  <si>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</si>
  <si>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</si>
  <si>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</si>
  <si>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</si>
  <si>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</si>
  <si>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</si>
  <si>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</si>
  <si>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</si>
  <si>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</si>
  <si>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</si>
  <si>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</si>
  <si>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</si>
  <si>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</si>
  <si>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</si>
  <si>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</si>
  <si>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</si>
  <si>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</si>
  <si>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</si>
  <si>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</si>
  <si>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</si>
  <si>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</si>
  <si>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</si>
  <si>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</si>
  <si>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</si>
  <si>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</si>
  <si>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</si>
  <si>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</si>
  <si>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</si>
  <si>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</si>
  <si>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</si>
  <si>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</si>
  <si>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</si>
  <si>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</si>
  <si>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</si>
  <si>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</si>
  <si>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</si>
  <si>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</si>
  <si>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</si>
  <si>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</si>
  <si>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</si>
  <si>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</si>
  <si>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</si>
  <si>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</si>
  <si>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</si>
  <si>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</si>
  <si>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</si>
  <si>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</si>
  <si>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</si>
  <si>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</si>
  <si>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</si>
  <si>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</si>
  <si>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</si>
  <si>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</si>
  <si>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</si>
  <si>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</si>
  <si>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</si>
  <si>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</si>
  <si>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</si>
  <si>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</si>
  <si>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</si>
  <si>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</si>
  <si>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</si>
  <si>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</si>
  <si>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</si>
  <si>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</si>
  <si>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</si>
  <si>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</si>
  <si>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</si>
  <si>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</si>
  <si>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</si>
  <si>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</si>
  <si>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</si>
  <si>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</si>
  <si>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</si>
  <si>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</si>
  <si>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</si>
  <si>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</si>
  <si>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</si>
  <si>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</si>
  <si>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</si>
  <si>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</si>
  <si>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</si>
  <si>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</si>
  <si>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</si>
  <si>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</si>
  <si>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</si>
  <si>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</si>
  <si>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</si>
  <si>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</si>
  <si>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</si>
  <si>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</si>
  <si>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</si>
  <si>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</si>
  <si>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</si>
  <si>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</si>
  <si>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</si>
  <si>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</si>
  <si>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</si>
  <si>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</si>
  <si>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</si>
  <si>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</si>
  <si>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</si>
  <si>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</si>
  <si>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</si>
  <si>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</si>
  <si>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</si>
  <si>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</si>
  <si>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</si>
  <si>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</si>
  <si>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</si>
  <si>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</si>
  <si>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</si>
  <si>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</si>
  <si>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</si>
  <si>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</si>
  <si>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</si>
  <si>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</si>
  <si>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</si>
  <si>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</si>
  <si>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</si>
  <si>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</si>
  <si>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</si>
  <si>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</si>
  <si>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</si>
  <si>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</si>
  <si>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</si>
  <si>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</si>
  <si>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</si>
  <si>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</si>
  <si>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</si>
  <si>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</si>
  <si>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</si>
  <si>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</si>
  <si>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</si>
  <si>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</si>
  <si>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</si>
  <si>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</si>
  <si>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</si>
  <si>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</si>
  <si>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</si>
  <si>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</si>
  <si>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</si>
  <si>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</si>
  <si>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</si>
  <si>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</si>
  <si>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</si>
  <si>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</si>
  <si>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</si>
  <si>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</si>
  <si>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</si>
  <si>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</si>
  <si>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</si>
  <si>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</si>
  <si>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</si>
  <si>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</si>
  <si>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</si>
  <si>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</si>
  <si>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</si>
  <si>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</si>
  <si>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</si>
  <si>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</si>
  <si>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</si>
  <si>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</si>
  <si>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</si>
  <si>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</si>
  <si>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</si>
  <si>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</si>
  <si>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</si>
  <si>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</si>
  <si>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</si>
  <si>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</si>
  <si>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</si>
  <si>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</si>
  <si>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</si>
  <si>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</si>
  <si>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</si>
  <si>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</si>
  <si>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</si>
  <si>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</si>
  <si>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</si>
  <si>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</si>
  <si>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</si>
  <si>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</si>
  <si>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</si>
  <si>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</si>
  <si>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</si>
  <si>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</si>
  <si>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</si>
  <si>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</si>
  <si>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</si>
  <si>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</si>
  <si>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</si>
  <si>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</si>
  <si>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</si>
  <si>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</si>
  <si>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</si>
  <si>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</si>
  <si>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</si>
  <si>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</si>
  <si>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</si>
  <si>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</si>
  <si>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</si>
  <si>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</si>
  <si>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</si>
  <si>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</si>
  <si>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</si>
  <si>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</si>
  <si>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</si>
  <si>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</si>
  <si>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</si>
  <si>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</si>
  <si>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</si>
  <si>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</si>
  <si>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</si>
  <si>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</si>
  <si>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</si>
  <si>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</si>
  <si>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</si>
  <si>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</si>
  <si>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</si>
  <si>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</si>
  <si>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</si>
  <si>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</si>
  <si>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</si>
  <si>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</si>
  <si>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</si>
  <si>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</si>
  <si>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</si>
  <si>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</si>
  <si>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</si>
  <si>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</si>
  <si>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</si>
  <si>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</si>
  <si>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</si>
  <si>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</si>
  <si>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</si>
  <si>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</si>
  <si>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</si>
  <si>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</si>
  <si>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</si>
  <si>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</si>
  <si>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</si>
  <si>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</si>
  <si>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</si>
  <si>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</si>
  <si>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</si>
  <si>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</si>
  <si>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</si>
  <si>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</si>
  <si>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</si>
  <si>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</si>
  <si>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</si>
  <si>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</si>
  <si>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</si>
  <si>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</si>
  <si>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</si>
  <si>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</si>
  <si>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</si>
  <si>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</si>
  <si>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</si>
  <si>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</si>
  <si>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</si>
  <si>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</si>
  <si>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</si>
  <si>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</si>
  <si>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</si>
  <si>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</si>
  <si>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</si>
  <si>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</si>
  <si>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</si>
  <si>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</si>
  <si>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</si>
  <si>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</si>
  <si>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</si>
  <si>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</si>
  <si>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</si>
  <si>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</si>
  <si>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</si>
  <si>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</si>
  <si>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</si>
  <si>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</si>
  <si>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</si>
  <si>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</si>
  <si>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</si>
  <si>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</si>
  <si>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</si>
  <si>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</si>
  <si>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</si>
  <si>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</si>
  <si>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</si>
  <si>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</si>
  <si>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</si>
  <si>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</si>
  <si>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</si>
  <si>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</si>
  <si>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</si>
  <si>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</si>
  <si>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</si>
  <si>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</si>
  <si>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</si>
  <si>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</si>
  <si>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</si>
  <si>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</si>
  <si>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</si>
  <si>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</si>
  <si>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</si>
  <si>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</si>
  <si>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</si>
  <si>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</si>
  <si>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</si>
  <si>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</si>
  <si>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</si>
  <si>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</si>
  <si>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</si>
  <si>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</si>
  <si>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</si>
  <si>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</si>
  <si>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</si>
  <si>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</si>
  <si>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</si>
  <si>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</si>
  <si>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</si>
  <si>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</si>
  <si>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</si>
  <si>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</si>
  <si>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</si>
  <si>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</si>
  <si>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</si>
  <si>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</si>
  <si>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</si>
  <si>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</si>
  <si>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</si>
  <si>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</si>
  <si>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</si>
  <si>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</si>
  <si>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</si>
  <si>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</si>
  <si>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</si>
  <si>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</si>
  <si>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</si>
  <si>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</si>
  <si>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</si>
  <si>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</si>
  <si>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</si>
  <si>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</si>
  <si>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</si>
  <si>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</si>
  <si>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</si>
  <si>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</si>
  <si>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</si>
  <si>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</si>
  <si>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</si>
  <si>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</si>
  <si>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</si>
  <si>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</si>
  <si>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</si>
  <si>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</si>
  <si>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</si>
  <si>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</si>
  <si>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</si>
  <si>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</si>
  <si>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</si>
  <si>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</si>
  <si>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</si>
  <si>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</si>
  <si>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</si>
  <si>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</si>
  <si>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</si>
  <si>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</si>
  <si>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</si>
  <si>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</si>
  <si>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</si>
  <si>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</si>
  <si>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</si>
  <si>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</si>
  <si>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</si>
  <si>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</si>
  <si>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</si>
  <si>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</si>
  <si>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</si>
  <si>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</si>
  <si>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</si>
  <si>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</si>
  <si>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</si>
  <si>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</si>
  <si>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</si>
  <si>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</si>
  <si>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</si>
  <si>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</si>
  <si>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</si>
  <si>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</si>
  <si>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</si>
  <si>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</si>
  <si>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</si>
  <si>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</si>
  <si>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</si>
  <si>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</si>
  <si>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</si>
  <si>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</si>
  <si>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</si>
  <si>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</si>
  <si>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</si>
  <si>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</si>
  <si>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</si>
  <si>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</si>
  <si>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</si>
  <si>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</si>
  <si>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</si>
  <si>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</si>
  <si>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</si>
  <si>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</si>
  <si>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</si>
  <si>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</si>
  <si>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</si>
  <si>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</si>
  <si>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</si>
  <si>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</si>
  <si>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</si>
  <si>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</si>
  <si>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</si>
  <si>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</si>
  <si>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</si>
  <si>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</si>
  <si>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</si>
  <si>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</si>
  <si>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</si>
  <si>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</si>
  <si>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</si>
  <si>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</si>
  <si>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</si>
  <si>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</si>
  <si>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</si>
  <si>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</si>
  <si>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</si>
  <si>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</si>
  <si>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</si>
  <si>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</si>
  <si>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</si>
  <si>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</si>
  <si>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</si>
  <si>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</si>
  <si>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</si>
  <si>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</si>
  <si>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</si>
  <si>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</si>
  <si>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</si>
  <si>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</si>
  <si>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</si>
  <si>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</si>
  <si>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</si>
  <si>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</si>
  <si>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</si>
  <si>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</si>
  <si>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</si>
  <si>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</si>
  <si>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</si>
  <si>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</si>
  <si>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</si>
  <si>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</si>
  <si>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</si>
  <si>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</si>
  <si>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</si>
  <si>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</si>
  <si>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</si>
  <si>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</si>
  <si>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</si>
  <si>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</si>
  <si>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</si>
  <si>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</si>
  <si>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</si>
  <si>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</si>
  <si>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</si>
  <si>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</si>
  <si>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</si>
  <si>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</si>
  <si>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</si>
  <si>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</si>
  <si>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</si>
  <si>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</si>
  <si>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</si>
  <si>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</si>
  <si>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</si>
  <si>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</si>
  <si>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</si>
  <si>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</si>
  <si>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</si>
  <si>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</si>
  <si>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</si>
  <si>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</si>
  <si>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</si>
  <si>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</si>
  <si>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</si>
  <si>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</si>
  <si>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</si>
  <si>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</si>
  <si>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</si>
  <si>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</si>
  <si>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</si>
  <si>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</si>
  <si>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</si>
  <si>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</si>
  <si>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</si>
  <si>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</si>
  <si>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</si>
  <si>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</si>
  <si>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</si>
  <si>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</si>
  <si>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</si>
  <si>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</si>
  <si>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</si>
  <si>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</si>
  <si>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</si>
  <si>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</si>
  <si>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</si>
  <si>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</si>
  <si>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</si>
  <si>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</si>
  <si>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</si>
  <si>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</si>
  <si>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</si>
  <si>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</si>
  <si>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</si>
  <si>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</si>
  <si>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</si>
  <si>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</si>
  <si>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</si>
  <si>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</si>
  <si>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</si>
  <si>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</si>
  <si>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</si>
  <si>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</si>
  <si>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</si>
  <si>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</si>
  <si>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</si>
  <si>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</si>
  <si>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</si>
  <si>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</si>
  <si>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</si>
  <si>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</si>
  <si>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</si>
  <si>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</si>
  <si>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</si>
  <si>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</si>
  <si>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</si>
  <si>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</si>
  <si>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</si>
  <si>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</si>
  <si>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</si>
  <si>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</si>
  <si>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</si>
  <si>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</si>
  <si>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</si>
  <si>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</si>
  <si>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</si>
  <si>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</si>
  <si>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</si>
  <si>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</si>
  <si>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</si>
  <si>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</si>
  <si>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</si>
  <si>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</si>
  <si>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</si>
  <si>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</si>
  <si>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</si>
  <si>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</si>
  <si>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</si>
  <si>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</si>
  <si>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</si>
  <si>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</si>
  <si>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</si>
  <si>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</si>
  <si>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</si>
  <si>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</si>
  <si>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</si>
  <si>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</si>
  <si>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</si>
  <si>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</si>
  <si>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</si>
  <si>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</si>
  <si>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</si>
  <si>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</si>
  <si>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</si>
  <si>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</si>
  <si>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</si>
  <si>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</si>
  <si>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</si>
  <si>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</si>
  <si>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</si>
  <si>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</si>
  <si>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</si>
  <si>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</si>
  <si>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</si>
  <si>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</si>
  <si>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</si>
  <si>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</si>
  <si>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</si>
  <si>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</si>
  <si>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</si>
  <si>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</si>
  <si>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</si>
  <si>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</si>
  <si>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</si>
  <si>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</si>
  <si>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</si>
  <si>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</si>
  <si>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</si>
  <si>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</si>
  <si>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</si>
  <si>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</si>
  <si>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</si>
  <si>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</si>
  <si>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</si>
  <si>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</si>
  <si>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</si>
  <si>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</si>
  <si>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</si>
  <si>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</si>
  <si>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</si>
  <si>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</si>
  <si>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</si>
  <si>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</si>
  <si>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</si>
  <si>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</si>
  <si>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</si>
  <si>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</si>
  <si>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</si>
  <si>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</si>
  <si>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</si>
  <si>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</si>
  <si>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</si>
  <si>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</si>
  <si>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</si>
  <si>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</si>
  <si>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</si>
  <si>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</si>
  <si>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</si>
  <si>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</si>
  <si>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</si>
  <si>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</si>
  <si>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</si>
  <si>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</si>
  <si>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</si>
  <si>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</si>
  <si>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</si>
  <si>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</si>
  <si>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</si>
  <si>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</si>
  <si>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</si>
  <si>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</si>
  <si>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</si>
  <si>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</si>
  <si>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</si>
  <si>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</si>
  <si>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</si>
  <si>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</si>
  <si>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</si>
  <si>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</si>
  <si>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</si>
  <si>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</si>
  <si>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</si>
  <si>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</si>
  <si>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</si>
  <si>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</si>
  <si>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</si>
  <si>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</si>
  <si>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</si>
  <si>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</si>
  <si>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</si>
  <si>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</si>
  <si>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</si>
  <si>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</si>
  <si>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</si>
  <si>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</si>
  <si>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</si>
  <si>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</si>
  <si>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</si>
  <si>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</si>
  <si>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</si>
  <si>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</si>
  <si>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</si>
  <si>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</si>
  <si>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</si>
  <si>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</si>
  <si>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</si>
  <si>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</si>
  <si>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</si>
  <si>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</si>
  <si>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</si>
  <si>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</si>
  <si>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</si>
  <si>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</si>
  <si>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</si>
  <si>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</si>
  <si>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</si>
  <si>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</si>
  <si>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</si>
  <si>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</si>
  <si>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</si>
  <si>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</si>
  <si>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</si>
  <si>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</si>
  <si>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</si>
  <si>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</si>
  <si>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</si>
  <si>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</si>
  <si>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</si>
  <si>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</si>
  <si>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</si>
  <si>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</si>
  <si>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</si>
  <si>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</si>
  <si>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</si>
  <si>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</si>
  <si>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</si>
  <si>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</si>
  <si>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</si>
  <si>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</si>
  <si>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</si>
  <si>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</si>
  <si>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</si>
  <si>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</si>
  <si>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</si>
  <si>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</si>
  <si>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</si>
  <si>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</si>
  <si>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</si>
  <si>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</si>
  <si>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</si>
  <si>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</si>
  <si>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</si>
  <si>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</si>
  <si>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</si>
  <si>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</si>
  <si>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</si>
  <si>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</si>
  <si>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</si>
  <si>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</si>
  <si>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</si>
  <si>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</si>
  <si>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</si>
  <si>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</si>
  <si>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</si>
  <si>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</si>
  <si>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</si>
  <si>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</si>
  <si>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</si>
  <si>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</si>
  <si>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</si>
  <si>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</si>
  <si>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</si>
  <si>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</si>
  <si>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</si>
  <si>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</si>
  <si>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</si>
  <si>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</si>
  <si>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</si>
  <si>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</si>
  <si>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</si>
  <si>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</si>
  <si>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</si>
  <si>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</si>
  <si>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</si>
  <si>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</si>
  <si>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</si>
  <si>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</si>
  <si>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</si>
  <si>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</si>
  <si>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</si>
  <si>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</si>
  <si>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</si>
  <si>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</si>
  <si>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</si>
  <si>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</si>
  <si>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</si>
  <si>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</si>
  <si>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</si>
  <si>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</si>
  <si>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</si>
  <si>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</si>
  <si>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</si>
  <si>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</si>
  <si>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</si>
  <si>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</si>
  <si>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</si>
  <si>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</si>
  <si>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</si>
  <si>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</si>
  <si>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</si>
  <si>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</si>
  <si>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</si>
  <si>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</si>
  <si>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</si>
  <si>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</si>
  <si>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</si>
  <si>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</si>
  <si>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</si>
  <si>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</si>
  <si>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</si>
  <si>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</si>
  <si>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</si>
  <si>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</si>
  <si>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</si>
  <si>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</si>
  <si>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</si>
  <si>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</si>
  <si>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</si>
  <si>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</si>
  <si>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</si>
  <si>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</si>
  <si>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</si>
  <si>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</si>
  <si>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</si>
  <si>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</si>
  <si>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</si>
  <si>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</si>
  <si>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</si>
  <si>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</si>
  <si>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</si>
  <si>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</si>
  <si>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</si>
  <si>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</si>
  <si>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</si>
  <si>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</si>
  <si>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</si>
  <si>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</si>
  <si>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</si>
  <si>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</si>
  <si>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</si>
  <si>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</si>
  <si>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</si>
  <si>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</si>
  <si>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</si>
  <si>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</si>
  <si>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</si>
  <si>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</si>
  <si>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</si>
  <si>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</si>
  <si>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</si>
  <si>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</si>
  <si>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</si>
  <si>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</si>
  <si>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</si>
  <si>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</si>
  <si>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</si>
  <si>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</si>
  <si>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</si>
  <si>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</si>
  <si>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</si>
  <si>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</si>
  <si>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</si>
  <si>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</si>
  <si>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</si>
  <si>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</si>
  <si>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</si>
  <si>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</si>
  <si>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</si>
  <si>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</si>
  <si>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</si>
  <si>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</si>
  <si>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</si>
  <si>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</si>
  <si>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</si>
  <si>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</si>
  <si>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</si>
  <si>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</si>
  <si>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</si>
  <si>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</si>
  <si>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</si>
  <si>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</si>
  <si>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</si>
  <si>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</si>
  <si>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</si>
  <si>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</si>
  <si>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</si>
  <si>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</si>
  <si>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</si>
  <si>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</si>
  <si>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</si>
  <si>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</si>
  <si>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</si>
  <si>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</si>
  <si>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</si>
  <si>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</si>
  <si>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</si>
  <si>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</si>
  <si>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</si>
  <si>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</si>
  <si>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</si>
  <si>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</si>
  <si>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</si>
  <si>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</si>
  <si>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</si>
  <si>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</si>
  <si>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</si>
  <si>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</si>
  <si>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</si>
  <si>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</si>
  <si>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</si>
  <si>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</si>
  <si>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</si>
  <si>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</si>
  <si>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</si>
  <si>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</si>
  <si>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</si>
  <si>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</si>
  <si>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</si>
  <si>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</si>
  <si>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</si>
  <si>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</si>
  <si>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</si>
  <si>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</si>
  <si>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</si>
  <si>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</si>
  <si>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</si>
  <si>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</si>
  <si>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</si>
  <si>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</si>
  <si>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</si>
  <si>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</si>
  <si>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</si>
  <si>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</si>
  <si>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</si>
  <si>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</si>
  <si>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</si>
  <si>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</si>
  <si>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</si>
  <si>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</si>
  <si>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</si>
  <si>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</si>
  <si>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</si>
  <si>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</si>
  <si>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</si>
  <si>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</si>
  <si>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</si>
  <si>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</si>
  <si>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</si>
  <si>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</si>
  <si>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</si>
  <si>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</si>
  <si>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</si>
  <si>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</si>
  <si>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</si>
  <si>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</si>
  <si>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</si>
  <si>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</si>
  <si>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</si>
  <si>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</si>
  <si>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</si>
  <si>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</si>
  <si>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</si>
  <si>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</si>
  <si>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</si>
  <si>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</si>
  <si>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</si>
  <si>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</si>
  <si>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</si>
  <si>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</si>
  <si>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</si>
  <si>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</si>
  <si>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</si>
  <si>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</si>
  <si>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</si>
  <si>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</si>
  <si>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</si>
  <si>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</si>
  <si>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</si>
  <si>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</si>
  <si>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</si>
  <si>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</si>
  <si>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</si>
  <si>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</si>
  <si>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</si>
  <si>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</si>
  <si>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</si>
  <si>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</si>
  <si>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</si>
  <si>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</si>
  <si>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</si>
  <si>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</si>
  <si>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</si>
  <si>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</si>
  <si>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</si>
  <si>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</si>
  <si>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</si>
  <si>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</si>
  <si>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</si>
  <si>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</si>
  <si>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</si>
  <si>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</si>
  <si>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</si>
  <si>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</si>
  <si>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</si>
  <si>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</si>
  <si>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</si>
  <si>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</si>
  <si>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</si>
  <si>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</si>
  <si>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</si>
  <si>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</si>
  <si>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</si>
  <si>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</si>
  <si>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</si>
  <si>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</si>
  <si>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</si>
  <si>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</si>
  <si>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</si>
  <si>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</si>
  <si>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</si>
  <si>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</si>
  <si>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</si>
  <si>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</si>
  <si>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</si>
  <si>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</si>
  <si>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</si>
  <si>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</si>
  <si>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</si>
  <si>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</si>
  <si>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</si>
  <si>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</si>
  <si>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</si>
  <si>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</si>
  <si>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</si>
  <si>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</si>
  <si>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</si>
  <si>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</si>
  <si>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</si>
  <si>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</si>
  <si>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</si>
  <si>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</si>
  <si>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</si>
  <si>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</si>
  <si>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</si>
  <si>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</si>
  <si>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</si>
  <si>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</si>
  <si>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</si>
  <si>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</si>
  <si>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</si>
  <si>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</si>
  <si>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</si>
  <si>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</si>
  <si>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</si>
  <si>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</si>
  <si>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</si>
  <si>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</si>
  <si>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</si>
  <si>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</si>
  <si>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</si>
  <si>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</si>
  <si>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</si>
  <si>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</si>
  <si>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</si>
  <si>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</si>
  <si>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</si>
  <si>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</si>
  <si>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</si>
  <si>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</si>
  <si>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</si>
  <si>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</si>
  <si>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</si>
  <si>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</si>
  <si>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</si>
  <si>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</si>
  <si>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</si>
  <si>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</si>
  <si>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</si>
  <si>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</si>
  <si>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</si>
  <si>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</si>
  <si>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</si>
  <si>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</si>
  <si>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</si>
  <si>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</si>
  <si>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</si>
  <si>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</si>
  <si>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</si>
  <si>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</si>
  <si>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</si>
  <si>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</si>
  <si>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</si>
  <si>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</si>
  <si>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</si>
  <si>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</si>
  <si>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</si>
  <si>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</si>
  <si>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</si>
  <si>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</si>
  <si>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</si>
  <si>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</si>
  <si>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</si>
  <si>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</si>
  <si>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</si>
  <si>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</si>
  <si>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</si>
  <si>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</si>
  <si>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</si>
  <si>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</si>
  <si>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</si>
  <si>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</si>
  <si>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</si>
  <si>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</si>
  <si>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</si>
  <si>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</si>
  <si>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</si>
  <si>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</si>
  <si>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</si>
  <si>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</si>
  <si>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</si>
  <si>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</si>
  <si>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</si>
  <si>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</si>
  <si>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</si>
  <si>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</si>
  <si>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</si>
  <si>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</si>
  <si>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</si>
  <si>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</si>
  <si>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</si>
  <si>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</si>
  <si>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</si>
  <si>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</si>
  <si>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</si>
  <si>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</si>
  <si>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</si>
  <si>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</si>
  <si>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</si>
  <si>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</si>
  <si>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</si>
  <si>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</si>
  <si>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</si>
  <si>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</si>
  <si>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</si>
  <si>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</si>
  <si>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</si>
  <si>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</si>
  <si>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</si>
  <si>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</si>
  <si>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</si>
  <si>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</si>
  <si>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</si>
  <si>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</si>
  <si>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</si>
  <si>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</si>
  <si>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</si>
  <si>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</si>
  <si>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</si>
  <si>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</si>
  <si>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</si>
  <si>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</si>
  <si>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</si>
  <si>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</si>
  <si>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</si>
  <si>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</si>
  <si>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</si>
  <si>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</si>
  <si>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</si>
  <si>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</si>
  <si>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</si>
  <si>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</si>
  <si>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</si>
  <si>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</si>
  <si>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</si>
  <si>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</si>
  <si>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</si>
  <si>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</si>
  <si>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</si>
  <si>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</si>
  <si>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</si>
  <si>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</si>
  <si>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</si>
  <si>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</si>
  <si>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</si>
  <si>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</si>
  <si>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</si>
  <si>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</si>
  <si>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</si>
  <si>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</si>
  <si>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</si>
  <si>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</si>
  <si>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</si>
  <si>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</si>
  <si>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</si>
  <si>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</si>
  <si>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</si>
  <si>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</si>
  <si>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</si>
  <si>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</si>
  <si>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</si>
  <si>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</si>
  <si>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</si>
  <si>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</si>
  <si>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</si>
  <si>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</si>
  <si>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</si>
  <si>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</si>
  <si>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</si>
  <si>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</si>
  <si>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</si>
  <si>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</si>
  <si>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</si>
  <si>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</si>
  <si>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</si>
  <si>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</si>
  <si>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</si>
  <si>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</si>
  <si>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</si>
  <si>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</si>
  <si>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</si>
  <si>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</si>
  <si>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</si>
  <si>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</si>
  <si>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</si>
  <si>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</si>
  <si>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</si>
  <si>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</si>
  <si>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</si>
  <si>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</si>
  <si>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</si>
  <si>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</si>
  <si>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</si>
  <si>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</si>
  <si>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</si>
  <si>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</si>
  <si>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</si>
  <si>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</si>
  <si>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</si>
  <si>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</si>
  <si>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</si>
  <si>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</si>
  <si>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</si>
  <si>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</si>
  <si>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</si>
  <si>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</si>
  <si>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</si>
  <si>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</si>
  <si>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</si>
  <si>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</si>
  <si>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</si>
  <si>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</si>
  <si>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</si>
  <si>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</si>
  <si>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</si>
  <si>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</si>
  <si>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</si>
  <si>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</si>
  <si>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</si>
  <si>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</si>
  <si>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</si>
  <si>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</si>
  <si>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</si>
  <si>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</si>
  <si>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</si>
  <si>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</si>
  <si>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</si>
  <si>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</si>
  <si>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</si>
  <si>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</si>
  <si>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</si>
  <si>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</si>
  <si>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</si>
  <si>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</si>
  <si>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</si>
  <si>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</si>
  <si>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</si>
  <si>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</si>
  <si>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</si>
  <si>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</si>
  <si>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</si>
  <si>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</si>
  <si>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</si>
  <si>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</si>
  <si>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</si>
  <si>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</si>
  <si>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</si>
  <si>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</si>
  <si>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</si>
  <si>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</si>
  <si>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</si>
  <si>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</si>
  <si>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</si>
  <si>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</si>
  <si>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</si>
  <si>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</si>
  <si>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</si>
  <si>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</si>
  <si>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</si>
  <si>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</si>
  <si>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</si>
  <si>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</si>
  <si>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</si>
  <si>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</si>
  <si>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</si>
  <si>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</si>
  <si>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</si>
  <si>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</si>
  <si>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</si>
  <si>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</si>
  <si>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</si>
  <si>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</si>
  <si>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</si>
  <si>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</si>
  <si>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</si>
  <si>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</si>
  <si>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</si>
  <si>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</si>
  <si>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</si>
  <si>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</si>
  <si>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</si>
  <si>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</si>
  <si>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</si>
  <si>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</si>
  <si>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</si>
  <si>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</si>
  <si>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</si>
  <si>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</si>
  <si>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</si>
  <si>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</si>
  <si>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</si>
  <si>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</si>
  <si>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</si>
  <si>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</si>
  <si>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</si>
  <si>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</si>
  <si>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</si>
  <si>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</si>
  <si>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</si>
  <si>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</si>
  <si>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</si>
  <si>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</si>
  <si>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</si>
  <si>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</si>
  <si>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</si>
  <si>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</si>
  <si>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</si>
  <si>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</si>
  <si>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</si>
  <si>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</si>
  <si>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</si>
  <si>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</si>
  <si>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</si>
  <si>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</si>
  <si>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</si>
  <si>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</si>
  <si>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</si>
  <si>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</si>
  <si>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</si>
  <si>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</si>
  <si>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</si>
  <si>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</si>
  <si>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</si>
  <si>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</si>
  <si>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</si>
  <si>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</si>
  <si>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</si>
  <si>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</si>
  <si>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</si>
  <si>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</si>
  <si>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</si>
  <si>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</si>
  <si>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</si>
  <si>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</si>
  <si>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</si>
  <si>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</si>
  <si>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</si>
  <si>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</si>
  <si>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</si>
  <si>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</si>
  <si>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</si>
  <si>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</si>
  <si>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</si>
  <si>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</si>
  <si>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</si>
  <si>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</si>
  <si>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</si>
  <si>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</si>
  <si>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</si>
  <si>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</si>
  <si>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</si>
  <si>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</si>
  <si>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</si>
  <si>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</si>
  <si>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</si>
  <si>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</si>
  <si>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</si>
  <si>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</si>
  <si>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</si>
  <si>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</si>
  <si>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</si>
  <si>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</si>
  <si>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</si>
  <si>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</si>
  <si>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</si>
  <si>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</si>
  <si>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</si>
  <si>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</si>
  <si>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</si>
  <si>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</si>
  <si>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</si>
  <si>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</si>
  <si>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</si>
  <si>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</si>
  <si>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</si>
  <si>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</si>
  <si>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</si>
  <si>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</si>
  <si>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</si>
  <si>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</si>
  <si>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</si>
  <si>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</si>
  <si>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</si>
  <si>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</si>
  <si>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</si>
  <si>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</si>
  <si>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</si>
  <si>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</si>
  <si>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</si>
  <si>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</si>
  <si>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</si>
  <si>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</si>
  <si>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</si>
  <si>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</si>
  <si>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</si>
  <si>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</si>
  <si>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</si>
  <si>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</si>
  <si>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</si>
  <si>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</si>
  <si>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</si>
  <si>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</si>
  <si>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</si>
  <si>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</si>
  <si>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</si>
  <si>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</si>
  <si>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</si>
  <si>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</si>
  <si>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</si>
  <si>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</si>
  <si>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</si>
  <si>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</si>
  <si>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</si>
  <si>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</si>
  <si>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</si>
  <si>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</si>
  <si>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</si>
  <si>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</si>
  <si>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</si>
  <si>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</si>
  <si>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</si>
  <si>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</si>
  <si>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</si>
  <si>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</si>
  <si>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</si>
  <si>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</si>
  <si>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</si>
  <si>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</si>
  <si>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</si>
  <si>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</si>
  <si>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</si>
  <si>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</si>
  <si>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</si>
  <si>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</si>
  <si>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</si>
  <si>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</si>
  <si>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</si>
  <si>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</si>
  <si>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</si>
  <si>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</si>
  <si>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</si>
  <si>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</si>
  <si>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</si>
  <si>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</si>
  <si>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</si>
  <si>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</si>
  <si>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</si>
  <si>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</si>
  <si>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</si>
  <si>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</si>
  <si>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</si>
  <si>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</si>
  <si>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</si>
  <si>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</si>
  <si>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</si>
  <si>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</si>
  <si>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</si>
  <si>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</si>
  <si>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</si>
  <si>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</si>
  <si>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</si>
  <si>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</si>
  <si>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</si>
  <si>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</si>
  <si>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</si>
  <si>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</si>
  <si>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</si>
  <si>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</si>
  <si>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</si>
  <si>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</si>
  <si>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</si>
  <si>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</si>
  <si>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</si>
  <si>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</si>
  <si>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</si>
  <si>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</si>
  <si>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</si>
  <si>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</si>
  <si>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</si>
  <si>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</si>
  <si>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</si>
  <si>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</si>
  <si>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</si>
  <si>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</si>
  <si>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</si>
  <si>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</si>
  <si>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</si>
  <si>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</si>
  <si>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</si>
  <si>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</si>
  <si>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</si>
  <si>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</si>
  <si>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</si>
  <si>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</si>
  <si>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</si>
  <si>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</si>
  <si>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</si>
  <si>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</si>
  <si>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</si>
  <si>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</si>
  <si>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</si>
  <si>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</si>
  <si>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</si>
  <si>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</si>
  <si>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</si>
  <si>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</si>
  <si>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</si>
  <si>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</si>
  <si>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</si>
  <si>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</si>
  <si>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</si>
  <si>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</si>
  <si>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</si>
  <si>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</si>
  <si>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</si>
  <si>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</si>
  <si>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</si>
  <si>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</si>
  <si>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</si>
  <si>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</si>
  <si>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</si>
  <si>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</si>
  <si>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</si>
  <si>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</si>
  <si>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</si>
  <si>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</si>
  <si>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</si>
  <si>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</si>
  <si>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</si>
  <si>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</si>
  <si>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</si>
  <si>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</si>
  <si>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</si>
  <si>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</si>
  <si>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</si>
  <si>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</si>
  <si>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</si>
  <si>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</si>
  <si>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</si>
  <si>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</si>
  <si>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</si>
  <si>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</si>
  <si>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</si>
  <si>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</si>
  <si>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</si>
  <si>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</si>
  <si>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</si>
  <si>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</si>
  <si>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</si>
  <si>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</si>
  <si>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</si>
  <si>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</si>
  <si>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</si>
  <si>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</si>
  <si>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</si>
  <si>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</si>
  <si>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</si>
  <si>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</si>
  <si>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</si>
  <si>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</si>
  <si>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</si>
  <si>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</si>
  <si>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</si>
  <si>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</si>
  <si>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</si>
  <si>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</si>
  <si>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</si>
  <si>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</si>
  <si>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</si>
  <si>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</si>
  <si>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</si>
  <si>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</si>
  <si>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</si>
  <si>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</si>
  <si>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</si>
  <si>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</si>
  <si>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</si>
  <si>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</si>
  <si>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</si>
  <si>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</si>
  <si>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</si>
  <si>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</si>
  <si>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</si>
  <si>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</si>
  <si>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</si>
  <si>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</si>
  <si>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</si>
  <si>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</si>
  <si>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</si>
  <si>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</si>
  <si>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</si>
  <si>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</si>
  <si>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</si>
  <si>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</si>
  <si>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</si>
  <si>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</si>
  <si>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</si>
  <si>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</si>
  <si>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</si>
  <si>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</si>
  <si>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</si>
  <si>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</si>
  <si>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</si>
  <si>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</si>
  <si>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</si>
  <si>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</si>
  <si>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</si>
  <si>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</si>
  <si>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</si>
  <si>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</si>
  <si>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</si>
  <si>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</si>
  <si>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</si>
  <si>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</si>
  <si>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</si>
  <si>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</si>
  <si>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</si>
  <si>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</si>
  <si>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</si>
  <si>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</si>
  <si>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</si>
  <si>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</si>
  <si>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</si>
  <si>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</si>
  <si>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</si>
  <si>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</si>
  <si>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</si>
  <si>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</si>
  <si>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</si>
  <si>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</si>
  <si>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</si>
  <si>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</si>
  <si>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</si>
  <si>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</si>
  <si>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</si>
  <si>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</si>
  <si>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</si>
  <si>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</si>
  <si>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</si>
  <si>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</si>
  <si>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</si>
  <si>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</si>
  <si>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</si>
  <si>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</si>
  <si>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</si>
  <si>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</si>
  <si>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</si>
  <si>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</si>
  <si>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</si>
  <si>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</si>
  <si>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</si>
  <si>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</si>
  <si>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</si>
  <si>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</si>
  <si>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</si>
  <si>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</si>
  <si>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</si>
  <si>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</si>
  <si>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</si>
  <si>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</si>
  <si>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</si>
  <si>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</si>
  <si>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</si>
  <si>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</si>
  <si>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</si>
  <si>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</si>
  <si>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</si>
  <si>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</si>
  <si>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</si>
  <si>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</si>
  <si>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</si>
  <si>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</si>
  <si>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</si>
  <si>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</si>
  <si>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</si>
  <si>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</si>
  <si>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</si>
  <si>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</si>
  <si>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</si>
  <si>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</si>
  <si>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</si>
  <si>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</si>
  <si>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</si>
  <si>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</si>
  <si>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</si>
  <si>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</si>
  <si>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</si>
  <si>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</si>
  <si>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</si>
  <si>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</si>
  <si>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</si>
  <si>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</si>
  <si>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</si>
  <si>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</si>
  <si>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</si>
  <si>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</si>
  <si>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</si>
  <si>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</si>
  <si>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</si>
  <si>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</si>
  <si>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</si>
  <si>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</si>
  <si>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</si>
  <si>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</si>
  <si>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</si>
  <si>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</si>
  <si>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</si>
  <si>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</si>
  <si>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</si>
  <si>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</si>
  <si>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</si>
  <si>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</si>
  <si>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</si>
  <si>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</si>
  <si>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</si>
  <si>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</si>
  <si>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</si>
  <si>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</si>
  <si>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</si>
  <si>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</si>
  <si>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</si>
  <si>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</si>
  <si>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</si>
  <si>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</si>
  <si>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</si>
  <si>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</si>
  <si>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</si>
  <si>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</si>
  <si>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</si>
  <si>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</si>
  <si>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</si>
  <si>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</si>
  <si>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</si>
  <si>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</si>
  <si>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</si>
  <si>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</si>
  <si>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</si>
  <si>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</si>
  <si>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</si>
  <si>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</si>
  <si>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</si>
  <si>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</si>
  <si>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</si>
  <si>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</si>
  <si>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</si>
  <si>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</si>
  <si>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</si>
  <si>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</si>
  <si>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</si>
  <si>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</si>
  <si>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</si>
  <si>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</si>
  <si>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</si>
  <si>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</si>
  <si>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</si>
  <si>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</si>
  <si>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</si>
  <si>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</si>
  <si>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</si>
  <si>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</si>
  <si>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</si>
  <si>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</si>
  <si>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</si>
  <si>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</si>
  <si>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</si>
  <si>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</si>
  <si>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</si>
  <si>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</si>
  <si>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</si>
  <si>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</si>
  <si>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</si>
  <si>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</si>
  <si>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</si>
  <si>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</si>
  <si>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</si>
  <si>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</si>
  <si>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</si>
  <si>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</si>
  <si>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</si>
  <si>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</si>
  <si>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</si>
  <si>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</si>
  <si>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</si>
  <si>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</si>
  <si>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</si>
  <si>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</si>
  <si>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</si>
  <si>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</si>
  <si>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</si>
  <si>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</si>
  <si>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</si>
  <si>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</si>
  <si>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</si>
  <si>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</si>
  <si>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</si>
  <si>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</si>
  <si>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</si>
  <si>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</si>
  <si>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</si>
  <si>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</si>
  <si>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</si>
  <si>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</si>
  <si>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</si>
  <si>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</si>
  <si>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</si>
  <si>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</si>
  <si>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</si>
  <si>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</si>
  <si>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</si>
  <si>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</si>
  <si>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</si>
  <si>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</si>
  <si>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</si>
  <si>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</si>
  <si>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</si>
  <si>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</si>
  <si>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</si>
  <si>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</si>
  <si>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</si>
  <si>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</si>
  <si>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</si>
  <si>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</si>
  <si>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</si>
  <si>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</si>
  <si>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</si>
  <si>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</si>
  <si>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</si>
  <si>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</si>
  <si>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</si>
  <si>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</si>
  <si>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</si>
  <si>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</si>
  <si>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</si>
  <si>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</si>
  <si>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</si>
  <si>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</si>
  <si>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</si>
  <si>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</si>
  <si>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</si>
  <si>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</si>
  <si>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</si>
  <si>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</si>
  <si>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</si>
  <si>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</si>
  <si>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</si>
  <si>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</si>
  <si>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</si>
  <si>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</si>
  <si>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</si>
  <si>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</si>
  <si>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</si>
  <si>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</si>
  <si>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</si>
  <si>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</si>
  <si>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</si>
  <si>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</si>
  <si>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</si>
  <si>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</si>
  <si>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</si>
  <si>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</si>
  <si>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</si>
  <si>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</si>
  <si>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</si>
  <si>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</si>
  <si>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</si>
  <si>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</si>
  <si>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</si>
  <si>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</si>
  <si>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</si>
  <si>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</si>
  <si>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</si>
  <si>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</si>
  <si>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</si>
  <si>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</si>
  <si>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</si>
  <si>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</si>
  <si>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</si>
  <si>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</si>
  <si>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</si>
  <si>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</si>
  <si>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</si>
  <si>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</si>
  <si>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</si>
  <si>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</si>
  <si>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</si>
  <si>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</si>
  <si>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</si>
  <si>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</si>
  <si>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</si>
  <si>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</si>
  <si>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</si>
  <si>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</si>
  <si>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</si>
  <si>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</si>
  <si>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</si>
  <si>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</si>
  <si>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</si>
  <si>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</si>
  <si>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</si>
  <si>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</si>
  <si>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</si>
  <si>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</si>
  <si>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</si>
  <si>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</si>
  <si>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</si>
  <si>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</si>
  <si>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</si>
  <si>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</si>
  <si>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</si>
  <si>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</si>
  <si>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</si>
  <si>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</si>
  <si>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</si>
  <si>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</si>
  <si>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</si>
  <si>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</si>
  <si>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</si>
  <si>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</si>
  <si>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</si>
  <si>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</si>
  <si>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</si>
  <si>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</si>
  <si>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</si>
  <si>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</si>
  <si>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</si>
  <si>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</si>
  <si>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</si>
  <si>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</si>
  <si>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</si>
  <si>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</si>
  <si>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</si>
  <si>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</si>
  <si>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</si>
  <si>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</si>
  <si>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</si>
  <si>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</si>
  <si>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</si>
  <si>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</si>
  <si>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</si>
  <si>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</si>
  <si>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</si>
  <si>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</si>
  <si>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</si>
  <si>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</si>
  <si>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</si>
  <si>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</si>
  <si>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</si>
  <si>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</si>
  <si>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</si>
  <si>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</si>
  <si>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</si>
  <si>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</si>
  <si>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</si>
  <si>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</si>
  <si>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</si>
  <si>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</si>
  <si>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</si>
  <si>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</si>
  <si>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</si>
  <si>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</si>
  <si>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</si>
  <si>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</si>
  <si>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</si>
  <si>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</si>
  <si>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</si>
  <si>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</si>
  <si>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</si>
  <si>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</si>
  <si>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</si>
  <si>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</si>
  <si>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</si>
  <si>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</si>
  <si>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</si>
  <si>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</si>
  <si>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</si>
  <si>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</si>
  <si>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</si>
  <si>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</si>
  <si>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</si>
  <si>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</si>
  <si>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</si>
  <si>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</si>
  <si>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</si>
  <si>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</si>
  <si>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</si>
  <si>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</si>
  <si>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</si>
  <si>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</si>
  <si>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</si>
  <si>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</si>
  <si>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</si>
  <si>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</si>
  <si>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</si>
  <si>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</si>
  <si>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</si>
  <si>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</si>
  <si>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</si>
  <si>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</si>
  <si>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</si>
  <si>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</si>
  <si>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</si>
  <si>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</si>
  <si>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</si>
  <si>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</si>
  <si>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</si>
  <si>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</si>
  <si>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</si>
  <si>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</si>
  <si>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</si>
  <si>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</si>
  <si>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</si>
  <si>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</si>
  <si>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</si>
  <si>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</si>
  <si>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</si>
  <si>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</si>
  <si>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</si>
  <si>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</si>
  <si>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</si>
  <si>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</si>
  <si>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</si>
  <si>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</si>
  <si>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</si>
  <si>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</si>
  <si>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</si>
  <si>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</si>
  <si>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</si>
  <si>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</si>
  <si>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</si>
  <si>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</si>
  <si>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</si>
  <si>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</si>
  <si>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</si>
  <si>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</si>
  <si>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</si>
  <si>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</si>
  <si>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</si>
  <si>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</si>
  <si>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</si>
  <si>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</si>
  <si>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</si>
  <si>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</si>
  <si>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</si>
  <si>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</si>
  <si>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</si>
  <si>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</si>
  <si>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</si>
  <si>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</si>
  <si>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</si>
  <si>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</si>
  <si>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</si>
  <si>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</si>
  <si>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</si>
  <si>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</si>
  <si>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</si>
  <si>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</si>
  <si>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</si>
  <si>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</si>
  <si>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</si>
  <si>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</si>
  <si>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</si>
  <si>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</si>
  <si>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</si>
  <si>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</si>
  <si>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</si>
  <si>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</si>
  <si>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</si>
  <si>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</si>
  <si>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</si>
  <si>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</si>
  <si>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</si>
  <si>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</si>
  <si>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</si>
  <si>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</si>
  <si>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</si>
  <si>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</si>
  <si>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</si>
  <si>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</si>
  <si>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</si>
  <si>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</si>
  <si>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</si>
  <si>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</si>
  <si>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</si>
  <si>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</si>
  <si>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</si>
  <si>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</si>
  <si>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</si>
  <si>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</si>
  <si>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</si>
  <si>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</si>
  <si>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</si>
  <si>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</si>
  <si>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</si>
  <si>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</si>
  <si>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</si>
  <si>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</si>
  <si>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</si>
  <si>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</si>
  <si>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</si>
  <si>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</si>
  <si>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</si>
  <si>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</si>
  <si>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</si>
  <si>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</si>
  <si>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</si>
  <si>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</si>
  <si>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</si>
  <si>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</si>
  <si>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</si>
  <si>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</si>
  <si>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</si>
  <si>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</si>
  <si>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</si>
  <si>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</si>
  <si>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</si>
  <si>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</si>
  <si>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</si>
  <si>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</si>
  <si>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</si>
  <si>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</si>
  <si>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</si>
  <si>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</si>
  <si>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</si>
  <si>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</si>
  <si>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</si>
  <si>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</si>
  <si>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</si>
  <si>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</si>
  <si>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</si>
  <si>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</si>
  <si>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</si>
  <si>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</si>
  <si>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</si>
  <si>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</si>
  <si>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</si>
  <si>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</si>
  <si>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</si>
  <si>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</si>
  <si>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</si>
  <si>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</si>
  <si>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</si>
  <si>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</si>
  <si>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</si>
  <si>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</si>
  <si>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</si>
  <si>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</si>
  <si>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</si>
  <si>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</si>
  <si>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</si>
  <si>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</si>
  <si>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</si>
  <si>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</si>
  <si>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</si>
  <si>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</si>
  <si>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</si>
  <si>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</si>
  <si>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</si>
  <si>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</si>
  <si>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</si>
  <si>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</si>
  <si>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</si>
  <si>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</si>
  <si>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</si>
  <si>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</si>
  <si>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</si>
  <si>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</si>
  <si>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</si>
  <si>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</si>
  <si>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</si>
  <si>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</si>
  <si>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</si>
  <si>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</si>
  <si>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</si>
  <si>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</si>
  <si>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</si>
  <si>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</si>
  <si>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</si>
  <si>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</si>
  <si>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</si>
  <si>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</si>
  <si>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</si>
  <si>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</si>
  <si>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</si>
  <si>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</si>
  <si>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</si>
  <si>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</si>
  <si>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</si>
  <si>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</si>
  <si>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</si>
  <si>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</si>
  <si>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</si>
  <si>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</si>
  <si>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</si>
  <si>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</si>
  <si>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</si>
  <si>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</si>
  <si>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</si>
  <si>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</si>
  <si>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</si>
  <si>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</si>
  <si>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</si>
  <si>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</si>
  <si>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</si>
  <si>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</si>
  <si>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</si>
  <si>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</si>
  <si>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</si>
  <si>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</si>
  <si>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</si>
  <si>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</si>
  <si>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</si>
  <si>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</si>
  <si>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</si>
  <si>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</si>
  <si>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</si>
  <si>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</si>
  <si>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</si>
  <si>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</si>
  <si>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</si>
  <si>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</si>
  <si>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</si>
  <si>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</si>
  <si>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</si>
  <si>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</si>
  <si>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</si>
  <si>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</si>
  <si>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</si>
  <si>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</si>
  <si>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</si>
  <si>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</si>
  <si>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</si>
  <si>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</si>
  <si>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</si>
  <si>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</si>
  <si>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</si>
  <si>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</si>
  <si>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</si>
  <si>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</si>
  <si>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</si>
  <si>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</si>
  <si>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</si>
  <si>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</si>
  <si>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</si>
  <si>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</si>
  <si>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</si>
  <si>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</si>
  <si>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</si>
  <si>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</si>
  <si>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</si>
  <si>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</si>
  <si>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</si>
  <si>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</si>
  <si>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</si>
  <si>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</si>
  <si>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</si>
  <si>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</si>
  <si>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</si>
  <si>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</si>
  <si>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</si>
  <si>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</si>
  <si>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</si>
  <si>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</si>
  <si>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</si>
  <si>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</si>
  <si>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</si>
  <si>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</si>
  <si>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</si>
  <si>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</si>
  <si>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</si>
  <si>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</si>
  <si>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</si>
  <si>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</si>
  <si>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</si>
  <si>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</si>
  <si>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</si>
  <si>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</si>
  <si>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</si>
  <si>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其他：</t>
  </si>
  <si>
    <t>上海市</t>
  </si>
  <si>
    <t>上海市</t>
    <phoneticPr fontId="6" type="noConversion"/>
  </si>
  <si>
    <t>企业</t>
  </si>
  <si>
    <t>上海同百投资管理有限公司</t>
    <phoneticPr fontId="6" type="noConversion"/>
  </si>
  <si>
    <t>出让</t>
  </si>
  <si>
    <t>工业</t>
    <phoneticPr fontId="6" type="noConversion"/>
  </si>
  <si>
    <t>建筑与土地面积依据相同</t>
  </si>
  <si>
    <t>否</t>
  </si>
  <si>
    <t>复印件</t>
  </si>
  <si>
    <t>工业项目</t>
  </si>
  <si>
    <t>无</t>
  </si>
  <si>
    <t>现房</t>
  </si>
  <si>
    <t>通路</t>
  </si>
  <si>
    <t>通电</t>
  </si>
  <si>
    <t>通讯</t>
  </si>
  <si>
    <t>通上水</t>
  </si>
  <si>
    <t>通下水</t>
  </si>
  <si>
    <t>工业厂房</t>
    <phoneticPr fontId="3" type="noConversion"/>
  </si>
  <si>
    <t>是</t>
  </si>
  <si>
    <t>地上</t>
  </si>
  <si>
    <t>标准厂房</t>
  </si>
  <si>
    <t>成新度</t>
  </si>
  <si>
    <t>较好</t>
  </si>
  <si>
    <t>较好</t>
    <phoneticPr fontId="41" type="noConversion"/>
  </si>
  <si>
    <t>较好</t>
    <phoneticPr fontId="41" type="noConversion"/>
  </si>
  <si>
    <t>六通</t>
  </si>
  <si>
    <t>六通</t>
    <phoneticPr fontId="25" type="noConversion"/>
  </si>
  <si>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</si>
  <si>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</si>
  <si>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</si>
  <si>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</si>
  <si>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</si>
  <si>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</si>
  <si>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</si>
  <si>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</si>
  <si>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</si>
  <si>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</si>
  <si>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</si>
  <si>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</si>
  <si>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</si>
  <si>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</si>
  <si>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</si>
  <si>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</si>
  <si>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</si>
  <si>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</si>
  <si>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</si>
  <si>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</si>
  <si>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</si>
  <si>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</si>
  <si>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</si>
  <si>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</si>
  <si>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</si>
  <si>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</si>
  <si>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</si>
  <si>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</si>
  <si>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</si>
  <si>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</si>
  <si>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</si>
  <si>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</si>
  <si>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</si>
  <si>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</si>
  <si>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</si>
  <si>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</si>
  <si>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</si>
  <si>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</si>
  <si>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成交地面单价</t>
    <phoneticPr fontId="3" type="noConversion"/>
  </si>
  <si>
    <t>成交楼面价(除保障房)(元/㎡)</t>
  </si>
  <si>
    <t>溢价率</t>
  </si>
  <si>
    <t>出让年限</t>
  </si>
  <si>
    <t>竞报整体自持比例(%)</t>
  </si>
  <si>
    <t>竞报商品住房自持比例(%)</t>
  </si>
  <si>
    <t>竞报商办部分自持比例(%)</t>
  </si>
  <si>
    <t>金山区亭林镇CB_201002003号地块</t>
  </si>
  <si>
    <t>工业用地</t>
  </si>
  <si>
    <t>金山区</t>
  </si>
  <si>
    <t>东至:松轩路,南至:姚泾河,西至:上海剑跃电子有限公司,北至:达福路</t>
  </si>
  <si>
    <t>挂牌</t>
  </si>
  <si>
    <t>未开工</t>
  </si>
  <si>
    <t>2018-03-20</t>
  </si>
  <si>
    <t>2018-04-11</t>
  </si>
  <si>
    <t>2018-04-20</t>
  </si>
  <si>
    <t>沪告字(2018)第031号</t>
  </si>
  <si>
    <t>已成交</t>
  </si>
  <si>
    <t>上海大有风泽实业有限公司</t>
  </si>
  <si>
    <t>金山区枫泾工业区CB_201608001号地块</t>
  </si>
  <si>
    <t>东至:白象路,南至:建贡路,西至:庄官塘,北至:空地</t>
  </si>
  <si>
    <t>2018-01-17</t>
  </si>
  <si>
    <t>2018-02-06</t>
  </si>
  <si>
    <t>沪告字(2018)第006号</t>
  </si>
  <si>
    <t>上海临港金山新兴产业发展有限公司</t>
  </si>
  <si>
    <t>金山区朱泾工业区CB-201207007-1地块</t>
  </si>
  <si>
    <t>东至:农田,南至:二号河,西至:农田,北至:新日路</t>
  </si>
  <si>
    <t>2017-10-31</t>
  </si>
  <si>
    <t>2017-11-20</t>
  </si>
  <si>
    <t>沪告字(2017)第133号</t>
  </si>
  <si>
    <t>上海阀门二厂实业有限公司</t>
  </si>
  <si>
    <t>金山区金山工业区TZ_201701002号地块</t>
  </si>
  <si>
    <t>东至:金仁路,南至:自然地块,西至:金强路,北至:月工路</t>
  </si>
  <si>
    <t>2017-09-02</t>
  </si>
  <si>
    <t>2017-09-21</t>
  </si>
  <si>
    <t>沪告字(2017)第109号</t>
  </si>
  <si>
    <t>上海现代电梯制造有限公司</t>
  </si>
  <si>
    <t>金山区金山工业区CB_200801027号地块</t>
  </si>
  <si>
    <t>东至:金流路,南至:揽工路,西至:长楼港,北至:姚家港</t>
  </si>
  <si>
    <t>上海朗润迈威生物医药科技有限公司</t>
  </si>
  <si>
    <t>金山区金山工业区TZ_201701001号地块</t>
  </si>
  <si>
    <t>东至:邦成与悦康企业围墙,南至:揽工路,西至:金流路,北至:姚家港</t>
  </si>
  <si>
    <t>48.48%</t>
  </si>
  <si>
    <t>2017-08-25</t>
  </si>
  <si>
    <t>2017-09-13</t>
  </si>
  <si>
    <t>沪告字(2017)第104号</t>
  </si>
  <si>
    <t>上海青赛生物科技有限公司</t>
  </si>
  <si>
    <t>金山区金山工业区CBX_201601001号地块</t>
  </si>
  <si>
    <t>东至:亭卫公路,南至:塔格公司,西至:姚家港,北至:比瑞吉公司</t>
  </si>
  <si>
    <t>开工中</t>
  </si>
  <si>
    <t>2017-06-16</t>
  </si>
  <si>
    <t>2017-07-06</t>
  </si>
  <si>
    <t>沪告字(2017)第063号</t>
  </si>
  <si>
    <t>上海比瑞吉宠物用品股份有限公司</t>
  </si>
  <si>
    <t>金山区金山工业园区(山阳)CB_201103001-2号地块</t>
  </si>
  <si>
    <t>东至:规划临桂路,南至:山通东路,西至:艾录公司,北至:凌高公司</t>
  </si>
  <si>
    <t>0.9(层高超过8米的,在计算容积率时该层建筑面积加倍计算,折算后容积率为1.43)</t>
  </si>
  <si>
    <t>2017-04-28</t>
  </si>
  <si>
    <t>2017-05-18</t>
  </si>
  <si>
    <t>2017-06-02</t>
  </si>
  <si>
    <t>沪告字(2017)第038号</t>
  </si>
  <si>
    <t>上海艾录包装股份有限公司</t>
  </si>
  <si>
    <t>金山区金山工业区CB_201501004号地块(科创用地)</t>
  </si>
  <si>
    <t>东至:春丽路,南至:九工路,西至:牛桥港,北至:黄汶泾</t>
  </si>
  <si>
    <t>2016-12-05</t>
  </si>
  <si>
    <t>2016-12-26</t>
  </si>
  <si>
    <t>沪告字(2016)第142号</t>
  </si>
  <si>
    <t>上海金工企业发展有限公司</t>
  </si>
  <si>
    <t>50年</t>
  </si>
  <si>
    <t>金山区金山工业区TZ_201601002号地块</t>
  </si>
  <si>
    <t>东至:时代大道,南至:天工路,西至:洞泾河,北至:九工路</t>
  </si>
  <si>
    <t>2016-09-07</t>
  </si>
  <si>
    <t>2016-09-27</t>
  </si>
  <si>
    <t>沪告字(2016)第092号</t>
  </si>
  <si>
    <t>上海和辉光电有限公司</t>
  </si>
  <si>
    <t>金山工业园区金山工业区CB_201001012-2地块</t>
  </si>
  <si>
    <t>东至:上海万仕诚药业有限公司,南至:上海天宸药业有限公司,西至:金争路,北至:姚家港</t>
  </si>
  <si>
    <t>2016-02-04</t>
  </si>
  <si>
    <t>2016-02-24</t>
  </si>
  <si>
    <t>沪告字(2016)第005号</t>
  </si>
  <si>
    <t>上海金城药业有限公司</t>
  </si>
  <si>
    <t>金山工业园区金山工业区TZ_201501002号地块</t>
  </si>
  <si>
    <t>东至亚龙电缆公司,南至漕廊公路,西至金流路,北至臼井汽车零部件(上海)有限公司</t>
  </si>
  <si>
    <t>符合技术规范</t>
  </si>
  <si>
    <t>2016-02-03</t>
  </si>
  <si>
    <t>2016-02-23</t>
  </si>
  <si>
    <t>沪告字(2016)第004号</t>
  </si>
  <si>
    <t>上海泰砚通信技术有限公司</t>
  </si>
  <si>
    <t>金山工业园区(山阳)CB_201103001-1号地块</t>
  </si>
  <si>
    <t>东至:规划地块,南至:山通路,西至:阳达路,北至:规划地块</t>
  </si>
  <si>
    <t>已完工</t>
  </si>
  <si>
    <t>2015-05-14</t>
  </si>
  <si>
    <t>2015-06-03</t>
  </si>
  <si>
    <t>沪告字(2015)第056号</t>
  </si>
  <si>
    <t>工业</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</si>
  <si>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</si>
  <si>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</si>
  <si>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</si>
  <si>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</si>
  <si>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</si>
  <si>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</si>
  <si>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</si>
  <si>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</si>
  <si>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</si>
  <si>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</si>
  <si>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</si>
  <si>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</si>
  <si>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五通</t>
  </si>
  <si>
    <t>四通</t>
  </si>
  <si>
    <t>三通</t>
  </si>
  <si>
    <t>好</t>
  </si>
  <si>
    <t>一般</t>
  </si>
  <si>
    <t>较差</t>
  </si>
  <si>
    <t>差</t>
  </si>
  <si>
    <t>单面临街</t>
  </si>
  <si>
    <t>全部缴纳</t>
  </si>
  <si>
    <t>已包含在土地取得成本中</t>
  </si>
  <si>
    <t>未包含在土地购买价格中</t>
  </si>
  <si>
    <t>自定义</t>
  </si>
  <si>
    <t>钢混</t>
  </si>
  <si>
    <t>生产用房</t>
  </si>
  <si>
    <t>成本法</t>
  </si>
  <si>
    <t>成本比率</t>
  </si>
  <si>
    <t>2018-1-0287-P01DYGJ1</t>
    <phoneticPr fontId="6" type="noConversion"/>
  </si>
  <si>
    <t>上海同百智能门窗科技股份有限公司</t>
    <phoneticPr fontId="6" type="noConversion"/>
  </si>
  <si>
    <t>中航信托</t>
    <phoneticPr fontId="6" type="noConversion"/>
  </si>
  <si>
    <t>已注销</t>
  </si>
  <si>
    <r>
      <rPr>
        <sz val="12"/>
        <color theme="9" tint="-0.249977111117893"/>
        <rFont val="宋体"/>
        <family val="3"/>
        <charset val="134"/>
      </rPr>
      <t>金山区山阳镇阳乐路</t>
    </r>
    <r>
      <rPr>
        <sz val="12"/>
        <color theme="9" tint="-0.249977111117893"/>
        <rFont val="Arial"/>
        <family val="2"/>
      </rPr>
      <t>188</t>
    </r>
    <r>
      <rPr>
        <sz val="12"/>
        <color theme="9" tint="-0.249977111117893"/>
        <rFont val="宋体"/>
        <family val="3"/>
        <charset val="134"/>
      </rPr>
      <t>号</t>
    </r>
    <r>
      <rPr>
        <sz val="12"/>
        <color theme="9" tint="-0.249977111117893"/>
        <rFont val="Arial"/>
        <family val="2"/>
      </rPr>
      <t>6</t>
    </r>
    <r>
      <rPr>
        <sz val="12"/>
        <color theme="9" tint="-0.249977111117893"/>
        <rFont val="宋体"/>
        <family val="3"/>
        <charset val="134"/>
      </rPr>
      <t>幢工业用房房地产</t>
    </r>
    <phoneticPr fontId="6" type="noConversion"/>
  </si>
  <si>
    <r>
      <rPr>
        <sz val="12"/>
        <color theme="9" tint="-0.249977111117893"/>
        <rFont val="宋体"/>
        <family val="3"/>
        <charset val="134"/>
      </rPr>
      <t>《上海市房地产权证》</t>
    </r>
    <r>
      <rPr>
        <sz val="12"/>
        <color theme="9" tint="-0.249977111117893"/>
        <rFont val="Arial"/>
        <family val="2"/>
      </rPr>
      <t/>
    </r>
    <phoneticPr fontId="6" type="noConversion"/>
  </si>
  <si>
    <t>燃气</t>
  </si>
  <si>
    <t>总建筑面积</t>
    <phoneticPr fontId="3" type="noConversion"/>
  </si>
  <si>
    <r>
      <t>2</t>
    </r>
    <r>
      <rPr>
        <sz val="10"/>
        <color indexed="8"/>
        <rFont val="宋体"/>
        <family val="3"/>
        <charset val="134"/>
      </rPr>
      <t>幢</t>
    </r>
    <phoneticPr fontId="3" type="noConversion"/>
  </si>
  <si>
    <r>
      <t>6</t>
    </r>
    <r>
      <rPr>
        <sz val="10"/>
        <color indexed="8"/>
        <rFont val="宋体"/>
        <family val="3"/>
        <charset val="134"/>
      </rPr>
      <t>幢</t>
    </r>
    <phoneticPr fontId="3" type="noConversion"/>
  </si>
  <si>
    <r>
      <t>7</t>
    </r>
    <r>
      <rPr>
        <sz val="10"/>
        <color indexed="8"/>
        <rFont val="宋体"/>
        <family val="3"/>
        <charset val="134"/>
      </rPr>
      <t>幢</t>
    </r>
    <phoneticPr fontId="3" type="noConversion"/>
  </si>
  <si>
    <t>一般</t>
    <phoneticPr fontId="41" type="noConversion"/>
  </si>
  <si>
    <t>双面临街</t>
  </si>
  <si>
    <t>城市支路</t>
    <phoneticPr fontId="25" type="noConversion"/>
  </si>
  <si>
    <t>楼面地价</t>
  </si>
  <si>
    <t>多面临街</t>
  </si>
  <si>
    <t>项目局部</t>
  </si>
  <si>
    <t>已出租</t>
  </si>
  <si>
    <t>未出租</t>
  </si>
  <si>
    <t>未出租</t>
    <phoneticPr fontId="7" type="noConversion"/>
  </si>
  <si>
    <t>已出租</t>
    <phoneticPr fontId="7" type="noConversion"/>
  </si>
  <si>
    <t>租约1</t>
    <phoneticPr fontId="143" type="noConversion"/>
  </si>
  <si>
    <t>1楼西面</t>
    <phoneticPr fontId="143" type="noConversion"/>
  </si>
  <si>
    <t>1层建筑面积</t>
    <phoneticPr fontId="143" type="noConversion"/>
  </si>
  <si>
    <t>2层建筑面积</t>
    <phoneticPr fontId="143" type="noConversion"/>
  </si>
  <si>
    <t>总建筑面积</t>
    <phoneticPr fontId="143" type="noConversion"/>
  </si>
  <si>
    <t>剩余年限</t>
    <phoneticPr fontId="143" type="noConversion"/>
  </si>
  <si>
    <t>前三年</t>
    <phoneticPr fontId="143" type="noConversion"/>
  </si>
  <si>
    <t>无</t>
    <phoneticPr fontId="143" type="noConversion"/>
  </si>
  <si>
    <t>后两年</t>
    <phoneticPr fontId="143" type="noConversion"/>
  </si>
  <si>
    <t>平均</t>
    <phoneticPr fontId="143" type="noConversion"/>
  </si>
  <si>
    <t>当前年租金</t>
    <phoneticPr fontId="143" type="noConversion"/>
  </si>
  <si>
    <t>保证金</t>
    <phoneticPr fontId="143" type="noConversion"/>
  </si>
  <si>
    <t>平均日租金</t>
    <phoneticPr fontId="143" type="noConversion"/>
  </si>
  <si>
    <t>租约2</t>
    <phoneticPr fontId="143" type="noConversion"/>
  </si>
  <si>
    <t>1楼东面</t>
    <phoneticPr fontId="143" type="noConversion"/>
  </si>
  <si>
    <t>收益法-已出租</t>
  </si>
  <si>
    <t>收益法-已出租</t>
    <phoneticPr fontId="16" type="noConversion"/>
  </si>
  <si>
    <t>收益法-未出租</t>
  </si>
  <si>
    <t>收益法-未出租</t>
    <phoneticPr fontId="16" type="noConversion"/>
  </si>
  <si>
    <t>按租金收入计税</t>
  </si>
  <si>
    <t>押一</t>
  </si>
  <si>
    <t>收益法（汇总）</t>
  </si>
  <si>
    <t>贷款需求</t>
    <phoneticPr fontId="8" type="noConversion"/>
  </si>
  <si>
    <r>
      <t>2.</t>
    </r>
    <r>
      <rPr>
        <b/>
        <sz val="11"/>
        <color indexed="8"/>
        <rFont val="宋体"/>
        <family val="3"/>
        <charset val="134"/>
      </rPr>
      <t>估价师知悉的除抵押担保权以外的法定优先受偿款</t>
    </r>
    <phoneticPr fontId="8" type="noConversion"/>
  </si>
  <si>
    <t>注销后放款</t>
  </si>
  <si>
    <t>前三年</t>
    <phoneticPr fontId="143" type="noConversion"/>
  </si>
  <si>
    <t>第四年</t>
    <phoneticPr fontId="143" type="noConversion"/>
  </si>
  <si>
    <t>第五年</t>
    <phoneticPr fontId="143" type="noConversion"/>
  </si>
  <si>
    <t>第六年</t>
    <phoneticPr fontId="143" type="noConversion"/>
  </si>
  <si>
    <t>推算</t>
    <phoneticPr fontId="143" type="noConversion"/>
  </si>
  <si>
    <t>推算增长率</t>
    <phoneticPr fontId="143" type="noConversion"/>
  </si>
  <si>
    <t>差额</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</si>
</sst>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51"/>
        <bgColor indexed="64"/>
      </patternFill>
    </fill>
    <fill>
      <patternFill patternType="solid">
        <fgColor indexed="11"/>
        <bgColor indexed="64"/>
      </patternFill>
    </fill>
    <fill>
      <patternFill patternType="solid">
        <fgColor indexed="46"/>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19" fillId="17" borderId="0" xfId="0" applyFont="1" applyFill="1" applyAlignment="1"/>
    <xf numFmtId="0" fontId="0" fillId="19"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0" fontId="47" fillId="10" borderId="61" xfId="0" applyNumberFormat="1" applyFont="1" applyFill="1" applyBorder="1" applyAlignment="1" applyProtection="1">
      <alignment horizontal="center" vertical="center"/>
      <protection locked="0"/>
    </xf>
    <xf numFmtId="10" fontId="47" fillId="10" borderId="53" xfId="0" applyNumberFormat="1" applyFont="1" applyFill="1" applyBorder="1" applyAlignment="1" applyProtection="1">
      <alignment horizontal="center" vertical="center"/>
      <protection locked="0"/>
    </xf>
    <xf numFmtId="0" fontId="47" fillId="10" borderId="24" xfId="0"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0" fillId="10" borderId="0" xfId="0" applyFill="1" applyAlignment="1"/>
    <xf numFmtId="0" fontId="0" fillId="17" borderId="0" xfId="0" applyFont="1" applyFill="1" applyAlignment="1"/>
    <xf numFmtId="14" fontId="0" fillId="0" borderId="0" xfId="0" applyNumberFormat="1">
      <alignment vertical="center"/>
    </xf>
    <xf numFmtId="9" fontId="0" fillId="0" borderId="0" xfId="0" applyNumberFormat="1">
      <alignment vertical="center"/>
    </xf>
    <xf numFmtId="10" fontId="0" fillId="0" borderId="0" xfId="0" applyNumberFormat="1">
      <alignment vertical="center"/>
    </xf>
    <xf numFmtId="0" fontId="0" fillId="20" borderId="0" xfId="0" applyFill="1">
      <alignment vertical="center"/>
    </xf>
    <xf numFmtId="179" fontId="47" fillId="0" borderId="1" xfId="0" applyNumberFormat="1" applyFont="1" applyBorder="1" applyAlignment="1" applyProtection="1">
      <alignment horizontal="center" vertical="center"/>
      <protection locked="0"/>
    </xf>
    <xf numFmtId="10" fontId="47" fillId="20" borderId="1" xfId="0" applyNumberFormat="1" applyFont="1" applyFill="1" applyBorder="1" applyAlignment="1" applyProtection="1">
      <alignment horizontal="center" vertical="center"/>
      <protection locked="0"/>
    </xf>
    <xf numFmtId="0" fontId="80" fillId="20" borderId="0" xfId="0" applyFont="1" applyFill="1" applyProtection="1">
      <alignment vertical="center"/>
      <protection locked="0"/>
    </xf>
    <xf numFmtId="0" fontId="50" fillId="20"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17" borderId="0" xfId="0" applyFont="1" applyFill="1" applyAlignment="1"/>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30</xdr:row>
      <xdr:rowOff>123167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5266667"/>
        </a:xfrm>
        <a:prstGeom prst="rect">
          <a:avLst/>
        </a:prstGeom>
      </xdr:spPr>
    </xdr:pic>
    <xdr:clientData/>
  </xdr:twoCellAnchor>
  <xdr:twoCellAnchor editAs="oneCell">
    <xdr:from>
      <xdr:col>0</xdr:col>
      <xdr:colOff>0</xdr:colOff>
      <xdr:row>31</xdr:row>
      <xdr:rowOff>0</xdr:rowOff>
    </xdr:from>
    <xdr:to>
      <xdr:col>13</xdr:col>
      <xdr:colOff>256029</xdr:colOff>
      <xdr:row>58</xdr:row>
      <xdr:rowOff>75612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171429" cy="4704762"/>
        </a:xfrm>
        <a:prstGeom prst="rect">
          <a:avLst/>
        </a:prstGeom>
      </xdr:spPr>
    </xdr:pic>
    <xdr:clientData/>
  </xdr:twoCellAnchor>
  <xdr:twoCellAnchor editAs="oneCell">
    <xdr:from>
      <xdr:col>0</xdr:col>
      <xdr:colOff>0</xdr:colOff>
      <xdr:row>59</xdr:row>
      <xdr:rowOff>0</xdr:rowOff>
    </xdr:from>
    <xdr:to>
      <xdr:col>12</xdr:col>
      <xdr:colOff>675163</xdr:colOff>
      <xdr:row>83</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8904763" cy="4266667"/>
        </a:xfrm>
        <a:prstGeom prst="rect">
          <a:avLst/>
        </a:prstGeom>
      </xdr:spPr>
    </xdr:pic>
    <xdr:clientData/>
  </xdr:twoCellAnchor>
  <xdr:twoCellAnchor editAs="oneCell">
    <xdr:from>
      <xdr:col>0</xdr:col>
      <xdr:colOff>0</xdr:colOff>
      <xdr:row>84</xdr:row>
      <xdr:rowOff>0</xdr:rowOff>
    </xdr:from>
    <xdr:to>
      <xdr:col>13</xdr:col>
      <xdr:colOff>379839</xdr:colOff>
      <xdr:row>117</xdr:row>
      <xdr:rowOff>75484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401800"/>
          <a:ext cx="9295239" cy="5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3" sqref="E33"/>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上海市金山区山阳镇阳乐路188号6幢工业用房房地产房地产抵押价值预评估</v>
      </c>
    </row>
    <row r="3" spans="1:2" s="1595" customFormat="1">
      <c r="A3" s="1593" t="s">
        <v>1221</v>
      </c>
      <c r="B3" s="1594" t="str">
        <f>'预评函-封皮'!B40</f>
        <v>上海同百智能门窗科技股份有限公司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康正预评字2018-1-0287-P01DYGJ1号</v>
      </c>
    </row>
    <row r="6" spans="1:2" s="1592" customFormat="1" ht="15" thickTop="1">
      <c r="A6" s="1590" t="s">
        <v>1224</v>
      </c>
      <c r="B6" s="1591" t="str">
        <f>'预评函-1'!A4</f>
        <v>受贵公司委托，我公司对上海市金山区山阳镇阳乐路188号6幢工业用房房地产房地产抵押价值进行了预评估。</v>
      </c>
    </row>
    <row r="7" spans="1:2" s="1595" customFormat="1">
      <c r="A7" s="1593" t="s">
        <v>1264</v>
      </c>
      <c r="B7" s="1594" t="str">
        <f>'预评函-1'!A7</f>
        <v>估价对象为上海市金山区山阳镇阳乐路188号6幢工业用房房地产房地产，为上海同百投资管理有限公司所有。根据《上海市房地产权证》，估价对象（分摊）出让国有建设用地使用权面积为11729.24平方米，建筑面积为17933.88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上海市金山区山阳镇阳乐路188号6幢工业用房房地产房地产,属上海同百投资管理有限公司开发建设的工业项目，该项目尚在开发建设中。根据《上海市房地产权证》，估价对象（分摊）出让国有建设用地使用权面积为11729.24平方米，规划建筑面积为17933.88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2018年5月3日（评估专业人员实地查勘之日）</v>
      </c>
    </row>
    <row r="13" spans="1:2" s="1595" customFormat="1">
      <c r="A13" s="1593" t="s">
        <v>1227</v>
      </c>
      <c r="B13" s="1594" t="str">
        <f>'预评函-1'!A18</f>
        <v>本次估价的“房地产价值”是指在正常市场情况下，在价值时点2018年5月3日，估价对象规划用途为工业，土地取得方式为出让，出让国有建设用地使用权剩余土地使用年限为38.35，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38.35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8189</v>
      </c>
    </row>
    <row r="21" spans="1:2" s="1595" customFormat="1">
      <c r="A21" s="1593" t="s">
        <v>1235</v>
      </c>
      <c r="B21" s="1594">
        <f ca="1">'预评函-2'!D7</f>
        <v>4566</v>
      </c>
    </row>
    <row r="22" spans="1:2" s="1595" customFormat="1">
      <c r="A22" s="1593" t="s">
        <v>1236</v>
      </c>
      <c r="B22" s="1594" t="str">
        <f ca="1">'预评函-2'!D6</f>
        <v>捌仟壹佰捌拾玖万元整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4330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8189</v>
      </c>
    </row>
    <row r="35" spans="1:2" s="1595" customFormat="1">
      <c r="A35" s="1593" t="s">
        <v>1275</v>
      </c>
      <c r="B35" s="1594">
        <f ca="1">'预评函-2'!D18</f>
        <v>4566</v>
      </c>
    </row>
    <row r="36" spans="1:2" s="1595" customFormat="1">
      <c r="A36" s="1593" t="s">
        <v>1242</v>
      </c>
      <c r="B36" s="1594" t="str">
        <f ca="1">'预评函-2'!D17</f>
        <v>捌仟壹佰捌拾玖万元整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上海市金山区山阳镇阳乐路188号6幢工业用房房地产房地产</v>
      </c>
    </row>
    <row r="42" spans="1:2" s="1595" customFormat="1">
      <c r="A42" s="1593" t="s">
        <v>1288</v>
      </c>
      <c r="B42" s="1594" t="str">
        <f>'预评函-3'!B2</f>
        <v>建筑面积</v>
      </c>
    </row>
    <row r="43" spans="1:2" s="1595" customFormat="1">
      <c r="A43" s="1593" t="s">
        <v>1289</v>
      </c>
      <c r="B43" s="1594">
        <f>'预评函-3'!B4</f>
        <v>17933.88</v>
      </c>
    </row>
    <row r="44" spans="1:2" s="1595" customFormat="1">
      <c r="A44" s="1593" t="s">
        <v>1273</v>
      </c>
      <c r="B44" s="1594" t="str">
        <f>'预评函-3'!C2</f>
        <v>(分摊)土地面积</v>
      </c>
    </row>
    <row r="45" spans="1:2" s="1595" customFormat="1">
      <c r="A45" s="1593" t="s">
        <v>1245</v>
      </c>
      <c r="B45" s="1594">
        <f>'预评函-3'!C4</f>
        <v>11729.24</v>
      </c>
    </row>
    <row r="46" spans="1:2" s="1595" customFormat="1">
      <c r="A46" s="1593" t="s">
        <v>1271</v>
      </c>
      <c r="B46" s="1594" t="str">
        <f>'预评函-3'!D2</f>
        <v>出让国有建设用地使用权价值</v>
      </c>
    </row>
    <row r="47" spans="1:2" s="1595" customFormat="1">
      <c r="A47" s="1593" t="s">
        <v>1246</v>
      </c>
      <c r="B47" s="1594">
        <f ca="1">'预评函-3'!D4</f>
        <v>2309</v>
      </c>
    </row>
    <row r="48" spans="1:2" s="1595" customFormat="1">
      <c r="A48" s="1593" t="s">
        <v>1247</v>
      </c>
      <c r="B48" s="1594">
        <f ca="1">'预评函-3'!E4</f>
        <v>1287</v>
      </c>
    </row>
    <row r="49" spans="1:2" s="1595" customFormat="1">
      <c r="A49" s="1593" t="s">
        <v>1248</v>
      </c>
      <c r="B49" s="1594" t="str">
        <f ca="1">'预评函-3'!D5</f>
        <v>贰仟叁佰零玖万元整</v>
      </c>
    </row>
    <row r="50" spans="1:2" s="1595" customFormat="1">
      <c r="A50" s="1593" t="s">
        <v>1272</v>
      </c>
      <c r="B50" s="1594" t="str">
        <f>'预评函-3'!F2</f>
        <v>在建建筑物价值</v>
      </c>
    </row>
    <row r="51" spans="1:2" s="1595" customFormat="1">
      <c r="A51" s="1593" t="s">
        <v>1249</v>
      </c>
      <c r="B51" s="1594">
        <f ca="1">'预评函-3'!F4</f>
        <v>5880</v>
      </c>
    </row>
    <row r="52" spans="1:2" s="1595" customFormat="1">
      <c r="A52" s="1593" t="s">
        <v>1250</v>
      </c>
      <c r="B52" s="1594">
        <f ca="1">'预评函-3'!G4</f>
        <v>3279</v>
      </c>
    </row>
    <row r="53" spans="1:2" s="1595" customFormat="1">
      <c r="A53" s="1593" t="s">
        <v>1278</v>
      </c>
      <c r="B53" s="1594" t="str">
        <f ca="1">'预评函-3'!F5</f>
        <v>伍仟捌佰捌拾万元整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3264</v>
      </c>
      <c r="C17" s="2017"/>
    </row>
    <row r="18" spans="1:3">
      <c r="A18" s="2016" t="s">
        <v>1767</v>
      </c>
      <c r="B18" s="2016" t="s">
        <v>3266</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同百智能门窗科技股份有限公司拟使用上海市金山区山阳镇阳乐路188号6幢工业用房房地产房地产作为抵押担保物，向中航信托办理贷款手续。中航信托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5"/>
      <c r="B54" s="2024" t="s">
        <v>864</v>
      </c>
      <c r="C54" s="2021" t="s">
        <v>1281</v>
      </c>
    </row>
    <row r="55" spans="1:4">
      <c r="A55" s="3025"/>
      <c r="B55" s="2024" t="s">
        <v>865</v>
      </c>
      <c r="C55" s="2021" t="s">
        <v>1282</v>
      </c>
    </row>
    <row r="56" spans="1:4">
      <c r="A56" s="3025"/>
      <c r="B56" s="2024" t="s">
        <v>866</v>
      </c>
      <c r="C56" s="2021" t="s">
        <v>1286</v>
      </c>
    </row>
    <row r="57" spans="1:4">
      <c r="A57" s="302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4" sqref="G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6" t="str">
        <f>IF(B10="北京市","北京市",C10)&amp;F10&amp;IF(结果表!G1="在建","出让国有建设用地使用权及在建建筑物",IF(结果表!G1="土地","出让国有建设用地使用权",))&amp;B9&amp;"预评估"</f>
        <v>上海市金山区山阳镇阳乐路188号6幢工业用房房地产房地产抵押价值预评估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上海市金山区山阳镇阳乐路188号6幢工业用房房地产房地产抵押价值</v>
      </c>
    </row>
    <row r="2" spans="1:19" ht="18" customHeight="1">
      <c r="A2" s="2028" t="s">
        <v>1777</v>
      </c>
      <c r="B2" s="1041" t="s">
        <v>3227</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上海市金山区山阳镇阳乐路188号6幢工业用房房地产房地产</v>
      </c>
    </row>
    <row r="3" spans="1:19" ht="18" customHeight="1">
      <c r="A3" s="2037" t="s">
        <v>1778</v>
      </c>
      <c r="B3" s="2038">
        <v>43223</v>
      </c>
      <c r="C3" s="2039" t="s">
        <v>1779</v>
      </c>
      <c r="D3" s="2038">
        <f>B3</f>
        <v>43223</v>
      </c>
      <c r="E3" s="2028"/>
      <c r="F3" s="2028"/>
      <c r="G3" s="2028"/>
      <c r="H3" s="2028"/>
      <c r="I3" s="2028"/>
      <c r="J3" s="2028"/>
      <c r="K3" s="2029"/>
      <c r="L3" s="2030"/>
      <c r="M3" s="2030"/>
      <c r="N3" s="2031"/>
      <c r="O3" s="2032"/>
      <c r="P3" s="2031"/>
      <c r="Q3" s="2031"/>
      <c r="R3" s="2031"/>
      <c r="S3" s="2033"/>
    </row>
    <row r="4" spans="1:19" ht="18" customHeight="1" thickBot="1">
      <c r="A4" s="2040" t="s">
        <v>1780</v>
      </c>
      <c r="B4" s="2041" t="s">
        <v>3034</v>
      </c>
      <c r="C4" s="1039">
        <f ca="1">SUMIF(注册房地产估价师,B4,估价师及机构信息!B3:B24)</f>
        <v>1120000080</v>
      </c>
      <c r="D4" s="2041" t="s">
        <v>3035</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6" t="s">
        <v>3228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7" t="s">
        <v>3229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上海同百智能门窗科技股份有限公司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3036</v>
      </c>
      <c r="C8" s="2056"/>
      <c r="D8" s="3029" t="s">
        <v>1785</v>
      </c>
      <c r="E8" s="2057" t="s">
        <v>3230</v>
      </c>
      <c r="F8" s="2058"/>
      <c r="G8" s="2028"/>
      <c r="H8" s="2028"/>
      <c r="I8" s="2028"/>
      <c r="J8" s="2044"/>
      <c r="K8" s="2045"/>
      <c r="L8" s="2030"/>
      <c r="M8" s="2030"/>
      <c r="N8" s="2031"/>
      <c r="O8" s="2032"/>
      <c r="P8" s="2031"/>
      <c r="Q8" s="2031"/>
      <c r="R8" s="2031"/>
    </row>
    <row r="9" spans="1:19" ht="18" customHeight="1" thickBot="1">
      <c r="A9" s="2042" t="s">
        <v>1786</v>
      </c>
      <c r="B9" s="2059" t="s">
        <v>3037</v>
      </c>
      <c r="C9" s="2060"/>
      <c r="D9" s="3030"/>
      <c r="E9" s="2059"/>
      <c r="F9" s="2061"/>
      <c r="G9" s="2062"/>
      <c r="H9" s="2062"/>
      <c r="I9" s="2062"/>
      <c r="J9" s="2044"/>
      <c r="K9" s="2054"/>
      <c r="L9" s="2030"/>
      <c r="M9" s="2030"/>
      <c r="N9" s="2031"/>
      <c r="O9" s="2032"/>
      <c r="P9" s="2031"/>
      <c r="Q9" s="2031"/>
      <c r="R9" s="2031"/>
    </row>
    <row r="10" spans="1:19" ht="18" customHeight="1" thickTop="1">
      <c r="A10" s="2063" t="s">
        <v>1787</v>
      </c>
      <c r="B10" s="2064" t="s">
        <v>3038</v>
      </c>
      <c r="C10" s="2941" t="s">
        <v>3040</v>
      </c>
      <c r="D10" s="2048"/>
      <c r="E10" s="2065" t="s">
        <v>1788</v>
      </c>
      <c r="F10" s="2066" t="s">
        <v>3231</v>
      </c>
      <c r="G10" s="2067"/>
      <c r="H10" s="2068"/>
      <c r="I10" s="2048"/>
      <c r="J10" s="2044"/>
      <c r="K10" s="2054"/>
      <c r="L10" s="2030"/>
      <c r="M10" s="2030"/>
      <c r="N10" s="2031"/>
      <c r="O10" s="2032"/>
      <c r="P10" s="2031"/>
      <c r="Q10" s="2031"/>
      <c r="R10" s="2031"/>
    </row>
    <row r="11" spans="1:19" ht="18" customHeight="1">
      <c r="A11" s="2069" t="s">
        <v>1789</v>
      </c>
      <c r="B11" s="2070" t="s">
        <v>3041</v>
      </c>
      <c r="C11" s="2942" t="s">
        <v>3042</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3043</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c r="E13" s="2078"/>
      <c r="F13" s="2078"/>
      <c r="G13" s="2078"/>
      <c r="H13" s="2078"/>
      <c r="I13" s="1049">
        <v>57222</v>
      </c>
      <c r="J13" s="2044"/>
      <c r="K13" s="2054"/>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3"/>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38.35</v>
      </c>
      <c r="J15" s="2044"/>
      <c r="K15" s="2081"/>
      <c r="L15" s="2082"/>
      <c r="M15" s="2082"/>
      <c r="N15" s="2083"/>
      <c r="O15" s="2082"/>
      <c r="P15" s="2083"/>
      <c r="Q15" s="2031"/>
      <c r="R15" s="2031"/>
    </row>
    <row r="16" spans="1:19" ht="30.75" customHeight="1">
      <c r="A16" s="2065" t="s">
        <v>1801</v>
      </c>
      <c r="B16" s="3036" t="s">
        <v>3044</v>
      </c>
      <c r="C16" s="3037"/>
      <c r="D16" s="3038"/>
      <c r="E16" s="2084" t="s">
        <v>1802</v>
      </c>
      <c r="F16" s="3039">
        <v>38.35</v>
      </c>
      <c r="G16" s="3040"/>
      <c r="H16" s="3040"/>
      <c r="I16" s="3041"/>
      <c r="J16" s="2031"/>
      <c r="K16" s="2081"/>
      <c r="L16" s="2082"/>
      <c r="M16" s="2082"/>
      <c r="N16" s="2083"/>
      <c r="O16" s="2082"/>
      <c r="P16" s="2083"/>
      <c r="Q16" s="2031"/>
      <c r="R16" s="2031"/>
    </row>
    <row r="17" spans="1:22" ht="18" customHeight="1">
      <c r="A17" s="2085" t="s">
        <v>1803</v>
      </c>
      <c r="B17" s="2037" t="s">
        <v>1804</v>
      </c>
      <c r="C17" s="1056">
        <f>'数据-汇总表'!E3</f>
        <v>17933.88</v>
      </c>
      <c r="D17" s="2086" t="s">
        <v>1805</v>
      </c>
      <c r="E17" s="3042" t="s">
        <v>3232</v>
      </c>
      <c r="F17" s="3043"/>
      <c r="G17" s="3043"/>
      <c r="H17" s="3043"/>
      <c r="I17" s="3044"/>
      <c r="J17" s="2031"/>
      <c r="K17" s="2087"/>
      <c r="L17" s="2082"/>
      <c r="M17" s="2082"/>
      <c r="N17" s="2083"/>
      <c r="O17" s="2082"/>
      <c r="P17" s="2083"/>
      <c r="Q17" s="2031"/>
      <c r="R17" s="2031"/>
      <c r="S17" s="2031"/>
      <c r="T17" s="2031"/>
      <c r="U17" s="2031"/>
      <c r="V17" s="2031"/>
    </row>
    <row r="18" spans="1:22" ht="36" customHeight="1" thickBot="1">
      <c r="A18" s="2088" t="s">
        <v>3045</v>
      </c>
      <c r="B18" s="2040" t="s">
        <v>1806</v>
      </c>
      <c r="C18" s="1446">
        <f>'数据-汇总表'!D3</f>
        <v>11729.24</v>
      </c>
      <c r="D18" s="2089" t="s">
        <v>1805</v>
      </c>
      <c r="E18" s="3042" t="s">
        <v>3232</v>
      </c>
      <c r="F18" s="3043"/>
      <c r="G18" s="3043"/>
      <c r="H18" s="3043"/>
      <c r="I18" s="3044"/>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3057</v>
      </c>
      <c r="D19" s="2091" t="s">
        <v>1809</v>
      </c>
      <c r="E19" s="2092" t="s">
        <v>3046</v>
      </c>
      <c r="F19" s="2093" t="str">
        <f>IF(AND(C19="是",E19="否"),"是否提供他项权证或相关说明","")</f>
        <v>是否提供他项权证或相关说明</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32" t="s">
        <v>1811</v>
      </c>
      <c r="C20" s="3033"/>
      <c r="D20" s="3034" t="s">
        <v>1812</v>
      </c>
      <c r="E20" s="3035"/>
      <c r="F20" s="2096" t="s">
        <v>1813</v>
      </c>
      <c r="G20" s="2044"/>
      <c r="H20" s="2044"/>
      <c r="I20" s="2044"/>
      <c r="J20" s="2044"/>
      <c r="K20" s="3031" t="s">
        <v>1814</v>
      </c>
      <c r="L20" s="747"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3047</v>
      </c>
      <c r="D21" s="2099"/>
      <c r="E21" s="2100"/>
      <c r="F21" s="2101"/>
      <c r="G21" s="2044"/>
      <c r="H21" s="2044"/>
      <c r="I21" s="2044"/>
      <c r="J21" s="2044"/>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1816</v>
      </c>
      <c r="B23" s="182" t="s">
        <v>1817</v>
      </c>
      <c r="C23" s="2105"/>
      <c r="D23" s="2106" t="s">
        <v>1817</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1818</v>
      </c>
      <c r="C24" s="2110"/>
      <c r="D24" s="2104" t="s">
        <v>1818</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1819</v>
      </c>
      <c r="C25" s="2110"/>
      <c r="D25" s="2104" t="s">
        <v>1819</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1820</v>
      </c>
      <c r="C26" s="2114">
        <v>4330</v>
      </c>
      <c r="D26" s="2115" t="s">
        <v>1821</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46" t="s">
        <v>1822</v>
      </c>
      <c r="B27" s="2063" t="s">
        <v>1823</v>
      </c>
      <c r="C27" s="2118" t="s">
        <v>3048</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6"/>
      <c r="B28" s="2037" t="s">
        <v>1824</v>
      </c>
      <c r="C28" s="2120" t="s">
        <v>3049</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6"/>
      <c r="B29" s="2037" t="s">
        <v>1825</v>
      </c>
      <c r="C29" s="2123" t="s">
        <v>3046</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7"/>
      <c r="B30" s="2037" t="s">
        <v>1826</v>
      </c>
      <c r="C30" s="3048"/>
      <c r="D30" s="304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0" t="s">
        <v>1827</v>
      </c>
      <c r="B31" s="2125" t="s">
        <v>3050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51"/>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51"/>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3051</v>
      </c>
      <c r="C34" s="2132" t="s">
        <v>3052</v>
      </c>
      <c r="D34" s="2132" t="s">
        <v>3053</v>
      </c>
      <c r="E34" s="2132" t="s">
        <v>3054</v>
      </c>
      <c r="F34" s="2132" t="s">
        <v>3055</v>
      </c>
      <c r="G34" s="2132" t="s">
        <v>3233</v>
      </c>
      <c r="H34" s="2132"/>
      <c r="I34" s="2044"/>
      <c r="J34" s="2044"/>
      <c r="K34" s="1797">
        <f>COUNTIF(B34:H34,"——")</f>
        <v>0</v>
      </c>
      <c r="L34" s="2073" t="s">
        <v>1829</v>
      </c>
      <c r="M34" s="2073" t="s">
        <v>1830</v>
      </c>
      <c r="N34" s="2073" t="s">
        <v>1831</v>
      </c>
      <c r="O34" s="2073" t="s">
        <v>1832</v>
      </c>
      <c r="P34" s="2073" t="s">
        <v>1833</v>
      </c>
      <c r="Q34" s="2073" t="s">
        <v>1834</v>
      </c>
      <c r="R34" s="2073" t="s">
        <v>1835</v>
      </c>
      <c r="S34" s="3045" t="s">
        <v>1836</v>
      </c>
      <c r="T34" s="2133" t="str">
        <f>NUMBERSTRING(7-K34,1)&amp;"通"</f>
        <v>七通</v>
      </c>
      <c r="U34" s="2031"/>
      <c r="V34" s="2031"/>
    </row>
    <row r="35" spans="1:22" ht="18" customHeight="1">
      <c r="A35" s="2134"/>
      <c r="B35" s="3052" t="s">
        <v>1837</v>
      </c>
      <c r="C35" s="3052"/>
      <c r="D35" s="3052"/>
      <c r="E35" s="3052"/>
      <c r="F35" s="2135" t="str">
        <f>C10</f>
        <v>上海市</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5"/>
      <c r="T35" s="48" t="str">
        <f>IF(T34="一通",L35,IF(T34="二通",M35,IF(T34="三通",N35,IF(T34="四通",O35,IF(T34="五通",P35,IF(T34="六通",Q35,R35))))))</f>
        <v>通路、通电、通讯、通上水、通下水、燃气、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1846</v>
      </c>
      <c r="B42" s="1797" t="s">
        <v>1847</v>
      </c>
      <c r="C42" s="1797" t="s">
        <v>1848</v>
      </c>
      <c r="D42" s="1797" t="s">
        <v>1849</v>
      </c>
      <c r="E42" s="1797" t="s">
        <v>1850</v>
      </c>
      <c r="F42" s="1797" t="s">
        <v>1851</v>
      </c>
      <c r="G42" s="1797" t="s">
        <v>1852</v>
      </c>
      <c r="H42" s="1797" t="s">
        <v>1853</v>
      </c>
      <c r="I42" s="1797" t="s">
        <v>1854</v>
      </c>
      <c r="J42" s="2151" t="s">
        <v>1855</v>
      </c>
      <c r="K42" s="2074" t="s">
        <v>1856</v>
      </c>
      <c r="L42" s="2074" t="s">
        <v>1857</v>
      </c>
      <c r="M42" s="2074" t="s">
        <v>1858</v>
      </c>
      <c r="N42" s="1797" t="s">
        <v>1859</v>
      </c>
      <c r="O42" s="1797" t="s">
        <v>1860</v>
      </c>
      <c r="P42" s="1797" t="s">
        <v>1861</v>
      </c>
      <c r="Q42" s="2073" t="s">
        <v>1862</v>
      </c>
      <c r="R42" s="2073"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35092</v>
      </c>
      <c r="B3" s="14">
        <f>IF(C3="否",G5-AT5,G5)</f>
        <v>17933.88</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f>ROUND(B3/B13*A3,2)</f>
        <v>11729.24</v>
      </c>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5"/>
      <c r="C5" s="1805"/>
      <c r="D5" s="1808"/>
      <c r="E5" s="16" t="s">
        <v>1</v>
      </c>
      <c r="F5" s="16">
        <f>SUM(F13:F587)</f>
        <v>0</v>
      </c>
      <c r="G5" s="16">
        <f>SUM(G13:G587)</f>
        <v>17933.88</v>
      </c>
      <c r="H5" s="16">
        <f t="shared" ref="H5:AT5" si="0">SUM(H13:H656)</f>
        <v>17933.88</v>
      </c>
      <c r="I5" s="16">
        <f t="shared" si="0"/>
        <v>17933.88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17933.88</v>
      </c>
      <c r="BA5" s="18">
        <f t="shared" si="1"/>
        <v>17933.88</v>
      </c>
      <c r="BB5" s="18">
        <f t="shared" si="1"/>
        <v>17933.88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1874</v>
      </c>
      <c r="B6" s="2173"/>
      <c r="C6" s="2173"/>
      <c r="D6" s="2174"/>
      <c r="E6" s="16">
        <f>H6+AC6+AT6</f>
        <v>35092</v>
      </c>
      <c r="F6" s="16" t="s">
        <v>1</v>
      </c>
      <c r="G6" s="16" t="s">
        <v>2</v>
      </c>
      <c r="H6" s="20">
        <f>SUMIF(I$12:AB$12,"总值",I6:AB6)</f>
        <v>35092</v>
      </c>
      <c r="I6" s="16">
        <f t="shared" ref="I6:AB6" si="2">ROUND($A$3*I5/$B$3,2)</f>
        <v>35092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11729.24</v>
      </c>
      <c r="AZ6" s="16" t="s">
        <v>3</v>
      </c>
      <c r="BA6" s="16">
        <f>ROUND($AY$6*BA5/$AZ$5,2)</f>
        <v>11729.24</v>
      </c>
      <c r="BB6" s="16">
        <f>ROUND($AY$6*BB5/$AZ$5,2)</f>
        <v>11729.24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3"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1893</v>
      </c>
      <c r="I9" s="2190" t="s">
        <v>3058</v>
      </c>
      <c r="J9" s="983"/>
      <c r="K9" s="2190"/>
      <c r="L9" s="983"/>
      <c r="M9" s="2190"/>
      <c r="N9" s="983"/>
      <c r="O9" s="2190"/>
      <c r="P9" s="983"/>
      <c r="Q9" s="2190"/>
      <c r="R9" s="983"/>
      <c r="S9" s="2190"/>
      <c r="T9" s="983"/>
      <c r="U9" s="2190"/>
      <c r="V9" s="983"/>
      <c r="W9" s="2190"/>
      <c r="X9" s="2191"/>
      <c r="Y9" s="2190"/>
      <c r="Z9" s="983"/>
      <c r="AA9" s="2190"/>
      <c r="AB9" s="983"/>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2.75">
      <c r="A10" s="2181"/>
      <c r="B10" s="2181"/>
      <c r="C10" s="2181"/>
      <c r="D10" s="2181"/>
      <c r="E10" s="2181"/>
      <c r="F10" s="2181"/>
      <c r="G10" s="1294"/>
      <c r="H10" s="28"/>
      <c r="I10" s="2190" t="s">
        <v>6</v>
      </c>
      <c r="J10" s="983"/>
      <c r="K10" s="2196"/>
      <c r="L10" s="983"/>
      <c r="M10" s="2196"/>
      <c r="N10" s="983"/>
      <c r="O10" s="2196"/>
      <c r="P10" s="983"/>
      <c r="Q10" s="2196"/>
      <c r="R10" s="983"/>
      <c r="S10" s="2196"/>
      <c r="T10" s="983"/>
      <c r="U10" s="2196"/>
      <c r="V10" s="983"/>
      <c r="W10" s="2196"/>
      <c r="X10" s="983"/>
      <c r="Y10" s="2196"/>
      <c r="Z10" s="983"/>
      <c r="AA10" s="2196"/>
      <c r="AB10" s="983"/>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f>K9</f>
        <v>0</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3059</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标准厂房</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43" t="s">
        <v>3234</v>
      </c>
      <c r="B13" s="2214">
        <f>B14+B15+B16</f>
        <v>53655.270000000004</v>
      </c>
      <c r="C13" s="2943" t="s">
        <v>3056</v>
      </c>
      <c r="D13" s="2212" t="s">
        <v>3057</v>
      </c>
      <c r="E13" s="16">
        <f>IF($C$3="是",ROUND($A$3*G13/$B$3,2),ROUND($A$3*(G13-AT13)/$B$3,2))</f>
        <v>35092</v>
      </c>
      <c r="F13" s="32"/>
      <c r="G13" s="33">
        <f>H13+AC13+AT13</f>
        <v>17933.88</v>
      </c>
      <c r="H13" s="20">
        <f>SUMIF(I$12:AB$12,"总值",I13:AB13)</f>
        <v>17933.88</v>
      </c>
      <c r="I13" s="2213">
        <v>17933.88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总建筑面积</v>
      </c>
      <c r="AW13" s="11">
        <f t="shared" si="6"/>
        <v>53655.270000000004</v>
      </c>
      <c r="AX13" s="11" t="str">
        <f t="shared" si="6"/>
        <v>工业厂房</v>
      </c>
      <c r="AY13" s="1808">
        <f>ROUND($AY$6*AZ13/$AZ$5,2)</f>
        <v>11729.24</v>
      </c>
      <c r="AZ13" s="16">
        <f>BA13+BL13</f>
        <v>17933.88</v>
      </c>
      <c r="BA13" s="16">
        <f>SUM(BB13:BK13)</f>
        <v>17933.88</v>
      </c>
      <c r="BB13" s="16">
        <f>IF($D13="是",I13-J13,0)</f>
        <v>17933.88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t="s">
        <v>3235</v>
      </c>
      <c r="B14" s="1274">
        <v>17787.509999999998</v>
      </c>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2幢</v>
      </c>
      <c r="AW14" s="11">
        <f t="shared" si="6"/>
        <v>17787.509999999998</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t="s">
        <v>3236</v>
      </c>
      <c r="B15" s="2214">
        <f>I13</f>
        <v>17933.88</v>
      </c>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t="str">
        <f t="shared" si="6"/>
        <v>6幢</v>
      </c>
      <c r="AW15" s="11">
        <f t="shared" si="6"/>
        <v>17933.88</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t="s">
        <v>3237</v>
      </c>
      <c r="B16" s="1274">
        <v>17933.88</v>
      </c>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t="str">
        <f t="shared" si="6"/>
        <v>7幢</v>
      </c>
      <c r="AW16" s="11">
        <f t="shared" si="6"/>
        <v>17933.88</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064" t="s">
        <v>1933</v>
      </c>
      <c r="B2" s="3064"/>
      <c r="C2" s="3064"/>
      <c r="D2" s="969" t="s">
        <v>1909</v>
      </c>
      <c r="E2" s="2226" t="s">
        <v>1910</v>
      </c>
      <c r="F2" s="1394"/>
      <c r="G2" s="2227"/>
      <c r="H2" s="2228"/>
      <c r="I2" s="2229" t="s">
        <v>1934</v>
      </c>
      <c r="J2" s="1394"/>
      <c r="K2" s="1394"/>
      <c r="L2" s="1394"/>
      <c r="M2" s="1394"/>
      <c r="N2" s="1429"/>
      <c r="O2" s="1394"/>
      <c r="P2" s="1394"/>
    </row>
    <row r="3" spans="1:16" ht="15.75" thickBot="1">
      <c r="A3" s="3065" t="s">
        <v>1907</v>
      </c>
      <c r="B3" s="3065"/>
      <c r="C3" s="3065"/>
      <c r="D3" s="46">
        <f>'数据-基础表'!AY6</f>
        <v>11729.24</v>
      </c>
      <c r="E3" s="46">
        <f>'数据-基础表'!AZ5</f>
        <v>17933.88</v>
      </c>
      <c r="F3" s="1394"/>
      <c r="G3" s="1401"/>
      <c r="H3" s="1249" t="s">
        <v>1908</v>
      </c>
      <c r="I3" s="55">
        <f>ROUND('数据-基础表'!B3/'数据-基础表'!A3,2)</f>
        <v>0.51</v>
      </c>
      <c r="J3" s="1394"/>
      <c r="K3" s="1394"/>
      <c r="L3" s="1394"/>
      <c r="M3" s="1394"/>
      <c r="N3" s="1429"/>
      <c r="O3" s="1394"/>
      <c r="P3" s="1394"/>
    </row>
    <row r="4" spans="1:16" ht="15">
      <c r="A4" s="3066"/>
      <c r="B4" s="3067"/>
      <c r="C4" s="3068"/>
      <c r="D4" s="2230" t="s">
        <v>1909</v>
      </c>
      <c r="E4" s="2231" t="s">
        <v>1910</v>
      </c>
      <c r="F4" s="1394"/>
      <c r="G4" s="2232" t="s">
        <v>1935</v>
      </c>
      <c r="H4" s="1249" t="s">
        <v>1915</v>
      </c>
      <c r="I4" s="55">
        <f>ROUND(SUMIF('数据-基础表'!I9:AS9,"地上",'数据-基础表'!I5:AS5)/'数据-基础表'!A3,2)</f>
        <v>0.51</v>
      </c>
      <c r="J4" s="1394"/>
      <c r="K4" s="1394"/>
      <c r="L4" s="1394"/>
      <c r="M4" s="1394"/>
      <c r="N4" s="1429"/>
      <c r="O4" s="1394"/>
      <c r="P4" s="1394"/>
    </row>
    <row r="5" spans="1:16">
      <c r="A5" s="47" t="s">
        <v>1911</v>
      </c>
      <c r="B5" s="3069" t="s">
        <v>1912</v>
      </c>
      <c r="C5" s="3069"/>
      <c r="D5" s="48">
        <f>ROUND($D$3*E5/$E$3,2)</f>
        <v>0</v>
      </c>
      <c r="E5" s="49">
        <f>SUMIF('数据-基础表'!$11:$11,"住宅",'数据-基础表'!$5:$5)</f>
        <v>0</v>
      </c>
      <c r="F5" s="1394"/>
      <c r="G5" s="1401"/>
      <c r="H5" s="1249" t="s">
        <v>1908</v>
      </c>
      <c r="I5" s="55">
        <f>ROUND(E31/D31,2)</f>
        <v>1.53</v>
      </c>
      <c r="J5" s="1394"/>
      <c r="K5" s="1394"/>
      <c r="L5" s="1394"/>
      <c r="M5" s="1394"/>
      <c r="N5" s="1394"/>
      <c r="O5" s="1394"/>
      <c r="P5" s="1394"/>
    </row>
    <row r="6" spans="1:16" ht="15" thickBot="1">
      <c r="A6" s="2233"/>
      <c r="B6" s="3069" t="s">
        <v>1913</v>
      </c>
      <c r="C6" s="3069"/>
      <c r="D6" s="48">
        <f>ROUND($D$3*E6/$E$3,2)</f>
        <v>11729.24</v>
      </c>
      <c r="E6" s="49">
        <f>E3-E5</f>
        <v>17933.88</v>
      </c>
      <c r="F6" s="1394"/>
      <c r="G6" s="2234" t="s">
        <v>1914</v>
      </c>
      <c r="H6" s="1401" t="s">
        <v>1915</v>
      </c>
      <c r="I6" s="941">
        <f>ROUND(F31/D31,2)</f>
        <v>1.53</v>
      </c>
      <c r="J6" s="1394"/>
      <c r="K6" s="1394"/>
      <c r="L6" s="1394"/>
      <c r="M6" s="1394"/>
      <c r="N6" s="1394"/>
      <c r="O6" s="1394"/>
      <c r="P6" s="1394"/>
    </row>
    <row r="7" spans="1:16" ht="15">
      <c r="A7" s="3061"/>
      <c r="B7" s="3062"/>
      <c r="C7" s="3063"/>
      <c r="D7" s="2230" t="s">
        <v>1909</v>
      </c>
      <c r="E7" s="2235" t="s">
        <v>1916</v>
      </c>
      <c r="F7" s="1394"/>
      <c r="G7" s="2227" t="s">
        <v>1917</v>
      </c>
      <c r="H7" s="64"/>
      <c r="I7" s="419"/>
      <c r="J7" s="1394"/>
      <c r="K7" s="1394"/>
      <c r="L7" s="1394"/>
      <c r="M7" s="1394"/>
      <c r="N7" s="1394"/>
      <c r="O7" s="1394"/>
      <c r="P7" s="1394"/>
    </row>
    <row r="8" spans="1:16">
      <c r="A8" s="47" t="s">
        <v>1918</v>
      </c>
      <c r="B8" s="50" t="s">
        <v>1919</v>
      </c>
      <c r="C8" s="48" t="s">
        <v>1920</v>
      </c>
      <c r="D8" s="48">
        <f t="shared" ref="D8:D15" si="0">ROUND($D$3*E8/$E$3,2)</f>
        <v>11729.24</v>
      </c>
      <c r="E8" s="51">
        <f>SUMIF('数据-基础表'!BB10:BK10,"地上",'数据-基础表'!BB5:BK5)</f>
        <v>17933.88</v>
      </c>
      <c r="F8" s="1394"/>
      <c r="G8" s="2236"/>
      <c r="H8" s="2236"/>
      <c r="I8" s="1394"/>
      <c r="J8" s="1394"/>
      <c r="K8" s="1394"/>
      <c r="L8" s="1394"/>
      <c r="M8" s="1394"/>
      <c r="N8" s="1394"/>
      <c r="O8" s="1394"/>
      <c r="P8" s="1394"/>
    </row>
    <row r="9" spans="1:16">
      <c r="A9" s="2237"/>
      <c r="B9" s="2238"/>
      <c r="C9" s="48" t="s">
        <v>1921</v>
      </c>
      <c r="D9" s="48">
        <f t="shared" si="0"/>
        <v>0</v>
      </c>
      <c r="E9" s="52">
        <v>0</v>
      </c>
      <c r="F9" s="1394"/>
      <c r="G9" s="2236"/>
      <c r="H9" s="2236"/>
      <c r="I9" s="1394"/>
      <c r="J9" s="1394"/>
      <c r="K9" s="1394"/>
      <c r="L9" s="1394"/>
      <c r="M9" s="1394"/>
      <c r="N9" s="1394"/>
      <c r="O9" s="1394"/>
      <c r="P9" s="1394"/>
    </row>
    <row r="10" spans="1:16">
      <c r="A10" s="2237"/>
      <c r="B10" s="2238"/>
      <c r="C10" s="48" t="s">
        <v>1930</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1922</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1923</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1924</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1925</v>
      </c>
      <c r="D16" s="50">
        <f>SUM(D8:D15)</f>
        <v>11729.24</v>
      </c>
      <c r="E16" s="53">
        <f>SUM(E8:E15)</f>
        <v>17933.88</v>
      </c>
      <c r="F16" s="1394"/>
      <c r="G16" s="2236"/>
      <c r="H16" s="2239" t="s">
        <v>1937</v>
      </c>
      <c r="I16" s="2240"/>
      <c r="J16" s="1394"/>
      <c r="K16" s="3058" t="s">
        <v>1937</v>
      </c>
      <c r="L16" s="3059"/>
      <c r="M16" s="3059"/>
      <c r="N16" s="3059"/>
      <c r="O16" s="3059"/>
      <c r="P16" s="3060"/>
    </row>
    <row r="17" spans="1:19" ht="15">
      <c r="A17" s="2241" t="s">
        <v>1938</v>
      </c>
      <c r="B17" s="2242" t="s">
        <v>1939</v>
      </c>
      <c r="C17" s="2243" t="s">
        <v>1940</v>
      </c>
      <c r="D17" s="2244" t="s">
        <v>1928</v>
      </c>
      <c r="E17" s="2245" t="s">
        <v>1929</v>
      </c>
      <c r="F17" s="2246"/>
      <c r="G17" s="2247"/>
      <c r="H17" s="2248" t="s">
        <v>1941</v>
      </c>
      <c r="I17" s="2249" t="s">
        <v>1926</v>
      </c>
      <c r="J17" s="1394"/>
      <c r="K17" s="3055" t="s">
        <v>1942</v>
      </c>
      <c r="L17" s="3056"/>
      <c r="M17" s="3057"/>
      <c r="N17" s="3055" t="s">
        <v>1943</v>
      </c>
      <c r="O17" s="3056"/>
      <c r="P17" s="3057"/>
      <c r="R17" s="2227" t="s">
        <v>1944</v>
      </c>
      <c r="S17" s="64"/>
    </row>
    <row r="18" spans="1:19" ht="15">
      <c r="A18" s="2237"/>
      <c r="B18" s="2250"/>
      <c r="C18" s="2251"/>
      <c r="D18" s="2252"/>
      <c r="E18" s="2253" t="s">
        <v>1945</v>
      </c>
      <c r="F18" s="2254" t="s">
        <v>1946</v>
      </c>
      <c r="G18" s="2255" t="s">
        <v>1947</v>
      </c>
      <c r="H18" s="1264" t="s">
        <v>1948</v>
      </c>
      <c r="I18" s="2256" t="s">
        <v>1949</v>
      </c>
      <c r="J18" s="1394"/>
      <c r="K18" s="1264" t="s">
        <v>1950</v>
      </c>
      <c r="L18" s="2257" t="s">
        <v>1951</v>
      </c>
      <c r="M18" s="1048" t="s">
        <v>1952</v>
      </c>
      <c r="N18" s="1264" t="s">
        <v>1950</v>
      </c>
      <c r="O18" s="2257" t="s">
        <v>1951</v>
      </c>
      <c r="P18" s="1048" t="s">
        <v>1952</v>
      </c>
      <c r="R18" s="1249" t="s">
        <v>1953</v>
      </c>
      <c r="S18" s="1249" t="s">
        <v>1954</v>
      </c>
    </row>
    <row r="19" spans="1:19">
      <c r="A19" s="2258"/>
      <c r="B19" s="50" t="s">
        <v>1927</v>
      </c>
      <c r="C19" s="2944" t="s">
        <v>3246</v>
      </c>
      <c r="D19" s="48">
        <f>ROUND($D$3*E19/$E$3,2)</f>
        <v>7661.85</v>
      </c>
      <c r="E19" s="56">
        <f t="shared" ref="E19:E26" si="1">SUM(F19:G19)</f>
        <v>11714.880000000001</v>
      </c>
      <c r="F19" s="57">
        <f>E3-F20</f>
        <v>11714.880000000001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7661.85</v>
      </c>
      <c r="S19" s="1250">
        <f t="shared" si="5"/>
        <v>11714.880000000001</v>
      </c>
    </row>
    <row r="20" spans="1:19">
      <c r="A20" s="2262"/>
      <c r="B20" s="50" t="s">
        <v>1955</v>
      </c>
      <c r="C20" s="2944" t="s">
        <v>3247</v>
      </c>
      <c r="D20" s="48">
        <f t="shared" ref="D20:D26" si="6">ROUND($D$3*E20/$E$3,2)</f>
        <v>4067.39</v>
      </c>
      <c r="E20" s="56">
        <f t="shared" si="1"/>
        <v>6219</v>
      </c>
      <c r="F20" s="57">
        <f>土地案例!F23</f>
        <v>6219</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4067.39</v>
      </c>
      <c r="S20" s="1250">
        <f t="shared" si="5"/>
        <v>6219</v>
      </c>
    </row>
    <row r="21" spans="1:19">
      <c r="A21" s="2262"/>
      <c r="B21" s="50" t="s">
        <v>1955</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1956</v>
      </c>
      <c r="D27" s="1395">
        <f>SUM(D19:D26)</f>
        <v>11729.24</v>
      </c>
      <c r="E27" s="1396">
        <f>IF(SUM(E19:E26)='数据-基础表'!BA5,SUM(E19:E26),IF(F27="地上面积有误","面积有误","地下面积有误"))</f>
        <v>17933.88</v>
      </c>
      <c r="F27" s="1395">
        <f>IF(SUM(F19:F26)=E8,SUM(F19:F26),"地上面积有误")</f>
        <v>17933.88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11729.24</v>
      </c>
      <c r="S27" s="1249">
        <f>IF(SUM(S19:S26)=$E$3,SUM(S19:S26),SUM(S19:S26)&amp;"误差"&amp;ROUND(SUM(S19:S26)-E3,2))</f>
        <v>17933.88</v>
      </c>
    </row>
    <row r="28" spans="1:19">
      <c r="A28" s="2262"/>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1957</v>
      </c>
      <c r="C29" s="2266"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1960</v>
      </c>
      <c r="D31" s="728">
        <f>D27+D30</f>
        <v>11729.24</v>
      </c>
      <c r="E31" s="728">
        <f>E27+E30</f>
        <v>17933.88</v>
      </c>
      <c r="F31" s="729">
        <f>F27+F30</f>
        <v>17933.88</v>
      </c>
      <c r="G31" s="730">
        <f>G27+G30</f>
        <v>0</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35" sqref="Q3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1963</v>
      </c>
      <c r="B2" s="1268">
        <f>项目基本情况!D3</f>
        <v>43223</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1970</v>
      </c>
      <c r="B5" s="2289" t="s">
        <v>1971</v>
      </c>
      <c r="C5" s="2290" t="s">
        <v>1972</v>
      </c>
      <c r="D5" s="2291" t="s">
        <v>1973</v>
      </c>
      <c r="E5" s="1270" t="s">
        <v>1974</v>
      </c>
      <c r="F5" s="2292" t="s">
        <v>1975</v>
      </c>
      <c r="G5" s="1270" t="s">
        <v>1976</v>
      </c>
      <c r="H5" s="1270" t="s">
        <v>1977</v>
      </c>
      <c r="I5" s="1270" t="s">
        <v>1978</v>
      </c>
      <c r="J5" s="2293" t="s">
        <v>1979</v>
      </c>
      <c r="K5" s="2294" t="s">
        <v>1980</v>
      </c>
      <c r="L5" s="2295" t="s">
        <v>1981</v>
      </c>
      <c r="M5" s="2296" t="s">
        <v>1982</v>
      </c>
      <c r="N5" s="2297" t="s">
        <v>3060</v>
      </c>
      <c r="O5" s="2295" t="s">
        <v>1983</v>
      </c>
      <c r="P5" s="2298" t="s">
        <v>1984</v>
      </c>
      <c r="Q5" s="69" t="s">
        <v>1985</v>
      </c>
      <c r="R5" s="2299" t="s">
        <v>1986</v>
      </c>
      <c r="S5" s="2300" t="s">
        <v>1987</v>
      </c>
      <c r="T5" s="2301" t="s">
        <v>1988</v>
      </c>
      <c r="U5" s="1269" t="s">
        <v>1989</v>
      </c>
      <c r="V5" s="1270" t="s">
        <v>1990</v>
      </c>
      <c r="W5" s="1270" t="s">
        <v>1991</v>
      </c>
      <c r="X5" s="71"/>
      <c r="Y5" s="70" t="s">
        <v>1992</v>
      </c>
      <c r="Z5" s="2302" t="s">
        <v>1989</v>
      </c>
      <c r="AA5" s="1270" t="s">
        <v>1990</v>
      </c>
      <c r="AB5" s="1270" t="s">
        <v>1991</v>
      </c>
      <c r="AC5" s="71"/>
      <c r="AD5" s="71" t="s">
        <v>1992</v>
      </c>
      <c r="AE5" s="1269" t="s">
        <v>1993</v>
      </c>
      <c r="AF5" s="1270" t="s">
        <v>1994</v>
      </c>
      <c r="AG5" s="70" t="s">
        <v>1995</v>
      </c>
      <c r="AH5" s="1269" t="s">
        <v>1996</v>
      </c>
      <c r="AI5" s="2302" t="s">
        <v>1997</v>
      </c>
      <c r="AJ5" s="2302" t="s">
        <v>1998</v>
      </c>
      <c r="AK5" s="1270" t="s">
        <v>1999</v>
      </c>
      <c r="AL5" s="1270" t="s">
        <v>2000</v>
      </c>
      <c r="AM5" s="70" t="s">
        <v>2001</v>
      </c>
      <c r="AN5" s="2303" t="s">
        <v>2002</v>
      </c>
      <c r="AO5" s="2073" t="s">
        <v>2003</v>
      </c>
      <c r="AP5" s="1251"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未出租</v>
      </c>
      <c r="B6" s="2306" t="str">
        <f>IF(A6=0,"","经营性")</f>
        <v>经营性</v>
      </c>
      <c r="C6" s="2307" t="s">
        <v>6</v>
      </c>
      <c r="D6" s="1053">
        <f>SUMIF(项目基本情况!D$12:I$12,C6,项目基本情况!D$14:I$14)</f>
        <v>50</v>
      </c>
      <c r="E6" s="1050">
        <f>IF(B6="","",SUMIF(项目基本情况!D$12:I$12,C6,项目基本情况!D$13:I$13))</f>
        <v>57222</v>
      </c>
      <c r="F6" s="72">
        <f>SUMIF(项目基本情况!D$12:I$12,C6,项目基本情况!D$15:I$15)</f>
        <v>38.35</v>
      </c>
      <c r="G6" s="73">
        <f>IF(ISERROR(ROUND(POWER(1+H6,D6-F6)*(POWER(1+H6,F6)-1)/(POWER(1+H6,D6)-1),3)),0,ROUND(POWER(1+H6,D6-F6)*(POWER(1+H6,F6)-1)/(POWER(1+H6,D6)-1),3))</f>
        <v>0.90500000000000003</v>
      </c>
      <c r="H6" s="801">
        <v>0.04</v>
      </c>
      <c r="I6" s="801">
        <v>4.4999999999999998E-2</v>
      </c>
      <c r="J6" s="74">
        <v>8.5000000000000006E-2</v>
      </c>
      <c r="K6" s="1253">
        <f>SUMIF('数据-汇总表'!C$19:C$33,A6,'数据-汇总表'!E$19:E$33)</f>
        <v>11714.880000000001</v>
      </c>
      <c r="L6" s="802">
        <v>2500</v>
      </c>
      <c r="M6" s="75">
        <f t="shared" ref="M6:M14" si="0">ROUND(K6*L6/10000,0)</f>
        <v>2929</v>
      </c>
      <c r="N6" s="800">
        <f>ROUND(1-(1-0%)*(2018-2013)/50,2)</f>
        <v>0.9</v>
      </c>
      <c r="O6" s="75" t="str">
        <f>IF($N$5="成新度","——",ROUND(M6*N6,0))</f>
        <v>——</v>
      </c>
      <c r="P6" s="76" t="str">
        <f>IF($N$5="成新度","——",M6-O6)</f>
        <v>——</v>
      </c>
      <c r="Q6" s="803">
        <v>0.1</v>
      </c>
      <c r="R6" s="77">
        <f ca="1">SUMIF('数据-汇总表'!C$19:C$33,A6,'数据-汇总表'!R$19:R$27)</f>
        <v>7661.85</v>
      </c>
      <c r="S6" s="54">
        <f>IF('数据-汇总表'!$I$17="按面积比例",SUMIF('数据-汇总表'!C$19:C$33,A6,'数据-汇总表'!K$19:K$33),SUMIF('数据-汇总表'!C$19:C$33,A6,'数据-汇总表'!N$19:N$33))</f>
        <v>0</v>
      </c>
      <c r="T6" s="1445">
        <f>ROUND($L$14*S6/10000,0)</f>
        <v>0</v>
      </c>
      <c r="U6" s="78">
        <v>0.8</v>
      </c>
      <c r="V6" s="79">
        <v>0.02</v>
      </c>
      <c r="W6" s="79">
        <v>0.1</v>
      </c>
      <c r="X6" s="1263"/>
      <c r="Y6" s="80">
        <f>N6</f>
        <v>0.9</v>
      </c>
      <c r="Z6" s="81"/>
      <c r="AA6" s="74"/>
      <c r="AB6" s="74"/>
      <c r="AC6" s="1263"/>
      <c r="AD6" s="82"/>
      <c r="AE6" s="1264">
        <f ca="1">IF(AN6="",0,SUMIF(INDIRECT("'"&amp;AN6&amp;"'"&amp;"!E:E"),$AE$5,INDIRECT("'"&amp;AN6&amp;"'"&amp;"!F:F")))</f>
        <v>38.35</v>
      </c>
      <c r="AF6" s="1806"/>
      <c r="AG6" s="146">
        <f>IF(AF6="",0,AE6-AF6)</f>
        <v>0</v>
      </c>
      <c r="AH6" s="83"/>
      <c r="AI6" s="85">
        <v>365</v>
      </c>
      <c r="AJ6" s="86"/>
      <c r="AK6" s="2979">
        <v>5.0000000000000001E-3</v>
      </c>
      <c r="AL6" s="88">
        <v>1.5E-3</v>
      </c>
      <c r="AM6" s="89">
        <v>0.01</v>
      </c>
      <c r="AN6" s="2308" t="s">
        <v>3265</v>
      </c>
      <c r="AO6" s="55">
        <f ca="1">SUMIF(INDIRECT("'"&amp;AN6&amp;"'"&amp;"!A:A"),"总价",INDIRECT("'"&amp;AN6&amp;"'"&amp;"!B:B"))</f>
        <v>5420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已出租</v>
      </c>
      <c r="B7" s="2306" t="str">
        <f t="shared" ref="B7:B13" si="1">IF(A7=0,"","经营性")</f>
        <v>经营性</v>
      </c>
      <c r="C7" s="2307" t="s">
        <v>6</v>
      </c>
      <c r="D7" s="1053">
        <f>SUMIF(项目基本情况!D$12:I$12,C7,项目基本情况!D$14:I$14)</f>
        <v>50</v>
      </c>
      <c r="E7" s="1050">
        <f>IF(B7="","",SUMIF(项目基本情况!D$12:I$12,C7,项目基本情况!D$13:I$13))</f>
        <v>57222</v>
      </c>
      <c r="F7" s="72">
        <f>SUMIF(项目基本情况!D$12:I$12,C7,项目基本情况!D$15:I$15)</f>
        <v>38.35</v>
      </c>
      <c r="G7" s="73">
        <f t="shared" ref="G7:G11" si="2">IF(ISERROR(ROUND(POWER(1+H7,D7-F7)*(POWER(1+H7,F7)-1)/(POWER(1+H7,D7)-1),3)),0,ROUND(POWER(1+H7,D7-F7)*(POWER(1+H7,F7)-1)/(POWER(1+H7,D7)-1),3))</f>
        <v>0.90500000000000003</v>
      </c>
      <c r="H7" s="801">
        <f>H6</f>
        <v>0.04</v>
      </c>
      <c r="I7" s="801">
        <f>I6</f>
        <v>4.4999999999999998E-2</v>
      </c>
      <c r="J7" s="74">
        <f>J6</f>
        <v>8.5000000000000006E-2</v>
      </c>
      <c r="K7" s="1253">
        <f>SUMIF('数据-汇总表'!C$19:C$33,A7,'数据-汇总表'!E$19:E$33)</f>
        <v>6219</v>
      </c>
      <c r="L7" s="802">
        <f>L6</f>
        <v>2500</v>
      </c>
      <c r="M7" s="75">
        <f t="shared" si="0"/>
        <v>1555</v>
      </c>
      <c r="N7" s="800">
        <f>N6</f>
        <v>0.9</v>
      </c>
      <c r="O7" s="75" t="str">
        <f t="shared" ref="O7:O14" si="3">IF($N$5="成新度","——",ROUND(M7*N7,0))</f>
        <v>——</v>
      </c>
      <c r="P7" s="76" t="str">
        <f t="shared" ref="P7:P14" si="4">IF($N$5="成新度","——",M7-O7)</f>
        <v>——</v>
      </c>
      <c r="Q7" s="803">
        <f>Q6</f>
        <v>0.1</v>
      </c>
      <c r="R7" s="77">
        <f ca="1">SUMIF('数据-汇总表'!C$19:C$33,A7,'数据-汇总表'!R$19:R$27)</f>
        <v>4067.39</v>
      </c>
      <c r="S7" s="54">
        <f>IF('数据-汇总表'!$I$17="按面积比例",SUMIF('数据-汇总表'!C$19:C$33,A7,'数据-汇总表'!K$19:K$33),SUMIF('数据-汇总表'!C$19:C$33,A7,'数据-汇总表'!N$19:N$33))</f>
        <v>0</v>
      </c>
      <c r="T7" s="1445">
        <f t="shared" ref="T7:T13" si="5">ROUND($L$14*S7/10000,0)</f>
        <v>0</v>
      </c>
      <c r="U7" s="78">
        <f>土地案例!N24</f>
        <v>0.7</v>
      </c>
      <c r="V7" s="79">
        <v>0.02</v>
      </c>
      <c r="W7" s="79">
        <v>0</v>
      </c>
      <c r="X7" s="1263"/>
      <c r="Y7" s="80">
        <f>Y6</f>
        <v>0.9</v>
      </c>
      <c r="Z7" s="81">
        <f>ROUND(U6*(1+AA7)^AF7,1)</f>
        <v>0.9</v>
      </c>
      <c r="AA7" s="74">
        <f>V6</f>
        <v>0.02</v>
      </c>
      <c r="AB7" s="74">
        <f>W6</f>
        <v>0.1</v>
      </c>
      <c r="AC7" s="1263"/>
      <c r="AD7" s="82">
        <f>ROUND(1-(1-0%)*(2023-2013)/50,2)</f>
        <v>0.8</v>
      </c>
      <c r="AE7" s="1264">
        <f t="shared" ref="AE7:AE13" ca="1" si="6">IF(AN7="",0,SUMIF(INDIRECT("'"&amp;AN7&amp;"'"&amp;"!E:E"),$AE$5,INDIRECT("'"&amp;AN7&amp;"'"&amp;"!F:F")))</f>
        <v>38.35</v>
      </c>
      <c r="AF7" s="2978">
        <f>土地案例!J22</f>
        <v>4.91</v>
      </c>
      <c r="AG7" s="146">
        <f t="shared" ref="AG7:AG13" ca="1" si="7">IF(AF7="",0,AE7-AF7)</f>
        <v>33.44</v>
      </c>
      <c r="AH7" s="83"/>
      <c r="AI7" s="85">
        <v>365</v>
      </c>
      <c r="AJ7" s="86"/>
      <c r="AK7" s="2979">
        <f>AK6</f>
        <v>5.0000000000000001E-3</v>
      </c>
      <c r="AL7" s="88">
        <f>AL6</f>
        <v>1.5E-3</v>
      </c>
      <c r="AM7" s="89">
        <f>AM6</f>
        <v>0.01</v>
      </c>
      <c r="AN7" s="2308" t="s">
        <v>3263</v>
      </c>
      <c r="AO7" s="55">
        <f t="shared" ref="AO7:AO13" ca="1" si="8">SUMIF(INDIRECT("'"&amp;AN7&amp;"'"&amp;"!A:A"),"总价",INDIRECT("'"&amp;AN7&amp;"'"&amp;"!B:B"))</f>
        <v>2952</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2007</v>
      </c>
      <c r="B14" s="2306" t="s">
        <v>2008</v>
      </c>
      <c r="C14" s="2311"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2009</v>
      </c>
      <c r="B15" s="2306" t="s">
        <v>2008</v>
      </c>
      <c r="C15" s="2311"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2011</v>
      </c>
      <c r="B16" s="97"/>
      <c r="C16" s="1007"/>
      <c r="D16" s="2313"/>
      <c r="E16" s="97"/>
      <c r="F16" s="97"/>
      <c r="G16" s="98">
        <f>ROUND(SUMPRODUCT(G6:G13,K6:K13)/SUMPRODUCT((G6:G13&gt;0)*(K6:K13)),3)</f>
        <v>0.90500000000000003</v>
      </c>
      <c r="H16" s="99">
        <f>ROUND(SUMPRODUCT(H6:H13,K6:K13)/SUMPRODUCT((H6:H13&gt;0)*(K6:K13)),3)</f>
        <v>0.04</v>
      </c>
      <c r="I16" s="100"/>
      <c r="J16" s="100"/>
      <c r="K16" s="101">
        <f>SUM(K6:K15)</f>
        <v>17933.88</v>
      </c>
      <c r="L16" s="102">
        <f>ROUND(M16*10000/SUM(K6:K14),0)</f>
        <v>2500</v>
      </c>
      <c r="M16" s="102">
        <f>SUM(M6:M14)</f>
        <v>4484</v>
      </c>
      <c r="N16" s="103">
        <f>ROUND(SUMPRODUCT(M6:M14,N6:N14)/M16,3)</f>
        <v>0.9</v>
      </c>
      <c r="O16" s="102">
        <f>SUM(O6:O14)</f>
        <v>0</v>
      </c>
      <c r="P16" s="102">
        <f>SUM(P6:P14)</f>
        <v>0</v>
      </c>
      <c r="Q16" s="104">
        <f>ROUND(SUMPRODUCT(Q6:Q13,K6:K13)/SUMPRODUCT((Q6:Q13&gt;0)*(K6:K13)),2)</f>
        <v>0.1</v>
      </c>
      <c r="R16" s="1257">
        <f ca="1">SUM(R6:R13)</f>
        <v>11729.24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2013</v>
      </c>
      <c r="B19" s="112">
        <v>0</v>
      </c>
      <c r="C19" s="2276" t="s">
        <v>2014</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2015</v>
      </c>
      <c r="B20" s="113">
        <v>1</v>
      </c>
      <c r="C20" s="2276" t="s">
        <v>2016</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2017</v>
      </c>
      <c r="B21" s="113">
        <v>1</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f ca="1">结果表!G19</f>
        <v>8189</v>
      </c>
    </row>
    <row r="22" spans="1:67" ht="14.25">
      <c r="A22" s="2316" t="s">
        <v>2018</v>
      </c>
      <c r="B22" s="114">
        <f>B19+B20</f>
        <v>1</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2019</v>
      </c>
      <c r="B23" s="114">
        <f>B19+B21</f>
        <v>1</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2020</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f ca="1">结果表!G19</f>
        <v>8189</v>
      </c>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2021</v>
      </c>
      <c r="B26" s="2319" t="s">
        <v>2022</v>
      </c>
      <c r="C26" s="2320" t="s">
        <v>2023</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2024</v>
      </c>
      <c r="B27" s="116">
        <v>430</v>
      </c>
      <c r="C27" s="1766" t="s">
        <v>2025</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2026</v>
      </c>
      <c r="B28" s="2971">
        <v>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2027</v>
      </c>
      <c r="B29" s="121">
        <f>ROUND(B28*K16/10000,0)</f>
        <v>0</v>
      </c>
      <c r="C29" s="1766" t="s">
        <v>2028</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2029</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2030</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2031</v>
      </c>
      <c r="B32" s="724">
        <v>0</v>
      </c>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2032</v>
      </c>
      <c r="B33" s="725">
        <v>0.03</v>
      </c>
      <c r="C33" s="1765" t="s">
        <v>2033</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2034</v>
      </c>
      <c r="B34" s="122">
        <v>0</v>
      </c>
      <c r="C34" s="1765" t="s">
        <v>2035</v>
      </c>
      <c r="D34" s="2277" t="s">
        <v>2036</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2037</v>
      </c>
      <c r="B35" s="119">
        <v>200</v>
      </c>
      <c r="C35" s="1765" t="s">
        <v>2038</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2039</v>
      </c>
      <c r="B36" s="123">
        <v>1.4999999999999999E-2</v>
      </c>
      <c r="C36" s="1765" t="s">
        <v>2040</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2041</v>
      </c>
      <c r="B37" s="124">
        <v>0.03</v>
      </c>
      <c r="C37" s="1765" t="s">
        <v>2042</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2043</v>
      </c>
      <c r="B38" s="122">
        <v>0.03</v>
      </c>
      <c r="C38" s="1765" t="s">
        <v>2042</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2044</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2045</v>
      </c>
      <c r="B40" s="1302">
        <f ca="1">存贷款利率!G1</f>
        <v>4.3499999999999997E-2</v>
      </c>
      <c r="C40" s="1765" t="s">
        <v>2046</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2047</v>
      </c>
      <c r="B41" s="125">
        <f>B42+B43</f>
        <v>5.6000000000000001E-2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2048</v>
      </c>
      <c r="B42" s="2968">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2049</v>
      </c>
      <c r="B43" s="127">
        <f>B42*(B44+B45+B46)+B47</f>
        <v>6.000000000000001E-3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2050</v>
      </c>
      <c r="B44" s="128">
        <v>7.0000000000000007E-2</v>
      </c>
      <c r="C44" s="1765" t="s">
        <v>2051</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2052</v>
      </c>
      <c r="B45" s="126">
        <v>0.03</v>
      </c>
      <c r="C45" s="1766" t="s">
        <v>2053</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2054</v>
      </c>
      <c r="B46" s="126">
        <v>0.02</v>
      </c>
      <c r="C46" s="1766" t="s">
        <v>2055</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2056</v>
      </c>
      <c r="B47" s="129">
        <v>0</v>
      </c>
      <c r="C47" s="1766" t="s">
        <v>2057</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2058</v>
      </c>
      <c r="B48" s="2969">
        <v>0.03</v>
      </c>
      <c r="C48" s="1773" t="s">
        <v>2059</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2060</v>
      </c>
      <c r="B49" s="126">
        <v>5.0000000000000001E-4</v>
      </c>
      <c r="C49" s="1773" t="s">
        <v>2061</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2062</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2063</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2064</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2065</v>
      </c>
      <c r="B53" s="2335" t="s">
        <v>56</v>
      </c>
      <c r="C53" s="1429" t="s">
        <v>2066</v>
      </c>
      <c r="D53" s="2336" t="s">
        <v>2067</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2068</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2069</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2070</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2071</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2072</v>
      </c>
      <c r="B58" s="84">
        <v>3</v>
      </c>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2073</v>
      </c>
      <c r="B59" s="2970">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2074</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2075</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2076</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2077</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70" t="s">
        <v>2078</v>
      </c>
      <c r="B1" s="3071"/>
      <c r="C1" s="3071"/>
      <c r="D1" s="3071"/>
      <c r="E1" s="3071"/>
      <c r="F1" s="3071"/>
      <c r="G1" s="307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27">
      <c r="A3" s="414" t="s">
        <v>2081</v>
      </c>
      <c r="B3" s="1270" t="s">
        <v>2082</v>
      </c>
      <c r="C3" s="2369"/>
      <c r="D3" s="2370"/>
      <c r="E3" s="430" t="s">
        <v>2081</v>
      </c>
      <c r="F3" s="2371" t="s">
        <v>2083</v>
      </c>
      <c r="G3" s="2945" t="s">
        <v>3062</v>
      </c>
      <c r="H3" s="2367"/>
      <c r="I3" s="2367"/>
      <c r="J3" s="2367"/>
      <c r="K3" s="2367"/>
      <c r="L3" s="2367"/>
      <c r="M3" s="2367"/>
      <c r="N3" s="2367"/>
      <c r="O3" s="2367"/>
      <c r="P3" s="2367"/>
      <c r="Q3" s="2367"/>
      <c r="R3" s="2367"/>
    </row>
    <row r="4" spans="1:29" ht="15">
      <c r="A4" s="430"/>
      <c r="B4" s="1797" t="s">
        <v>2084</v>
      </c>
      <c r="C4" s="2372"/>
      <c r="D4" s="2370"/>
      <c r="E4" s="2373"/>
      <c r="F4" s="42" t="s">
        <v>2085</v>
      </c>
      <c r="G4" s="2946" t="s">
        <v>3063</v>
      </c>
      <c r="H4" s="2367"/>
      <c r="I4" s="2367"/>
      <c r="J4" s="2367"/>
      <c r="K4" s="2367"/>
      <c r="L4" s="2367"/>
      <c r="M4" s="2367"/>
      <c r="N4" s="2367"/>
      <c r="O4" s="2367"/>
      <c r="P4" s="2367"/>
      <c r="Q4" s="2367"/>
      <c r="R4" s="2367"/>
    </row>
    <row r="5" spans="1:29" ht="15">
      <c r="A5" s="430"/>
      <c r="B5" s="1797" t="s">
        <v>2086</v>
      </c>
      <c r="C5" s="2372"/>
      <c r="D5" s="2370"/>
      <c r="E5" s="2373"/>
      <c r="F5" s="1797" t="s">
        <v>2087</v>
      </c>
      <c r="G5" s="2946" t="s">
        <v>3238</v>
      </c>
      <c r="H5" s="2367"/>
      <c r="I5" s="2367"/>
      <c r="J5" s="2367"/>
      <c r="K5" s="2367"/>
      <c r="L5" s="2367"/>
      <c r="M5" s="2367"/>
      <c r="N5" s="2367"/>
      <c r="O5" s="2367"/>
      <c r="P5" s="2367"/>
      <c r="Q5" s="2367"/>
      <c r="R5" s="2367"/>
    </row>
    <row r="6" spans="1:29" ht="15">
      <c r="A6" s="430"/>
      <c r="B6" s="1797" t="s">
        <v>2088</v>
      </c>
      <c r="C6" s="2374"/>
      <c r="D6" s="2370"/>
      <c r="E6" s="2373"/>
      <c r="F6" s="1797" t="s">
        <v>2089</v>
      </c>
      <c r="G6" s="2946" t="s">
        <v>3065</v>
      </c>
      <c r="H6" s="2367"/>
      <c r="I6" s="2367"/>
      <c r="J6" s="2367"/>
      <c r="K6" s="2367"/>
      <c r="L6" s="2367"/>
      <c r="M6" s="2367"/>
      <c r="N6" s="2367"/>
      <c r="O6" s="2367"/>
      <c r="P6" s="2367"/>
      <c r="Q6" s="2367"/>
      <c r="R6" s="2367"/>
    </row>
    <row r="7" spans="1:29" ht="15.75" thickBot="1">
      <c r="A7" s="430"/>
      <c r="B7" s="1797" t="s">
        <v>2087</v>
      </c>
      <c r="C7" s="2374"/>
      <c r="D7" s="2375"/>
      <c r="E7" s="2376"/>
      <c r="F7" s="2377" t="s">
        <v>2090</v>
      </c>
      <c r="G7" s="2947" t="s">
        <v>3063</v>
      </c>
      <c r="H7" s="2367"/>
      <c r="I7" s="2367"/>
      <c r="J7" s="2367"/>
      <c r="K7" s="2367"/>
      <c r="L7" s="2367"/>
      <c r="M7" s="2367"/>
      <c r="N7" s="2367"/>
      <c r="O7" s="2367"/>
      <c r="P7" s="2367"/>
      <c r="Q7" s="2367"/>
      <c r="R7" s="2367"/>
    </row>
    <row r="8" spans="1:29" ht="15">
      <c r="A8" s="430"/>
      <c r="B8" s="1797" t="s">
        <v>2089</v>
      </c>
      <c r="C8" s="2374"/>
      <c r="D8" s="2375"/>
      <c r="E8" s="2375"/>
      <c r="F8" s="1135"/>
      <c r="G8" s="1135"/>
      <c r="H8" s="2367"/>
      <c r="I8" s="2367"/>
      <c r="J8" s="2367"/>
      <c r="K8" s="2367"/>
      <c r="L8" s="2367"/>
      <c r="M8" s="2367"/>
      <c r="N8" s="2367"/>
      <c r="O8" s="2367"/>
      <c r="P8" s="2367"/>
      <c r="Q8" s="2367"/>
      <c r="R8" s="2367"/>
    </row>
    <row r="9" spans="1:29" ht="15">
      <c r="A9" s="430"/>
      <c r="B9" s="1797" t="s">
        <v>2091</v>
      </c>
      <c r="C9" s="2372"/>
      <c r="D9" s="2370"/>
      <c r="E9" s="2375"/>
      <c r="F9" s="1135"/>
      <c r="G9" s="1135"/>
      <c r="H9" s="2367"/>
      <c r="I9" s="2367"/>
      <c r="J9" s="2367"/>
      <c r="K9" s="2367"/>
      <c r="L9" s="2367"/>
      <c r="M9" s="2367"/>
      <c r="N9" s="2367"/>
      <c r="O9" s="2367"/>
      <c r="P9" s="2367"/>
      <c r="Q9" s="2367"/>
      <c r="R9" s="2367"/>
    </row>
    <row r="10" spans="1:29" s="117" customFormat="1" ht="15.75" thickBot="1">
      <c r="A10" s="2378"/>
      <c r="B10" s="2379" t="s">
        <v>2092</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2093</v>
      </c>
      <c r="B13" s="2385"/>
      <c r="C13" s="2385"/>
      <c r="D13" s="2392"/>
      <c r="E13" s="2385"/>
      <c r="F13" s="2385"/>
      <c r="G13" s="2385"/>
    </row>
    <row r="14" spans="1:29" ht="15.75" thickBot="1">
      <c r="A14" s="2396"/>
      <c r="B14" s="2397"/>
      <c r="C14" s="2398" t="s">
        <v>2094</v>
      </c>
      <c r="D14" s="2370"/>
      <c r="E14" s="2399"/>
      <c r="F14" s="2399"/>
      <c r="G14" s="2364" t="s">
        <v>2095</v>
      </c>
    </row>
    <row r="15" spans="1:29" ht="27">
      <c r="A15" s="68" t="s">
        <v>2096</v>
      </c>
      <c r="B15" s="1269" t="s">
        <v>2082</v>
      </c>
      <c r="C15" s="2400">
        <f>C3</f>
        <v>0</v>
      </c>
      <c r="D15" s="2370"/>
      <c r="E15" s="2401" t="s">
        <v>2097</v>
      </c>
      <c r="F15" s="1269" t="s">
        <v>2098</v>
      </c>
      <c r="G15" s="134" t="str">
        <f>G3</f>
        <v>较好</v>
      </c>
    </row>
    <row r="16" spans="1:29" ht="15">
      <c r="A16" s="644"/>
      <c r="B16" s="2402" t="s">
        <v>2084</v>
      </c>
      <c r="C16" s="2403">
        <f>C4</f>
        <v>0</v>
      </c>
      <c r="D16" s="2370"/>
      <c r="E16" s="2404"/>
      <c r="F16" s="2405" t="s">
        <v>2085</v>
      </c>
      <c r="G16" s="135" t="str">
        <f>G4</f>
        <v>较好</v>
      </c>
    </row>
    <row r="17" spans="1:18" ht="15">
      <c r="A17" s="644"/>
      <c r="B17" s="2402" t="s">
        <v>2086</v>
      </c>
      <c r="C17" s="2403">
        <f>C5</f>
        <v>0</v>
      </c>
      <c r="D17" s="2375"/>
      <c r="E17" s="2404"/>
      <c r="F17" s="2405" t="s">
        <v>2099</v>
      </c>
      <c r="G17" s="2948" t="s">
        <v>3066</v>
      </c>
    </row>
    <row r="18" spans="1:18" ht="15">
      <c r="A18" s="644"/>
      <c r="B18" s="2405" t="s">
        <v>2088</v>
      </c>
      <c r="C18" s="135">
        <f>C6</f>
        <v>0</v>
      </c>
      <c r="D18" s="2375"/>
      <c r="E18" s="2404"/>
      <c r="F18" s="2405" t="s">
        <v>2090</v>
      </c>
      <c r="G18" s="135" t="str">
        <f>G7</f>
        <v>较好</v>
      </c>
    </row>
    <row r="19" spans="1:18" ht="15">
      <c r="A19" s="644"/>
      <c r="B19" s="2405" t="s">
        <v>2100</v>
      </c>
      <c r="C19" s="1571"/>
      <c r="D19" s="2370"/>
      <c r="E19" s="2404"/>
      <c r="F19" s="1797" t="s">
        <v>2087</v>
      </c>
      <c r="G19" s="135" t="str">
        <f>G5</f>
        <v>一般</v>
      </c>
    </row>
    <row r="20" spans="1:18" ht="15">
      <c r="A20" s="644"/>
      <c r="B20" s="2405" t="s">
        <v>2101</v>
      </c>
      <c r="C20" s="2403">
        <f>C9</f>
        <v>0</v>
      </c>
      <c r="D20" s="2375"/>
      <c r="E20" s="2404"/>
      <c r="F20" s="1797" t="s">
        <v>2102</v>
      </c>
      <c r="G20" s="135" t="str">
        <f>G6</f>
        <v>六通</v>
      </c>
    </row>
    <row r="21" spans="1:18" ht="15">
      <c r="A21" s="644"/>
      <c r="B21" s="1797" t="s">
        <v>2087</v>
      </c>
      <c r="C21" s="135">
        <f>C7</f>
        <v>0</v>
      </c>
      <c r="D21" s="2370"/>
      <c r="E21" s="2404"/>
      <c r="F21" s="2405" t="s">
        <v>2103</v>
      </c>
      <c r="G21" s="2406" t="s">
        <v>3239</v>
      </c>
    </row>
    <row r="22" spans="1:18" ht="13.5" customHeight="1">
      <c r="A22" s="644"/>
      <c r="B22" s="1797" t="s">
        <v>2089</v>
      </c>
      <c r="C22" s="135">
        <f>C8</f>
        <v>0</v>
      </c>
      <c r="D22" s="2370"/>
      <c r="E22" s="2404"/>
      <c r="F22" s="2405" t="s">
        <v>2092</v>
      </c>
      <c r="G22" s="2948" t="s">
        <v>3240</v>
      </c>
    </row>
    <row r="23" spans="1:18" s="2367" customFormat="1" ht="15.75" thickBot="1">
      <c r="A23" s="644"/>
      <c r="B23" s="2405" t="s">
        <v>2103</v>
      </c>
      <c r="C23" s="2406"/>
      <c r="D23" s="2393"/>
      <c r="E23" s="2407"/>
      <c r="F23" s="2408" t="s">
        <v>2104</v>
      </c>
      <c r="G23" s="2409"/>
      <c r="H23" s="2393"/>
      <c r="I23" s="2394"/>
      <c r="J23" s="2393"/>
      <c r="K23" s="2393"/>
      <c r="L23" s="2394"/>
      <c r="M23" s="2393"/>
      <c r="N23" s="2393"/>
      <c r="O23" s="2394"/>
      <c r="P23" s="2393"/>
      <c r="Q23" s="2393"/>
      <c r="R23" s="2395"/>
    </row>
    <row r="24" spans="1:18" s="2367" customFormat="1" ht="15.75" thickBot="1">
      <c r="A24" s="2410"/>
      <c r="B24" s="2408" t="s">
        <v>2105</v>
      </c>
      <c r="C24" s="136">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9" sqref="F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17933.88</v>
      </c>
      <c r="C1" s="1744"/>
      <c r="D1" s="1744"/>
      <c r="E1" s="1744"/>
      <c r="F1" s="1744"/>
      <c r="G1" s="1742"/>
    </row>
    <row r="2" spans="1:10" ht="16.5">
      <c r="A2" s="1745" t="s">
        <v>1353</v>
      </c>
      <c r="B2" s="1745">
        <f>SUM(C14:C23)</f>
        <v>11729.24</v>
      </c>
      <c r="C2" s="1744"/>
      <c r="D2" s="1744"/>
      <c r="E2" s="1744"/>
      <c r="F2" s="1744"/>
      <c r="G2" s="1742"/>
    </row>
    <row r="3" spans="1:10" ht="16.5">
      <c r="A3" s="1745" t="s">
        <v>1362</v>
      </c>
      <c r="B3" s="1746">
        <f>项目基本情况!D3</f>
        <v>43223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8189</v>
      </c>
      <c r="C5" s="1745">
        <f ca="1">ROUND(B5*10000/$B$1,0)</f>
        <v>4566</v>
      </c>
      <c r="D5" s="1745">
        <f ca="1">ROUND(B5*10000/$B$2,0)</f>
        <v>6982</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8189</v>
      </c>
      <c r="C7" s="1745">
        <f ca="1">ROUND(B7*10000/$B$1,0)</f>
        <v>4566</v>
      </c>
      <c r="D7" s="1745">
        <f ca="1">ROUND(B7*10000/$B$2,0)</f>
        <v>6982</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17933.88</v>
      </c>
      <c r="C14" s="1743">
        <f>结果表!C118</f>
        <v>11729.24</v>
      </c>
      <c r="D14" s="1743">
        <f ca="1">结果表!H118</f>
        <v>8189</v>
      </c>
      <c r="E14" s="1743">
        <f ca="1">ROUND(D14*10000/B14,0)</f>
        <v>4566</v>
      </c>
      <c r="F14" s="1743">
        <f ca="1">ROUND(D14*10000/C14,0)</f>
        <v>6982</v>
      </c>
      <c r="G14" s="1743" t="str">
        <f>结果表!D122</f>
        <v>——</v>
      </c>
      <c r="H14" s="1743">
        <f ca="1">结果表!D124</f>
        <v>8189</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6" zoomScaleNormal="100" zoomScaleSheetLayoutView="100" zoomScalePageLayoutView="80" workbookViewId="0">
      <selection activeCell="H119" sqref="H119:I119"/>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2106</v>
      </c>
      <c r="B1" s="2416"/>
      <c r="C1" s="2417"/>
      <c r="D1" s="2416"/>
      <c r="E1" s="2416"/>
      <c r="F1" s="2418" t="s">
        <v>2107</v>
      </c>
      <c r="G1" s="2070" t="s">
        <v>3050</v>
      </c>
      <c r="H1" s="2419" t="str">
        <f>IF(G1="现房","——","估价对象范围")</f>
        <v>——</v>
      </c>
      <c r="I1" s="2420" t="s">
        <v>3243</v>
      </c>
    </row>
    <row r="2" spans="1:12" ht="21.75" customHeight="1" thickBot="1">
      <c r="A2" s="3144" t="str">
        <f>项目基本情况!S2</f>
        <v>上海市金山区山阳镇阳乐路188号6幢工业用房房地产房地产</v>
      </c>
      <c r="B2" s="3145"/>
      <c r="C2" s="3145"/>
      <c r="D2" s="3145"/>
      <c r="E2" s="3145"/>
      <c r="F2" s="3145"/>
      <c r="G2" s="3145"/>
      <c r="H2" s="3145"/>
      <c r="I2" s="3146"/>
    </row>
    <row r="3" spans="1:12" ht="12.75">
      <c r="A3" s="3147" t="s">
        <v>2108</v>
      </c>
      <c r="B3" s="3148"/>
      <c r="C3" s="3148"/>
      <c r="D3" s="3148"/>
      <c r="E3" s="3148"/>
      <c r="F3" s="3148"/>
      <c r="G3" s="3148"/>
      <c r="H3" s="3148"/>
      <c r="I3" s="3148"/>
    </row>
    <row r="4" spans="1:12" ht="14.25">
      <c r="A4" s="2423" t="s">
        <v>2109</v>
      </c>
      <c r="B4" s="2424" t="s">
        <v>2110</v>
      </c>
      <c r="C4" s="2425" t="s">
        <v>3225</v>
      </c>
      <c r="D4" s="2425" t="s">
        <v>3269</v>
      </c>
      <c r="E4" s="3128" t="s">
        <v>2111</v>
      </c>
      <c r="F4" s="3141"/>
      <c r="G4" s="3141"/>
      <c r="H4" s="3141"/>
      <c r="I4" s="312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2112</v>
      </c>
      <c r="B5" s="3045">
        <v>25</v>
      </c>
      <c r="C5" s="3149"/>
      <c r="D5" s="3137"/>
      <c r="E5" s="139" t="s">
        <v>2113</v>
      </c>
      <c r="F5" s="2427"/>
      <c r="G5" s="2427"/>
      <c r="H5" s="2427"/>
      <c r="I5" s="1833"/>
    </row>
    <row r="6" spans="1:12" ht="12.75">
      <c r="A6" s="3119"/>
      <c r="B6" s="3045"/>
      <c r="C6" s="3151"/>
      <c r="D6" s="3137"/>
      <c r="E6" s="139" t="s">
        <v>2114</v>
      </c>
      <c r="F6" s="2427"/>
      <c r="G6" s="2427"/>
      <c r="H6" s="2427"/>
      <c r="I6" s="1833"/>
    </row>
    <row r="7" spans="1:12" ht="12.75">
      <c r="A7" s="3119"/>
      <c r="B7" s="3045"/>
      <c r="C7" s="3150"/>
      <c r="D7" s="3137"/>
      <c r="E7" s="139" t="s">
        <v>2115</v>
      </c>
      <c r="F7" s="2427"/>
      <c r="G7" s="2427"/>
      <c r="H7" s="2427"/>
      <c r="I7" s="1833"/>
    </row>
    <row r="8" spans="1:12" ht="12.75">
      <c r="A8" s="3119" t="s">
        <v>2116</v>
      </c>
      <c r="B8" s="3045">
        <v>15</v>
      </c>
      <c r="C8" s="3149"/>
      <c r="D8" s="3137"/>
      <c r="E8" s="139" t="s">
        <v>2117</v>
      </c>
      <c r="F8" s="2427"/>
      <c r="G8" s="2427"/>
      <c r="H8" s="2427"/>
      <c r="I8" s="1833"/>
    </row>
    <row r="9" spans="1:12" ht="12.75">
      <c r="A9" s="3119"/>
      <c r="B9" s="3045"/>
      <c r="C9" s="3150"/>
      <c r="D9" s="3137"/>
      <c r="E9" s="139" t="s">
        <v>2118</v>
      </c>
      <c r="F9" s="2427"/>
      <c r="G9" s="2427"/>
      <c r="H9" s="2427"/>
      <c r="I9" s="1833"/>
    </row>
    <row r="10" spans="1:12" ht="12.75">
      <c r="A10" s="3119" t="s">
        <v>2119</v>
      </c>
      <c r="B10" s="3045">
        <v>15</v>
      </c>
      <c r="C10" s="3149"/>
      <c r="D10" s="3137"/>
      <c r="E10" s="139" t="s">
        <v>2120</v>
      </c>
      <c r="F10" s="2427"/>
      <c r="G10" s="2427"/>
      <c r="H10" s="2427"/>
      <c r="I10" s="1833"/>
    </row>
    <row r="11" spans="1:12" ht="12.75">
      <c r="A11" s="3119"/>
      <c r="B11" s="3045"/>
      <c r="C11" s="3150"/>
      <c r="D11" s="3137"/>
      <c r="E11" s="139" t="s">
        <v>2121</v>
      </c>
      <c r="F11" s="2427"/>
      <c r="G11" s="2427"/>
      <c r="H11" s="2427"/>
      <c r="I11" s="1833"/>
    </row>
    <row r="12" spans="1:12" ht="12.75">
      <c r="A12" s="3119" t="s">
        <v>2122</v>
      </c>
      <c r="B12" s="3045">
        <v>15</v>
      </c>
      <c r="C12" s="3149"/>
      <c r="D12" s="3137"/>
      <c r="E12" s="139" t="s">
        <v>2123</v>
      </c>
      <c r="F12" s="2427"/>
      <c r="G12" s="2427"/>
      <c r="H12" s="2427"/>
      <c r="I12" s="1833"/>
    </row>
    <row r="13" spans="1:12" ht="12.75">
      <c r="A13" s="3119"/>
      <c r="B13" s="3045"/>
      <c r="C13" s="3150"/>
      <c r="D13" s="3137"/>
      <c r="E13" s="139" t="s">
        <v>2124</v>
      </c>
      <c r="F13" s="2427"/>
      <c r="G13" s="2427"/>
      <c r="H13" s="2427"/>
      <c r="I13" s="1833"/>
    </row>
    <row r="14" spans="1:12" ht="12.75">
      <c r="A14" s="3119" t="s">
        <v>2125</v>
      </c>
      <c r="B14" s="3045">
        <v>30</v>
      </c>
      <c r="C14" s="3149">
        <v>5</v>
      </c>
      <c r="D14" s="3137">
        <v>5</v>
      </c>
      <c r="E14" s="139" t="s">
        <v>2126</v>
      </c>
      <c r="F14" s="2427"/>
      <c r="G14" s="2427"/>
      <c r="H14" s="2427"/>
      <c r="I14" s="1833"/>
    </row>
    <row r="15" spans="1:12" ht="12.75">
      <c r="A15" s="3119"/>
      <c r="B15" s="3045"/>
      <c r="C15" s="3151"/>
      <c r="D15" s="3137"/>
      <c r="E15" s="139" t="s">
        <v>2127</v>
      </c>
      <c r="F15" s="2427"/>
      <c r="G15" s="2427"/>
      <c r="H15" s="2427"/>
      <c r="I15" s="1833"/>
    </row>
    <row r="16" spans="1:12" ht="12.75">
      <c r="A16" s="3119"/>
      <c r="B16" s="3045"/>
      <c r="C16" s="3150"/>
      <c r="D16" s="3137"/>
      <c r="E16" s="139" t="s">
        <v>2128</v>
      </c>
      <c r="F16" s="2427"/>
      <c r="G16" s="2427"/>
      <c r="H16" s="2427"/>
      <c r="I16" s="1833"/>
    </row>
    <row r="17" spans="1:35" ht="15">
      <c r="A17" s="2428" t="s">
        <v>2129</v>
      </c>
      <c r="B17" s="64"/>
      <c r="C17" s="140">
        <f>SUM(C5:C16)</f>
        <v>5</v>
      </c>
      <c r="D17" s="140">
        <f>SUM(D5:D16)</f>
        <v>5</v>
      </c>
      <c r="E17" s="137"/>
      <c r="F17" s="137"/>
      <c r="G17" s="137"/>
      <c r="H17" s="137"/>
      <c r="I17" s="137"/>
      <c r="K17" s="2426"/>
      <c r="L17" s="2429" t="s">
        <v>2130</v>
      </c>
      <c r="M17" s="2429" t="s">
        <v>2131</v>
      </c>
    </row>
    <row r="18" spans="1:35" ht="15.75" thickBot="1">
      <c r="A18" s="2430" t="s">
        <v>2132</v>
      </c>
      <c r="B18" s="2431"/>
      <c r="C18" s="141">
        <f>ROUND(C17/SUM(C17:D17),2)</f>
        <v>0.5</v>
      </c>
      <c r="D18" s="141">
        <f>1-C18</f>
        <v>0.5</v>
      </c>
      <c r="E18" s="137"/>
      <c r="F18" s="137"/>
      <c r="G18" s="137"/>
      <c r="H18" s="137"/>
      <c r="I18" s="137"/>
      <c r="J18" s="2980" t="s">
        <v>3270</v>
      </c>
      <c r="K18" s="2426" t="s">
        <v>2133</v>
      </c>
      <c r="L18" s="2426">
        <f>IF(C1="",'数据-汇总表'!E3,SUMIF(项目类型,C1,'数据-汇总表'!E17:E26)+SUMIF(项目类型,C1,'数据-汇总表'!I17:I26))</f>
        <v>17933.88</v>
      </c>
      <c r="M18" s="2426">
        <f>IF(C1="",'数据-汇总表'!E3,SUMIF(项目类型,C1,'数据-汇总表'!E17:E26))</f>
        <v>17933.88</v>
      </c>
    </row>
    <row r="19" spans="1:35" ht="15">
      <c r="A19" s="2432" t="s">
        <v>2134</v>
      </c>
      <c r="B19" s="2433" t="s">
        <v>2135</v>
      </c>
      <c r="C19" s="142">
        <f ca="1">SUMIF(INDIRECT("'"&amp;C4&amp;"'"&amp;"!A:A"),结果表!B19,INDIRECT("'"&amp;C4&amp;"'"&amp;"!B:B"))</f>
        <v>8006</v>
      </c>
      <c r="D19" s="143">
        <f ca="1">SUMIF(INDIRECT("'"&amp;D4&amp;"'"&amp;"!A:A"),结果表!B19,INDIRECT("'"&amp;D4&amp;"'"&amp;"!B:B"))</f>
        <v>8372</v>
      </c>
      <c r="E19" s="2432" t="s">
        <v>2136</v>
      </c>
      <c r="F19" s="2433" t="s">
        <v>2135</v>
      </c>
      <c r="G19" s="144">
        <f ca="1">ROUND(C19*$C$18+D19*$D$18,0)</f>
        <v>8189</v>
      </c>
      <c r="H19" s="2434" t="s">
        <v>2137</v>
      </c>
      <c r="I19" s="137"/>
      <c r="J19" s="2981">
        <v>4500</v>
      </c>
      <c r="K19" s="2426" t="s">
        <v>2138</v>
      </c>
      <c r="L19" s="2426">
        <f>IF(C1="",'数据-汇总表'!D3,SUMIF(项目类型,C1,'数据-汇总表'!D17:D26)+SUMIF(项目类型,C1,'数据-汇总表'!H17:H27))</f>
        <v>11729.24</v>
      </c>
      <c r="M19" s="2426">
        <f>IF(C1="",'数据-汇总表'!D3,SUMIF(项目类型,C1,'数据-汇总表'!D17:D26))</f>
        <v>11729.24</v>
      </c>
    </row>
    <row r="20" spans="1:35" ht="15">
      <c r="A20" s="2435"/>
      <c r="B20" s="1249" t="s">
        <v>2139</v>
      </c>
      <c r="C20" s="145">
        <f ca="1">SUMIF(INDIRECT("'"&amp;C4&amp;"'"&amp;"!A:A"),结果表!B20,INDIRECT("'"&amp;C4&amp;"'"&amp;"!B:B"))</f>
        <v>4464</v>
      </c>
      <c r="D20" s="146">
        <f ca="1">SUMIF(INDIRECT("'"&amp;D4&amp;"'"&amp;"!A:A"),结果表!B20,INDIRECT("'"&amp;D4&amp;"'"&amp;"!B:B"))</f>
        <v>4668</v>
      </c>
      <c r="E20" s="2435"/>
      <c r="F20" s="1249" t="s">
        <v>2139</v>
      </c>
      <c r="G20" s="147">
        <f ca="1">ROUND(C20*$C$18+D20*$D$18,0)</f>
        <v>4566</v>
      </c>
      <c r="H20" s="982" t="s">
        <v>2140</v>
      </c>
      <c r="I20" s="137"/>
      <c r="J20" s="2981">
        <v>0.55000000000000004</v>
      </c>
    </row>
    <row r="21" spans="1:35" ht="15" customHeight="1" thickBot="1">
      <c r="A21" s="1002"/>
      <c r="B21" s="2436" t="s">
        <v>2141</v>
      </c>
      <c r="C21" s="788">
        <f ca="1">ROUND(C19*10000/L19,0)</f>
        <v>6826</v>
      </c>
      <c r="D21" s="789">
        <f ca="1">ROUND(D19*10000/L19,0)</f>
        <v>7138</v>
      </c>
      <c r="E21" s="1002"/>
      <c r="F21" s="2436" t="s">
        <v>2141</v>
      </c>
      <c r="G21" s="148">
        <f ca="1">ROUND(G19*10000/L19,0)</f>
        <v>6982</v>
      </c>
      <c r="H21" s="2437" t="s">
        <v>2140</v>
      </c>
      <c r="I21" s="137"/>
      <c r="J21" s="2981">
        <f>ROUND(J19/J20,0)</f>
        <v>8182</v>
      </c>
    </row>
    <row r="22" spans="1:35" ht="15" thickBot="1">
      <c r="A22" s="2280" t="s">
        <v>2142</v>
      </c>
      <c r="B22" s="2438"/>
      <c r="C22" s="2439"/>
      <c r="D22" s="790">
        <f ca="1">IF(C19&lt;D19,D19/C19-1,C19/D19-1)</f>
        <v>4.5715713215088716E-2</v>
      </c>
      <c r="E22" s="137"/>
      <c r="F22" s="137"/>
      <c r="G22" s="137"/>
      <c r="H22" s="137"/>
      <c r="I22" s="137"/>
    </row>
    <row r="23" spans="1:35" ht="13.5" thickBot="1">
      <c r="A23" s="2416"/>
      <c r="B23" s="2416"/>
      <c r="C23" s="2416"/>
      <c r="D23" s="2416"/>
      <c r="E23" s="137"/>
      <c r="F23" s="137"/>
      <c r="G23" s="137"/>
      <c r="H23" s="137"/>
      <c r="I23" s="137"/>
    </row>
    <row r="24" spans="1:35" ht="14.25">
      <c r="A24" s="3158" t="s">
        <v>2143</v>
      </c>
      <c r="B24" s="2433" t="s">
        <v>2135</v>
      </c>
      <c r="C24" s="144">
        <f>IF(B30=0,0,D30)</f>
        <v>0</v>
      </c>
      <c r="D24" s="2440"/>
      <c r="E24" s="137"/>
      <c r="F24" s="137"/>
      <c r="G24" s="137"/>
      <c r="H24" s="137"/>
      <c r="I24" s="137"/>
    </row>
    <row r="25" spans="1:35" ht="14.25">
      <c r="A25" s="3159"/>
      <c r="B25" s="1249" t="s">
        <v>2139</v>
      </c>
      <c r="C25" s="149">
        <f>IF(B30=0,0,C30)</f>
        <v>0</v>
      </c>
      <c r="D25" s="2441"/>
      <c r="E25" s="137"/>
      <c r="F25" s="137"/>
      <c r="G25" s="137"/>
      <c r="H25" s="137"/>
      <c r="I25" s="137"/>
    </row>
    <row r="26" spans="1:35" ht="13.5" customHeight="1">
      <c r="A26" s="2442" t="s">
        <v>2144</v>
      </c>
      <c r="B26" s="150" t="s">
        <v>2145</v>
      </c>
      <c r="C26" s="150" t="s">
        <v>2146</v>
      </c>
      <c r="D26" s="151" t="s">
        <v>2147</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2148</v>
      </c>
      <c r="B30" s="150"/>
      <c r="C30" s="150"/>
      <c r="D30" s="150"/>
      <c r="E30" s="2925" t="s">
        <v>3025</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2149</v>
      </c>
      <c r="B32" s="2446"/>
      <c r="C32" s="152">
        <f ca="1">IF(D32="总价",G19-C24,G20-C25)</f>
        <v>8189</v>
      </c>
      <c r="D32" s="2447" t="s">
        <v>2150</v>
      </c>
      <c r="E32" s="137"/>
      <c r="F32" s="137"/>
      <c r="G32" s="137"/>
      <c r="H32" s="137"/>
      <c r="I32" s="137"/>
    </row>
    <row r="33" spans="1:15" ht="15">
      <c r="A33" s="959" t="s">
        <v>2151</v>
      </c>
      <c r="B33" s="2448"/>
      <c r="C33" s="2449" t="s">
        <v>3226</v>
      </c>
      <c r="D33" s="2450" t="s">
        <v>3225</v>
      </c>
      <c r="E33" s="2451" t="s">
        <v>2152</v>
      </c>
      <c r="F33" s="2452" t="str">
        <f>IF(D32="楼面单价","取值（单价）","取值（总价）")</f>
        <v>取值（总价）</v>
      </c>
      <c r="G33" s="137"/>
      <c r="H33" s="137"/>
      <c r="I33" s="137"/>
    </row>
    <row r="34" spans="1:15" ht="15">
      <c r="A34" s="2453"/>
      <c r="B34" s="2454" t="s">
        <v>2153</v>
      </c>
      <c r="C34" s="156">
        <f ca="1">IF(C33="自定义",F34,C32-C35)</f>
        <v>2309</v>
      </c>
      <c r="D34" s="1057">
        <f ca="1">IF(C33="自定义",ROUND(C34/C32,3),IF(C33="收益比率",SUMIF(INDIRECT("'"&amp;D33&amp;"'"&amp;"!b:b"),"土地收益比率",INDIRECT("'"&amp;D33&amp;"'"&amp;"!c:c")),SUMIF(INDIRECT("'"&amp;D33&amp;"'"&amp;"!b:b"),"土地成本比率",INDIRECT("'"&amp;D33&amp;"'"&amp;"!c:c"))))</f>
        <v>0.28200000000000003</v>
      </c>
      <c r="E34" s="2455" t="s">
        <v>2154</v>
      </c>
      <c r="F34" s="1738"/>
      <c r="G34" s="137"/>
      <c r="H34" s="137"/>
      <c r="I34" s="137"/>
    </row>
    <row r="35" spans="1:15" ht="15.75" thickBot="1">
      <c r="A35" s="2456"/>
      <c r="B35" s="2457" t="s">
        <v>2155</v>
      </c>
      <c r="C35" s="1443">
        <f ca="1">IF(C33="自定义",F35,ROUND(C32*D35,0))</f>
        <v>5880</v>
      </c>
      <c r="D35" s="1444">
        <f ca="1">IF(C33="自定义",ROUND(C35/C32,3),IF(C33="收益比率",SUMIF(INDIRECT("'"&amp;D33&amp;"'"&amp;"!b:b"),"建筑物收益比率",INDIRECT("'"&amp;D33&amp;"'"&amp;"!c:c")),SUMIF(INDIRECT("'"&amp;D33&amp;"'"&amp;"!b:b"),"建筑物成本比率",INDIRECT("'"&amp;D33&amp;"'"&amp;"!c:c"))))</f>
        <v>0.71799999999999997</v>
      </c>
      <c r="E35" s="2458" t="s">
        <v>2156</v>
      </c>
      <c r="F35" s="162"/>
      <c r="G35" s="137"/>
      <c r="H35" s="137"/>
      <c r="I35" s="137"/>
    </row>
    <row r="36" spans="1:15" ht="15.75" thickBot="1">
      <c r="A36" s="3138" t="s">
        <v>2157</v>
      </c>
      <c r="B36" s="2459" t="s">
        <v>2158</v>
      </c>
      <c r="C36" s="153">
        <v>4330</v>
      </c>
      <c r="D36" s="2460" t="s">
        <v>3272</v>
      </c>
      <c r="E36" s="2461"/>
      <c r="F36" s="2462"/>
      <c r="G36" s="137"/>
      <c r="H36" s="137"/>
      <c r="I36" s="137"/>
    </row>
    <row r="37" spans="1:15" ht="15.75" thickBot="1">
      <c r="A37" s="3139"/>
      <c r="B37" s="2266" t="s">
        <v>2159</v>
      </c>
      <c r="C37" s="155"/>
      <c r="D37" s="1394"/>
      <c r="E37" s="1394"/>
      <c r="F37" s="2462"/>
      <c r="G37" s="137"/>
      <c r="H37" s="137"/>
      <c r="I37" s="137"/>
    </row>
    <row r="38" spans="1:15" ht="15.75" thickBot="1">
      <c r="A38" s="3140"/>
      <c r="B38" s="2463" t="s">
        <v>2160</v>
      </c>
      <c r="C38" s="726"/>
      <c r="D38" s="2464" t="s">
        <v>2161</v>
      </c>
      <c r="E38" s="1394"/>
      <c r="F38" s="2462"/>
      <c r="G38" s="137"/>
      <c r="H38" s="137"/>
      <c r="I38" s="137"/>
    </row>
    <row r="39" spans="1:15" ht="15">
      <c r="A39" s="2435" t="s">
        <v>2162</v>
      </c>
      <c r="B39" s="2465" t="s">
        <v>2163</v>
      </c>
      <c r="C39" s="2466" t="s">
        <v>2164</v>
      </c>
      <c r="D39" s="2466" t="s">
        <v>2165</v>
      </c>
      <c r="E39" s="2467" t="s">
        <v>2166</v>
      </c>
      <c r="F39" s="2462"/>
      <c r="G39" s="137"/>
      <c r="H39" s="137"/>
      <c r="I39" s="137"/>
    </row>
    <row r="40" spans="1:15" ht="14.25">
      <c r="A40" s="2468" t="s">
        <v>2167</v>
      </c>
      <c r="B40" s="157"/>
      <c r="C40" s="158"/>
      <c r="D40" s="158"/>
      <c r="E40" s="159"/>
      <c r="F40" s="2462"/>
      <c r="G40" s="137"/>
      <c r="H40" s="137"/>
      <c r="I40" s="137"/>
    </row>
    <row r="41" spans="1:15" ht="14.25">
      <c r="A41" s="2468" t="s">
        <v>2168</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4"/>
      <c r="B43" s="2164"/>
      <c r="C43" s="2164"/>
      <c r="D43" s="2164"/>
      <c r="E43" s="2164"/>
      <c r="F43" s="2470"/>
      <c r="G43" s="2470"/>
      <c r="H43" s="2470"/>
      <c r="I43" s="2471"/>
    </row>
    <row r="44" spans="1:15" ht="18.75" hidden="1">
      <c r="A44" s="2472" t="s">
        <v>2169</v>
      </c>
      <c r="B44" s="2473"/>
      <c r="C44" s="2473"/>
      <c r="D44" s="2474"/>
      <c r="E44" s="2474"/>
      <c r="F44" s="2475"/>
      <c r="G44" s="2475"/>
      <c r="H44" s="2475"/>
      <c r="I44" s="2475"/>
      <c r="J44" s="2476" t="s">
        <v>2170</v>
      </c>
      <c r="K44" s="2477"/>
      <c r="L44" s="2477"/>
      <c r="M44" s="2477"/>
      <c r="N44" s="2477"/>
      <c r="O44" s="2477"/>
    </row>
    <row r="45" spans="1:15" ht="14.25" hidden="1" customHeight="1" thickBot="1">
      <c r="A45" s="3155" t="s">
        <v>2171</v>
      </c>
      <c r="B45" s="3156"/>
      <c r="C45" s="3157"/>
      <c r="D45" s="163">
        <f ca="1">ROUND(H101*F45,0)</f>
        <v>8189</v>
      </c>
      <c r="E45" s="164" t="s">
        <v>2172</v>
      </c>
      <c r="F45" s="165">
        <v>1</v>
      </c>
      <c r="G45" s="166" t="s">
        <v>2173</v>
      </c>
      <c r="H45" s="137"/>
      <c r="I45" s="137"/>
      <c r="J45" s="3074" t="s">
        <v>2174</v>
      </c>
      <c r="K45" s="3074"/>
      <c r="L45" s="3074"/>
      <c r="M45" s="3074"/>
      <c r="N45" s="3074"/>
      <c r="O45" s="3074"/>
    </row>
    <row r="46" spans="1:15" ht="14.25" hidden="1" customHeight="1">
      <c r="A46" s="3152" t="s">
        <v>2175</v>
      </c>
      <c r="B46" s="3153"/>
      <c r="C46" s="3153"/>
      <c r="D46" s="3153"/>
      <c r="E46" s="3153"/>
      <c r="F46" s="3153"/>
      <c r="G46" s="3154"/>
      <c r="H46" s="2478"/>
      <c r="I46" s="167"/>
      <c r="J46" s="1811">
        <v>1</v>
      </c>
      <c r="K46" s="3074" t="s">
        <v>2176</v>
      </c>
      <c r="L46" s="3074"/>
      <c r="M46" s="3075"/>
      <c r="N46" s="3075"/>
      <c r="O46" s="3075"/>
    </row>
    <row r="47" spans="1:15" ht="12" hidden="1" customHeight="1">
      <c r="A47" s="168" t="s">
        <v>2177</v>
      </c>
      <c r="B47" s="169"/>
      <c r="C47" s="170"/>
      <c r="D47" s="171" t="s">
        <v>2178</v>
      </c>
      <c r="E47" s="24" t="s">
        <v>2179</v>
      </c>
      <c r="F47" s="172" t="s">
        <v>2180</v>
      </c>
      <c r="G47" s="173" t="s">
        <v>2181</v>
      </c>
      <c r="H47" s="2478"/>
      <c r="I47" s="167"/>
      <c r="J47" s="1811">
        <v>2</v>
      </c>
      <c r="K47" s="3074" t="s">
        <v>2182</v>
      </c>
      <c r="L47" s="3074"/>
      <c r="M47" s="3076">
        <f>'数据-取费表'!B2</f>
        <v>43223</v>
      </c>
      <c r="N47" s="3076"/>
      <c r="O47" s="3076"/>
    </row>
    <row r="48" spans="1:15" ht="25.5" hidden="1">
      <c r="A48" s="3142" t="s">
        <v>2183</v>
      </c>
      <c r="B48" s="3143"/>
      <c r="C48" s="3143"/>
      <c r="D48" s="139">
        <f>IF(H48="情况1",0,IF(H48="情况2",D52,IF(H48="情况3",D53,IF(H48="情况4",D54))))</f>
        <v>0</v>
      </c>
      <c r="E48" s="1800" t="str">
        <f>IF(H48="情况4","(销售额-原购置价)×税（费）率","销售额×税（费）率")</f>
        <v>销售额×税（费）率</v>
      </c>
      <c r="F48" s="174" t="str">
        <f>IF(H48="情况1","免征",'数据-取费表'!B41)</f>
        <v>免征</v>
      </c>
      <c r="G48" s="2479" t="s">
        <v>2184</v>
      </c>
      <c r="H48" s="2480" t="s">
        <v>2185</v>
      </c>
      <c r="I48" s="2478"/>
      <c r="J48" s="1811">
        <v>3</v>
      </c>
      <c r="K48" s="3074" t="s">
        <v>2186</v>
      </c>
      <c r="L48" s="3074"/>
      <c r="M48" s="3077">
        <f ca="1">H101</f>
        <v>8189</v>
      </c>
      <c r="N48" s="3077"/>
      <c r="O48" s="3077"/>
    </row>
    <row r="49" spans="1:35" ht="25.5" hidden="1" customHeight="1">
      <c r="A49" s="175" t="s">
        <v>2187</v>
      </c>
      <c r="B49" s="3122" t="s">
        <v>2188</v>
      </c>
      <c r="C49" s="3122"/>
      <c r="D49" s="176">
        <v>0</v>
      </c>
      <c r="E49" s="23" t="s">
        <v>2189</v>
      </c>
      <c r="F49" s="28" t="s">
        <v>34</v>
      </c>
      <c r="G49" s="3103"/>
      <c r="H49" s="137"/>
      <c r="I49" s="2481"/>
      <c r="J49" s="1811">
        <v>4</v>
      </c>
      <c r="K49" s="3074" t="str">
        <f>IF(项目基本情况!E8="房地产抵押价值","房地产抵押价值","抵押担保权已注销时的房地产抵押价值")</f>
        <v>抵押担保权已注销时的房地产抵押价值</v>
      </c>
      <c r="L49" s="3074"/>
      <c r="M49" s="3077">
        <f ca="1">IF(项目基本情况!E8="房地产抵押价值",H107,H109)</f>
        <v>8189</v>
      </c>
      <c r="N49" s="3077"/>
      <c r="O49" s="3077"/>
    </row>
    <row r="50" spans="1:35" ht="25.5" hidden="1" customHeight="1">
      <c r="A50" s="177"/>
      <c r="B50" s="3122" t="s">
        <v>2190</v>
      </c>
      <c r="C50" s="3122"/>
      <c r="D50" s="178"/>
      <c r="E50" s="31"/>
      <c r="F50" s="179"/>
      <c r="G50" s="3104"/>
      <c r="H50" s="137"/>
      <c r="I50" s="2481"/>
      <c r="J50" s="3074" t="s">
        <v>2191</v>
      </c>
      <c r="K50" s="3074"/>
      <c r="L50" s="3074"/>
      <c r="M50" s="3074"/>
      <c r="N50" s="3074"/>
      <c r="O50" s="3074"/>
    </row>
    <row r="51" spans="1:35" ht="12" hidden="1" customHeight="1">
      <c r="A51" s="180"/>
      <c r="B51" s="3122" t="s">
        <v>2192</v>
      </c>
      <c r="C51" s="3122"/>
      <c r="D51" s="181"/>
      <c r="E51" s="30"/>
      <c r="F51" s="179"/>
      <c r="G51" s="3105"/>
      <c r="H51" s="137"/>
      <c r="I51" s="2481"/>
      <c r="J51" s="2482" t="s">
        <v>2193</v>
      </c>
      <c r="K51" s="3074" t="s">
        <v>2194</v>
      </c>
      <c r="L51" s="3074"/>
      <c r="M51" s="2482" t="s">
        <v>2195</v>
      </c>
      <c r="N51" s="2482" t="s">
        <v>2196</v>
      </c>
      <c r="O51" s="2482" t="s">
        <v>2197</v>
      </c>
    </row>
    <row r="52" spans="1:35" ht="24" hidden="1" customHeight="1">
      <c r="A52" s="182" t="s">
        <v>2198</v>
      </c>
      <c r="B52" s="3122" t="s">
        <v>2199</v>
      </c>
      <c r="C52" s="3122"/>
      <c r="D52" s="181">
        <f ca="1">ROUND(D45*'数据-取费表'!B41/(1+'数据-取费表'!C42),0)</f>
        <v>437</v>
      </c>
      <c r="E52" s="11" t="s">
        <v>2200</v>
      </c>
      <c r="F52" s="183">
        <f>'数据-取费表'!B41</f>
        <v>5.6000000000000001E-2</v>
      </c>
      <c r="G52" s="2483"/>
      <c r="H52" s="137"/>
      <c r="I52" s="2481"/>
      <c r="J52" s="1811">
        <v>1</v>
      </c>
      <c r="K52" s="3097" t="s">
        <v>2201</v>
      </c>
      <c r="L52" s="3097"/>
      <c r="M52" s="1753">
        <f>D48</f>
        <v>0</v>
      </c>
      <c r="N52" s="1811" t="str">
        <f>E48</f>
        <v>销售额×税（费）率</v>
      </c>
      <c r="O52" s="1754" t="str">
        <f>F48</f>
        <v>免征</v>
      </c>
    </row>
    <row r="53" spans="1:35" ht="12" hidden="1" customHeight="1">
      <c r="A53" s="182" t="s">
        <v>2202</v>
      </c>
      <c r="B53" s="3123" t="s">
        <v>2203</v>
      </c>
      <c r="C53" s="3124"/>
      <c r="D53" s="181">
        <f ca="1">ROUND(D45*'数据-取费表'!B41/(1+'数据-取费表'!C42),0)</f>
        <v>437</v>
      </c>
      <c r="E53" s="11" t="s">
        <v>2200</v>
      </c>
      <c r="F53" s="183">
        <f>'数据-取费表'!B41</f>
        <v>5.6000000000000001E-2</v>
      </c>
      <c r="G53" s="2483"/>
      <c r="H53" s="137"/>
      <c r="I53" s="2481"/>
      <c r="J53" s="1811">
        <v>2</v>
      </c>
      <c r="K53" s="3097" t="s">
        <v>2204</v>
      </c>
      <c r="L53" s="3097"/>
      <c r="M53" s="1753">
        <f t="shared" ref="M53:O54" ca="1" si="0">D55</f>
        <v>4</v>
      </c>
      <c r="N53" s="1811" t="str">
        <f t="shared" si="0"/>
        <v>销售额×税（费）率</v>
      </c>
      <c r="O53" s="1754">
        <f t="shared" si="0"/>
        <v>5.0000000000000001E-4</v>
      </c>
    </row>
    <row r="54" spans="1:35" ht="12" hidden="1" customHeight="1">
      <c r="A54" s="182" t="s">
        <v>2205</v>
      </c>
      <c r="B54" s="3123" t="s">
        <v>2206</v>
      </c>
      <c r="C54" s="3124"/>
      <c r="D54" s="181">
        <f ca="1">C68</f>
        <v>437</v>
      </c>
      <c r="E54" s="30" t="s">
        <v>2207</v>
      </c>
      <c r="F54" s="183">
        <f>'数据-取费表'!B41</f>
        <v>5.6000000000000001E-2</v>
      </c>
      <c r="G54" s="2483"/>
      <c r="H54" s="2484"/>
      <c r="I54" s="2481"/>
      <c r="J54" s="1811">
        <v>3</v>
      </c>
      <c r="K54" s="3097" t="s">
        <v>2208</v>
      </c>
      <c r="L54" s="3097"/>
      <c r="M54" s="1753">
        <f t="shared" ca="1" si="0"/>
        <v>4635</v>
      </c>
      <c r="N54" s="1811" t="str">
        <f t="shared" si="0"/>
        <v>增值额×税（费）率</v>
      </c>
      <c r="O54" s="1755" t="str">
        <f t="shared" si="0"/>
        <v>——</v>
      </c>
    </row>
    <row r="55" spans="1:35" ht="24" hidden="1" customHeight="1">
      <c r="A55" s="3161" t="s">
        <v>2209</v>
      </c>
      <c r="B55" s="3143"/>
      <c r="C55" s="3143"/>
      <c r="D55" s="184">
        <f ca="1">IF(H55="个人住宅",0,ROUND(D45*I55,0))</f>
        <v>4</v>
      </c>
      <c r="E55" s="11" t="s">
        <v>2210</v>
      </c>
      <c r="F55" s="183">
        <f>IF(H55="正常",I55,"免征")</f>
        <v>5.0000000000000001E-4</v>
      </c>
      <c r="G55" s="2483"/>
      <c r="H55" s="2480" t="s">
        <v>2211</v>
      </c>
      <c r="I55" s="185">
        <f>'数据-取费表'!B49</f>
        <v>5.0000000000000001E-4</v>
      </c>
      <c r="J55" s="1811" t="str">
        <f>IF(H59="非个人房产","",4)</f>
        <v/>
      </c>
      <c r="K55" s="3097" t="str">
        <f>IF(H59="非个人房产","——","个人所得税")</f>
        <v>——</v>
      </c>
      <c r="L55" s="3097"/>
      <c r="M55" s="1756" t="str">
        <f>D59</f>
        <v>——</v>
      </c>
      <c r="N55" s="1809" t="str">
        <f>E59</f>
        <v>——</v>
      </c>
      <c r="O55" s="1757" t="str">
        <f>F59</f>
        <v>——</v>
      </c>
    </row>
    <row r="56" spans="1:35" ht="24.75" hidden="1">
      <c r="A56" s="3161" t="s">
        <v>2212</v>
      </c>
      <c r="B56" s="3143"/>
      <c r="C56" s="3143"/>
      <c r="D56" s="184">
        <f ca="1">IF(H56="个人住宅",D57,D58)</f>
        <v>4635</v>
      </c>
      <c r="E56" s="11" t="s">
        <v>2213</v>
      </c>
      <c r="F56" s="183" t="str">
        <f>IF(H56="正常",F58,"免征")</f>
        <v>——</v>
      </c>
      <c r="G56" s="2485" t="s">
        <v>2214</v>
      </c>
      <c r="H56" s="2486" t="s">
        <v>2211</v>
      </c>
      <c r="I56" s="2487"/>
      <c r="J56" s="1811" t="str">
        <f>IF(项目基本情况!K6="上海银行",IF(J55="",4,J55+1),"")</f>
        <v/>
      </c>
      <c r="K56" s="3080" t="str">
        <f>IF(项目基本情况!K6="上海银行","其他处置费用","")</f>
        <v/>
      </c>
      <c r="L56" s="3081"/>
      <c r="M56" s="1753" t="str">
        <f>IF(项目基本情况!K6="上海银行",M69,"")</f>
        <v/>
      </c>
      <c r="N56" s="3083" t="str">
        <f>IF(项目基本情况!K6="上海银行","包含处置中涉及的律师、诉讼、拍卖、评估等费用","")</f>
        <v/>
      </c>
      <c r="O56" s="3084"/>
    </row>
    <row r="57" spans="1:35" ht="12.75" hidden="1">
      <c r="A57" s="182" t="s">
        <v>2187</v>
      </c>
      <c r="B57" s="3128" t="s">
        <v>2215</v>
      </c>
      <c r="C57" s="3129"/>
      <c r="D57" s="186">
        <v>0</v>
      </c>
      <c r="E57" s="23" t="s">
        <v>2189</v>
      </c>
      <c r="F57" s="154"/>
      <c r="G57" s="2483"/>
      <c r="H57" s="2487"/>
      <c r="I57" s="2487"/>
      <c r="J57" s="3097">
        <f>IF(AND(J55="",J56=""),4,IF(项目基本情况!K6="上海银行",结果表!J56+1,结果表!J55+1))</f>
        <v>4</v>
      </c>
      <c r="K57" s="3097" t="s">
        <v>2216</v>
      </c>
      <c r="L57" s="2488" t="s">
        <v>2217</v>
      </c>
      <c r="M57" s="1758"/>
      <c r="N57" s="1759">
        <f ca="1">SUMIF(M52:M56,"&lt;9e307")</f>
        <v>4639</v>
      </c>
      <c r="O57" s="2489"/>
      <c r="P57" s="1752">
        <f ca="1">N57/M49</f>
        <v>0.56649163512028333</v>
      </c>
    </row>
    <row r="58" spans="1:35" ht="24.75" hidden="1">
      <c r="A58" s="182" t="s">
        <v>2198</v>
      </c>
      <c r="B58" s="3128" t="s">
        <v>2218</v>
      </c>
      <c r="C58" s="3141"/>
      <c r="D58" s="184">
        <f ca="1">IF(H58="转让取得",C81,C97)</f>
        <v>4635</v>
      </c>
      <c r="E58" s="11" t="s">
        <v>2213</v>
      </c>
      <c r="F58" s="24" t="s">
        <v>34</v>
      </c>
      <c r="G58" s="2483"/>
      <c r="H58" s="2486" t="s">
        <v>2219</v>
      </c>
      <c r="I58" s="2487"/>
      <c r="J58" s="3097"/>
      <c r="K58" s="3097"/>
      <c r="L58" s="2488" t="s">
        <v>2220</v>
      </c>
      <c r="M58" s="1760"/>
      <c r="N58" s="2490" t="str">
        <f ca="1">NUMBERSTRING(INT(N57*10000),2)&amp;"元整"</f>
        <v>肆仟陆佰叁拾玖万元整</v>
      </c>
      <c r="O58" s="2491"/>
    </row>
    <row r="59" spans="1:35" ht="24.75" hidden="1" thickBot="1">
      <c r="A59" s="3101" t="s">
        <v>2221</v>
      </c>
      <c r="B59" s="3102"/>
      <c r="C59" s="3102"/>
      <c r="D59" s="187" t="str">
        <f>IF(H59="非个人房产","——",IF(H59="个人住宅",0,ROUND(D45*I59,0)))</f>
        <v>——</v>
      </c>
      <c r="E59" s="188" t="str">
        <f>IF(H59="非个人房产","——","销售额×税（费）率")</f>
        <v>——</v>
      </c>
      <c r="F59" s="189" t="str">
        <f>IF(H59="非个人房产","——",IF(H59="个人住宅","免征",I59))</f>
        <v>——</v>
      </c>
      <c r="G59" s="2492" t="s">
        <v>2214</v>
      </c>
      <c r="H59" s="2486" t="s">
        <v>2222</v>
      </c>
      <c r="I59" s="190">
        <v>0.01</v>
      </c>
      <c r="J59" s="3099">
        <f>J57+1</f>
        <v>5</v>
      </c>
      <c r="K59" s="3097" t="s">
        <v>2223</v>
      </c>
      <c r="L59" s="1811" t="s">
        <v>2217</v>
      </c>
      <c r="M59" s="1761"/>
      <c r="N59" s="1762">
        <f ca="1">M49-N57</f>
        <v>3550</v>
      </c>
      <c r="O59" s="2493"/>
    </row>
    <row r="60" spans="1:35" ht="12" hidden="1" customHeight="1">
      <c r="A60" s="2494"/>
      <c r="B60" s="2416"/>
      <c r="C60" s="2416"/>
      <c r="D60" s="2416"/>
      <c r="E60" s="2165"/>
      <c r="F60" s="2487"/>
      <c r="G60" s="2487"/>
      <c r="H60" s="2495"/>
      <c r="I60" s="137"/>
      <c r="J60" s="3100"/>
      <c r="K60" s="3097"/>
      <c r="L60" s="2488" t="s">
        <v>2220</v>
      </c>
      <c r="M60" s="1760"/>
      <c r="N60" s="2490" t="str">
        <f ca="1">NUMBERSTRING(INT(N59*10000),2)&amp;"元整"</f>
        <v>叁仟伍佰伍拾万元整</v>
      </c>
      <c r="O60" s="2491"/>
    </row>
    <row r="61" spans="1:35" ht="13.5" hidden="1" thickBot="1">
      <c r="A61" s="3160" t="s">
        <v>2224</v>
      </c>
      <c r="B61" s="3160"/>
      <c r="C61" s="3160"/>
      <c r="D61" s="3160"/>
      <c r="E61" s="3160"/>
      <c r="F61" s="2487"/>
      <c r="G61" s="2487"/>
      <c r="H61" s="2495"/>
      <c r="I61" s="137"/>
      <c r="J61" s="1811">
        <f>J59+1</f>
        <v>6</v>
      </c>
      <c r="K61" s="3097" t="s">
        <v>2225</v>
      </c>
      <c r="L61" s="3097"/>
      <c r="M61" s="1763"/>
      <c r="N61" s="1764">
        <f ca="1">ROUND(N59*10000/'数据-汇总表'!E3,0)</f>
        <v>1979</v>
      </c>
      <c r="O61" s="2496"/>
    </row>
    <row r="62" spans="1:35" ht="12.75" hidden="1">
      <c r="A62" s="3117" t="s">
        <v>2226</v>
      </c>
      <c r="B62" s="3118"/>
      <c r="C62" s="1803"/>
      <c r="D62" s="1803" t="s">
        <v>2227</v>
      </c>
      <c r="E62" s="191" t="s">
        <v>2228</v>
      </c>
      <c r="F62" s="2487"/>
      <c r="G62" s="2487"/>
      <c r="H62" s="2495"/>
      <c r="I62" s="137"/>
    </row>
    <row r="63" spans="1:35" ht="12.75" hidden="1">
      <c r="A63" s="202" t="s">
        <v>775</v>
      </c>
      <c r="B63" s="192" t="s">
        <v>2229</v>
      </c>
      <c r="C63" s="193">
        <f ca="1">ROUND((C64+C65)/(1+'数据-取费表'!C42),0)</f>
        <v>7799</v>
      </c>
      <c r="D63" s="194"/>
      <c r="E63" s="195"/>
      <c r="F63" s="2487"/>
      <c r="G63" s="2487"/>
      <c r="H63" s="2495"/>
      <c r="I63" s="137"/>
      <c r="J63" s="3082" t="s">
        <v>2230</v>
      </c>
      <c r="K63" s="2497" t="s">
        <v>2231</v>
      </c>
      <c r="L63" s="1751">
        <f ca="1">IF(M49&gt;10000,M49*0.5%,IF(AND(M49&gt;1000,M49&lt;=10000),M49*1%,IF(AND(M49&gt;100,M49&lt;=1000),M49*3%,IF(AND(M49&gt;10,M49&lt;=100),M49*5%,M49*8%))))</f>
        <v>81.89</v>
      </c>
      <c r="M63" s="24">
        <f ca="1">ROUND(L63,1)</f>
        <v>81.900000000000006</v>
      </c>
      <c r="Z63" s="2421"/>
      <c r="AI63" s="2422"/>
    </row>
    <row r="64" spans="1:35" ht="14.25" hidden="1" customHeight="1">
      <c r="A64" s="196" t="s">
        <v>770</v>
      </c>
      <c r="B64" s="197" t="s">
        <v>2232</v>
      </c>
      <c r="C64" s="198">
        <f ca="1">D45</f>
        <v>8189</v>
      </c>
      <c r="D64" s="199" t="s">
        <v>32</v>
      </c>
      <c r="E64" s="200"/>
      <c r="F64" s="2487"/>
      <c r="G64" s="2487"/>
      <c r="H64" s="2495"/>
      <c r="I64" s="137"/>
      <c r="J64" s="3082"/>
      <c r="K64" s="2497" t="s">
        <v>2233</v>
      </c>
      <c r="L64" s="1751">
        <f ca="1">IF(M49&gt;2000,M49*0.5%,IF(AND(M49&gt;1000,M49&lt;=2000),M49*0.6%,IF(AND(M49&gt;500,M49&lt;=1000),M49*0.7%,IF(AND(M49&gt;200,M49&lt;=500),M49*0.8%,IF(AND(M49&gt;100,M49&lt;=200),M49*0.9%,IF(AND(M49&gt;50,M49&lt;=100),M49*1%,IF(AND(M49&gt;20,M49&lt;=50),M49*1.5%,IF(AND(M49&gt;10,M49&lt;=20),M49*2%,IF(AND(M49&gt;1,M49&lt;=10),M49*2.5%)))))))))</f>
        <v>40.945</v>
      </c>
      <c r="M64" s="24">
        <f t="shared" ref="M64:M65" ca="1" si="1">ROUND(L64,1)</f>
        <v>40.9</v>
      </c>
      <c r="N64" s="137" t="s">
        <v>2234</v>
      </c>
      <c r="Z64" s="2421"/>
      <c r="AI64" s="2422"/>
    </row>
    <row r="65" spans="1:35" ht="14.25" hidden="1" customHeight="1">
      <c r="A65" s="196" t="s">
        <v>771</v>
      </c>
      <c r="B65" s="197" t="s">
        <v>2235</v>
      </c>
      <c r="C65" s="201"/>
      <c r="D65" s="199"/>
      <c r="E65" s="200"/>
      <c r="F65" s="2487"/>
      <c r="G65" s="2487"/>
      <c r="H65" s="2495"/>
      <c r="I65" s="137"/>
      <c r="J65" s="3082"/>
      <c r="K65" s="2497" t="s">
        <v>2236</v>
      </c>
      <c r="L65" s="1751">
        <f ca="1">IF(M49&gt;1000,M49*0.1%,IF(AND(M49&gt;500,M49&lt;=1000),M49*0.5%,IF(AND(M49&gt;50,M49&lt;=500),M49*1%,IF(AND(M49&gt;1,M49&lt;=50),M49*1.5%))))</f>
        <v>8.1890000000000001</v>
      </c>
      <c r="M65" s="24">
        <f t="shared" ca="1" si="1"/>
        <v>8.1999999999999993</v>
      </c>
      <c r="N65" s="137" t="s">
        <v>2234</v>
      </c>
      <c r="Z65" s="2421"/>
      <c r="AI65" s="2422"/>
    </row>
    <row r="66" spans="1:35" ht="14.25" hidden="1" customHeight="1">
      <c r="A66" s="202" t="s">
        <v>772</v>
      </c>
      <c r="B66" s="203" t="s">
        <v>2237</v>
      </c>
      <c r="C66" s="204"/>
      <c r="D66" s="205" t="s">
        <v>32</v>
      </c>
      <c r="E66" s="1775" t="s">
        <v>1371</v>
      </c>
      <c r="F66" s="2487"/>
      <c r="G66" s="2487"/>
      <c r="H66" s="2495"/>
      <c r="I66" s="137"/>
      <c r="J66" s="3082"/>
      <c r="K66" s="2497" t="s">
        <v>2238</v>
      </c>
      <c r="L66" s="1751">
        <f ca="1">M49*0.5%</f>
        <v>40.945</v>
      </c>
      <c r="M66" s="24">
        <f ca="1">IF(L66&gt;0.5,0.5,ROUND(L66,0))</f>
        <v>0.5</v>
      </c>
      <c r="N66" s="137" t="s">
        <v>2239</v>
      </c>
      <c r="Z66" s="2421"/>
      <c r="AI66" s="2422"/>
    </row>
    <row r="67" spans="1:35" ht="14.25" hidden="1" customHeight="1">
      <c r="A67" s="202" t="s">
        <v>773</v>
      </c>
      <c r="B67" s="203" t="s">
        <v>2240</v>
      </c>
      <c r="C67" s="206">
        <f ca="1">C63-C66</f>
        <v>7799</v>
      </c>
      <c r="D67" s="199" t="s">
        <v>32</v>
      </c>
      <c r="E67" s="200"/>
      <c r="F67" s="2487"/>
      <c r="G67" s="2487"/>
      <c r="H67" s="2495"/>
      <c r="I67" s="137"/>
      <c r="J67" s="3082"/>
      <c r="K67" s="2497" t="s">
        <v>2241</v>
      </c>
      <c r="L67" s="1751">
        <f ca="1">IF(M49&gt;=10000,(8.25+(M49-10000)*0.01%),IF(AND(M49&gt;=8000,M49&lt;10000),(7.85+(M49-8000)*0.02%),IF(AND(M49&gt;=5000,M49&lt;8000),(6.65+(M49-5000)*0.04%),IF(AND(M49&gt;=2000,M49&lt;5000),(4.25+(PM49-2000)*0.08%),IF(AND(M49&gt;=1000,M49&lt;2000),(2.75+(M49-1000)*0.15%),IF(AND(M49&gt;=100,M49&lt;1000),(0.5+(M49-100)*0.25%),IF(AND(M49&gt;0,M49&lt;100),M49*0.5%)))))))</f>
        <v>7.8877999999999995</v>
      </c>
      <c r="M67" s="24">
        <f ca="1">ROUND(L67*0.9,1)</f>
        <v>7.1</v>
      </c>
      <c r="Z67" s="2421"/>
      <c r="AI67" s="2422"/>
    </row>
    <row r="68" spans="1:35" ht="14.25" hidden="1" customHeight="1" thickBot="1">
      <c r="A68" s="207" t="s">
        <v>774</v>
      </c>
      <c r="B68" s="208" t="s">
        <v>2242</v>
      </c>
      <c r="C68" s="209">
        <f ca="1">IF(C67&lt;=0,0,ROUND(C67*D68,0))</f>
        <v>437</v>
      </c>
      <c r="D68" s="210">
        <f>'数据-取费表'!B41</f>
        <v>5.6000000000000001E-2</v>
      </c>
      <c r="E68" s="211"/>
      <c r="F68" s="2487"/>
      <c r="G68" s="2487"/>
      <c r="H68" s="2495"/>
      <c r="I68" s="137"/>
      <c r="J68" s="3082"/>
      <c r="K68" s="2497" t="s">
        <v>2243</v>
      </c>
      <c r="L68" s="1751">
        <f ca="1">IF(M49&gt;10000,M49*0.5%,IF(AND(M49&gt;5000,M49&lt;=10000),M49*1%,IF(AND(M49&gt;1000,M49&lt;=5000),M49*2%,IF(AND(M49&gt;200,M49&lt;=1000),M49*3%,M49*5%))))</f>
        <v>81.89</v>
      </c>
      <c r="M68" s="24">
        <f ca="1">ROUND(L68,1)</f>
        <v>81.900000000000006</v>
      </c>
      <c r="Z68" s="2421"/>
      <c r="AI68" s="2422"/>
    </row>
    <row r="69" spans="1:35" s="2444" customFormat="1" ht="16.5" hidden="1" customHeight="1">
      <c r="A69" s="2498"/>
      <c r="B69" s="2499"/>
      <c r="C69" s="2500"/>
      <c r="D69" s="2501"/>
      <c r="E69" s="2502"/>
      <c r="F69" s="2165"/>
      <c r="G69" s="2165"/>
      <c r="H69" s="2164"/>
      <c r="I69" s="2416"/>
      <c r="J69" s="3082"/>
      <c r="K69" s="2497" t="s">
        <v>2244</v>
      </c>
      <c r="L69" s="2503"/>
      <c r="M69" s="24">
        <f ca="1">ROUND(SUM(M63:M68),0)</f>
        <v>221</v>
      </c>
      <c r="N69" s="1752">
        <f ca="1">M69/M49</f>
        <v>2.6987422151666871E-2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126" t="s">
        <v>2245</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17" t="s">
        <v>2226</v>
      </c>
      <c r="B71" s="3118"/>
      <c r="C71" s="1803"/>
      <c r="D71" s="1803" t="s">
        <v>2227</v>
      </c>
      <c r="E71" s="212" t="s">
        <v>2228</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2246</v>
      </c>
      <c r="C72" s="206">
        <f ca="1">ROUND(D45/(1+'数据-取费表'!C42),0)</f>
        <v>7799</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2247</v>
      </c>
      <c r="C73" s="206">
        <f ca="1">C74+C78</f>
        <v>47</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2248</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2249</v>
      </c>
      <c r="C75" s="217"/>
      <c r="D75" s="199" t="s">
        <v>32</v>
      </c>
      <c r="E75" s="218" t="s">
        <v>2250</v>
      </c>
      <c r="F75" s="2509" t="s">
        <v>2251</v>
      </c>
      <c r="G75" s="218" t="s">
        <v>2252</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2253</v>
      </c>
      <c r="C76" s="199">
        <f>IF(F75="购房发票",ROUND(C75*H75*D76,0),0)</f>
        <v>0</v>
      </c>
      <c r="D76" s="221">
        <v>0.05</v>
      </c>
      <c r="E76" s="3123" t="s">
        <v>2254</v>
      </c>
      <c r="F76" s="3122"/>
      <c r="G76" s="3122"/>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1" t="s">
        <v>2257</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2258</v>
      </c>
      <c r="C78" s="224">
        <f ca="1">ROUND(D45*D78/(1+'数据-取费表'!C42),0)</f>
        <v>47</v>
      </c>
      <c r="D78" s="225">
        <f>'数据-取费表'!B43</f>
        <v>6.000000000000001E-3</v>
      </c>
      <c r="E78" s="3114" t="s">
        <v>2259</v>
      </c>
      <c r="F78" s="3115"/>
      <c r="G78" s="3115"/>
      <c r="H78" s="311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2260</v>
      </c>
      <c r="C79" s="206">
        <f ca="1">C72-C73</f>
        <v>7752</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2261</v>
      </c>
      <c r="C80" s="226">
        <f ca="1">IF(C79&lt;=0,0,C79/C73)</f>
        <v>164.93617021276594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2262</v>
      </c>
      <c r="C81" s="227">
        <f ca="1">ROUND(IF(C79&lt;=0,0,IF(C80&gt;=200%,C79*60%-C73*35%,IF(C80&gt;=100%,C79*50%-C73*15%,IF(C80&gt;=50%,C79*40%-C73*5%,IF(C80&lt;50%,C79*30%,0))))),0)</f>
        <v>4635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26" t="s">
        <v>2263</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17" t="s">
        <v>2226</v>
      </c>
      <c r="B84" s="3118"/>
      <c r="C84" s="1803"/>
      <c r="D84" s="1803" t="s">
        <v>2227</v>
      </c>
      <c r="E84" s="212" t="s">
        <v>2228</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2246</v>
      </c>
      <c r="C85" s="206">
        <f ca="1">ROUND(D45/(1+'数据-取费表'!C42),0)</f>
        <v>7799</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2247</v>
      </c>
      <c r="C86" s="206">
        <f ca="1">IF(H88="仅含出让金",C87+C90+C91+C92+C93+C94,C87+C91+C92+C93+C94)</f>
        <v>47</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2264</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2265</v>
      </c>
      <c r="C88" s="235"/>
      <c r="D88" s="225"/>
      <c r="E88" s="236" t="s">
        <v>2266</v>
      </c>
      <c r="F88" s="1799"/>
      <c r="G88" s="237" t="s">
        <v>2267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2255</v>
      </c>
      <c r="C89" s="224">
        <f>ROUND(C88*D89,0)</f>
        <v>0</v>
      </c>
      <c r="D89" s="225">
        <f>'数据-取费表'!B48+'数据-取费表'!B49</f>
        <v>3.0499999999999999E-2</v>
      </c>
      <c r="E89" s="236" t="s">
        <v>2268</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2269</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2270</v>
      </c>
      <c r="B91" s="197" t="s">
        <v>2271</v>
      </c>
      <c r="C91" s="224">
        <f>IF(H91="——",成本法!C33,I91)</f>
        <v>0</v>
      </c>
      <c r="D91" s="225"/>
      <c r="E91" s="3114" t="s">
        <v>2272</v>
      </c>
      <c r="F91" s="3115"/>
      <c r="G91" s="3115"/>
      <c r="H91" s="2516" t="s">
        <v>2273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2274</v>
      </c>
      <c r="B92" s="197" t="s">
        <v>2275</v>
      </c>
      <c r="C92" s="224">
        <f>ROUND((C87+C90+C91)*D92,0)</f>
        <v>0</v>
      </c>
      <c r="D92" s="225">
        <v>0.1</v>
      </c>
      <c r="E92" s="3114" t="s">
        <v>2276</v>
      </c>
      <c r="F92" s="3115"/>
      <c r="G92" s="3115"/>
      <c r="H92" s="311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2277</v>
      </c>
      <c r="B93" s="197" t="s">
        <v>2258</v>
      </c>
      <c r="C93" s="224">
        <f ca="1">ROUND(D45*D93/(1+'数据-取费表'!C42),0)</f>
        <v>47</v>
      </c>
      <c r="D93" s="225">
        <f>'数据-取费表'!B43</f>
        <v>6.000000000000001E-3</v>
      </c>
      <c r="E93" s="3114" t="s">
        <v>2259</v>
      </c>
      <c r="F93" s="3115"/>
      <c r="G93" s="3115"/>
      <c r="H93" s="311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2278</v>
      </c>
      <c r="B94" s="197" t="s">
        <v>2279</v>
      </c>
      <c r="C94" s="235">
        <f>ROUND((C87+C90+C91)*D94,0)</f>
        <v>0</v>
      </c>
      <c r="D94" s="225">
        <v>0.2</v>
      </c>
      <c r="E94" s="3162" t="s">
        <v>2280</v>
      </c>
      <c r="F94" s="3163"/>
      <c r="G94" s="3163"/>
      <c r="H94" s="316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2260</v>
      </c>
      <c r="C95" s="206">
        <f ca="1">ROUND(C85-C86,0)</f>
        <v>7752</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2261</v>
      </c>
      <c r="C96" s="226">
        <f ca="1">IF(C95&lt;=0,0,C95/C86)</f>
        <v>164.93617021276594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2262</v>
      </c>
      <c r="C97" s="227">
        <f ca="1">ROUND(IF(C95&lt;=0,0,IF(C96&gt;=200%,C95*60%-C86*35%,IF(C96&gt;=100%,C95*50%-C86*15%,IF(C96&gt;=50%,C95*40%-C86*5%,IF(C96&lt;50%,C95*30%,0))))),0)</f>
        <v>4635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5"/>
      <c r="F98" s="2165"/>
      <c r="G98" s="2165"/>
      <c r="H98" s="2164"/>
      <c r="I98" s="137"/>
    </row>
    <row r="99" spans="1:35" ht="21.75" customHeight="1" thickBot="1">
      <c r="A99" s="2472" t="s">
        <v>2281</v>
      </c>
      <c r="B99" s="2416"/>
      <c r="C99" s="2416"/>
      <c r="D99" s="2416"/>
      <c r="E99" s="2165"/>
      <c r="F99" s="2165"/>
      <c r="G99" s="2165"/>
      <c r="H99" s="2164"/>
      <c r="I99" s="137"/>
    </row>
    <row r="100" spans="1:35" ht="18.75" customHeight="1">
      <c r="A100" s="3066" t="s">
        <v>2282</v>
      </c>
      <c r="B100" s="3067"/>
      <c r="C100" s="3067"/>
      <c r="D100" s="3098"/>
      <c r="E100" s="3067" t="s">
        <v>2283</v>
      </c>
      <c r="F100" s="3067"/>
      <c r="G100" s="3067"/>
      <c r="H100" s="3098"/>
      <c r="I100" s="137"/>
    </row>
    <row r="101" spans="1:35" ht="18.75" customHeight="1">
      <c r="A101" s="3106" t="s">
        <v>2284</v>
      </c>
      <c r="B101" s="3107"/>
      <c r="C101" s="735" t="str">
        <f>C4</f>
        <v>成本法</v>
      </c>
      <c r="D101" s="736" t="str">
        <f>D4</f>
        <v>收益法（汇总）</v>
      </c>
      <c r="E101" s="3078" t="s">
        <v>2285</v>
      </c>
      <c r="F101" s="3079"/>
      <c r="G101" s="2518" t="s">
        <v>2286</v>
      </c>
      <c r="H101" s="1047">
        <f ca="1">H118</f>
        <v>8189</v>
      </c>
      <c r="I101" s="137"/>
    </row>
    <row r="102" spans="1:35" ht="18.75" customHeight="1">
      <c r="A102" s="3108" t="s">
        <v>2287</v>
      </c>
      <c r="B102" s="2518" t="s">
        <v>2286</v>
      </c>
      <c r="C102" s="735">
        <f ca="1">C19</f>
        <v>8006</v>
      </c>
      <c r="D102" s="736">
        <f ca="1">D19</f>
        <v>8372</v>
      </c>
      <c r="E102" s="3078"/>
      <c r="F102" s="3079"/>
      <c r="G102" s="2518" t="s">
        <v>2288</v>
      </c>
      <c r="H102" s="370">
        <f ca="1">I118</f>
        <v>4566</v>
      </c>
      <c r="I102" s="137"/>
    </row>
    <row r="103" spans="1:35" ht="42.75" customHeight="1">
      <c r="A103" s="3108"/>
      <c r="B103" s="2518" t="s">
        <v>2288</v>
      </c>
      <c r="C103" s="737">
        <f ca="1">C20</f>
        <v>4464</v>
      </c>
      <c r="D103" s="738">
        <f ca="1">D20</f>
        <v>4668</v>
      </c>
      <c r="E103" s="3072" t="s">
        <v>3271</v>
      </c>
      <c r="F103" s="3073"/>
      <c r="G103" s="2519" t="s">
        <v>2289</v>
      </c>
      <c r="H103" s="1047">
        <f>IF(D36="正常操作",H104+H105+H106,H105+H106)</f>
        <v>0</v>
      </c>
      <c r="I103" s="137"/>
    </row>
    <row r="104" spans="1:35" ht="18.75" customHeight="1">
      <c r="A104" s="3108" t="s">
        <v>2290</v>
      </c>
      <c r="B104" s="2520" t="s">
        <v>2286</v>
      </c>
      <c r="C104" s="739">
        <f ca="1">H118</f>
        <v>8189</v>
      </c>
      <c r="D104" s="740"/>
      <c r="E104" s="2266" t="s">
        <v>2291</v>
      </c>
      <c r="F104" s="2257"/>
      <c r="G104" s="2519" t="s">
        <v>2289</v>
      </c>
      <c r="H104" s="1048">
        <f>IF(D36="同一抵押权人同一抵押物续贷",C36&amp;"（未扣减，详见特别提示）",C36)</f>
        <v>4330</v>
      </c>
      <c r="I104" s="137"/>
    </row>
    <row r="105" spans="1:35" ht="18.75" customHeight="1" thickBot="1">
      <c r="A105" s="3120"/>
      <c r="B105" s="2521" t="s">
        <v>2288</v>
      </c>
      <c r="C105" s="741">
        <f ca="1">I118</f>
        <v>4566</v>
      </c>
      <c r="D105" s="742"/>
      <c r="E105" s="2266" t="s">
        <v>2292</v>
      </c>
      <c r="F105" s="2257"/>
      <c r="G105" s="2519" t="s">
        <v>2289</v>
      </c>
      <c r="H105" s="1048">
        <f>C37</f>
        <v>0</v>
      </c>
      <c r="I105" s="137"/>
    </row>
    <row r="106" spans="1:35" ht="18.75" customHeight="1">
      <c r="A106" s="2416" t="s">
        <v>2293</v>
      </c>
      <c r="B106" s="2416"/>
      <c r="C106" s="2416"/>
      <c r="D106" s="2416"/>
      <c r="E106" s="2522" t="s">
        <v>2294</v>
      </c>
      <c r="F106" s="2257"/>
      <c r="G106" s="2519" t="s">
        <v>2289</v>
      </c>
      <c r="H106" s="1048">
        <f>C38</f>
        <v>0</v>
      </c>
      <c r="I106" s="137"/>
    </row>
    <row r="107" spans="1:35" ht="18.75" hidden="1" customHeight="1">
      <c r="A107" s="137"/>
      <c r="B107" s="137"/>
      <c r="C107" s="137"/>
      <c r="D107" s="137"/>
      <c r="E107" s="3109" t="str">
        <f>IF(项目基本情况!E8="已注销","——","3.房地产抵押价值")</f>
        <v>——</v>
      </c>
      <c r="F107" s="3079"/>
      <c r="G107" s="2518" t="s">
        <v>2286</v>
      </c>
      <c r="H107" s="1047" t="str">
        <f>IF(E107="——","——",H101-H103)</f>
        <v>——</v>
      </c>
      <c r="I107" s="137"/>
    </row>
    <row r="108" spans="1:35" ht="18.75" hidden="1" customHeight="1">
      <c r="A108" s="137"/>
      <c r="B108" s="137"/>
      <c r="C108" s="137"/>
      <c r="D108" s="137"/>
      <c r="E108" s="3109"/>
      <c r="F108" s="3079"/>
      <c r="G108" s="2518" t="s">
        <v>2288</v>
      </c>
      <c r="H108" s="370" t="e">
        <f>ROUND(H107*10000/'数据-汇总表'!E3,0)</f>
        <v>#VALUE!</v>
      </c>
      <c r="I108" s="137"/>
    </row>
    <row r="109" spans="1:35" ht="18.75" customHeight="1">
      <c r="A109" s="137"/>
      <c r="B109" s="137"/>
      <c r="C109" s="137"/>
      <c r="D109" s="137"/>
      <c r="E109" s="3109" t="str">
        <f>IF(项目基本情况!E8="已注销及未注销","4.抵押担保权已注销时的房地产抵押价值",IF(项目基本情况!E8="已注销","3.抵押担保权已注销时的房地产抵押价值","——"))</f>
        <v>3.抵押担保权已注销时的房地产抵押价值</v>
      </c>
      <c r="F109" s="3079"/>
      <c r="G109" s="2518" t="s">
        <v>2286</v>
      </c>
      <c r="H109" s="347">
        <f ca="1">IF(E109="——","——",H101-H105-H106)</f>
        <v>8189</v>
      </c>
      <c r="I109" s="137"/>
    </row>
    <row r="110" spans="1:35" ht="18.75" customHeight="1" thickBot="1">
      <c r="A110" s="137"/>
      <c r="B110" s="137"/>
      <c r="C110" s="137"/>
      <c r="D110" s="137"/>
      <c r="E110" s="3109"/>
      <c r="F110" s="3079"/>
      <c r="G110" s="2518" t="s">
        <v>2288</v>
      </c>
      <c r="H110" s="370">
        <f ca="1">IF(H109="——","——",ROUND(H109*10000/'数据-汇总表'!E3,0))</f>
        <v>4566</v>
      </c>
      <c r="I110" s="137"/>
    </row>
    <row r="111" spans="1:35" ht="18.75" hidden="1" customHeight="1">
      <c r="A111" s="137"/>
      <c r="B111" s="137"/>
      <c r="C111" s="137"/>
      <c r="D111" s="137"/>
      <c r="E111" s="3110" t="str">
        <f>IF(项目基本情况!E9="抵押净值",IF(OR(项目基本情况!E8="已注销",项目基本情况!E8="房地产抵押价值"),"4.抵押净值","5.抵押净值"),"——")</f>
        <v>——</v>
      </c>
      <c r="F111" s="3111"/>
      <c r="G111" s="2518" t="s">
        <v>2286</v>
      </c>
      <c r="H111" s="1047" t="str">
        <f>IF(E111="——","——",N59)</f>
        <v>——</v>
      </c>
      <c r="I111" s="137"/>
    </row>
    <row r="112" spans="1:35" ht="18.75" hidden="1" customHeight="1" thickBot="1">
      <c r="A112" s="137"/>
      <c r="B112" s="137"/>
      <c r="C112" s="137"/>
      <c r="D112" s="137"/>
      <c r="E112" s="3112"/>
      <c r="F112" s="3113"/>
      <c r="G112" s="2523" t="s">
        <v>2288</v>
      </c>
      <c r="H112" s="789" t="str">
        <f>IF(E111="——","——",N61)</f>
        <v>——</v>
      </c>
      <c r="I112" s="137"/>
    </row>
    <row r="113" spans="1:11" ht="18.75" customHeight="1">
      <c r="A113" s="137"/>
      <c r="B113" s="137"/>
      <c r="C113" s="137"/>
      <c r="D113" s="137"/>
      <c r="E113" s="3121" t="s">
        <v>2293</v>
      </c>
      <c r="F113" s="3121"/>
      <c r="G113" s="3121"/>
      <c r="H113" s="3121"/>
      <c r="I113" s="137"/>
    </row>
    <row r="114" spans="1:11" ht="3.75" customHeight="1">
      <c r="A114" s="2416"/>
      <c r="B114" s="2416"/>
      <c r="C114" s="2416"/>
      <c r="D114" s="2416"/>
      <c r="E114" s="2494"/>
      <c r="F114" s="2494"/>
      <c r="G114" s="2494"/>
      <c r="H114" s="2494"/>
      <c r="I114" s="2416"/>
    </row>
    <row r="115" spans="1:11" ht="18.75" customHeight="1">
      <c r="A115" s="3134" t="s">
        <v>2295</v>
      </c>
      <c r="B115" s="3135"/>
      <c r="C115" s="3135"/>
      <c r="D115" s="3135"/>
      <c r="E115" s="3135"/>
      <c r="F115" s="3135"/>
      <c r="G115" s="3135"/>
      <c r="H115" s="3135"/>
      <c r="I115" s="3136"/>
    </row>
    <row r="116" spans="1:11" ht="27" customHeight="1">
      <c r="A116" s="3045" t="s">
        <v>2296</v>
      </c>
      <c r="B116" s="3088" t="s">
        <v>2297</v>
      </c>
      <c r="C116" s="3088" t="s">
        <v>2298</v>
      </c>
      <c r="D116" s="3094" t="s">
        <v>2299</v>
      </c>
      <c r="E116" s="3095"/>
      <c r="F116" s="3130" t="s">
        <v>2300</v>
      </c>
      <c r="G116" s="3130"/>
      <c r="H116" s="3045" t="s">
        <v>2301</v>
      </c>
      <c r="I116" s="3045"/>
    </row>
    <row r="117" spans="1:11" ht="18.75" customHeight="1">
      <c r="A117" s="3045"/>
      <c r="B117" s="3089"/>
      <c r="C117" s="3089"/>
      <c r="D117" s="1797" t="s">
        <v>2302</v>
      </c>
      <c r="E117" s="1797" t="s">
        <v>2303</v>
      </c>
      <c r="F117" s="1797" t="s">
        <v>2302</v>
      </c>
      <c r="G117" s="1797" t="s">
        <v>2304</v>
      </c>
      <c r="H117" s="1797" t="s">
        <v>2302</v>
      </c>
      <c r="I117" s="1797" t="s">
        <v>2304</v>
      </c>
    </row>
    <row r="118" spans="1:11" ht="24.75" customHeight="1">
      <c r="A118" s="2524" t="str">
        <f>项目基本情况!S2</f>
        <v>上海市金山区山阳镇阳乐路188号6幢工业用房房地产房地产</v>
      </c>
      <c r="B118" s="1797">
        <f>M18</f>
        <v>17933.88</v>
      </c>
      <c r="C118" s="1797">
        <f>M19</f>
        <v>11729.24</v>
      </c>
      <c r="D118" s="1797">
        <f ca="1">ROUND(IF(D32="总价",C34,E118*B118/10000),0)</f>
        <v>2309</v>
      </c>
      <c r="E118" s="1797">
        <f ca="1">ROUND(IF(C33="自定义",IF(D32="楼面单价",C34,D118*10000/B118),I118-G118),0)</f>
        <v>1287</v>
      </c>
      <c r="F118" s="1797">
        <f ca="1">ROUND(IF(D32="总价",C35,G118*B118/10000),0)</f>
        <v>5880</v>
      </c>
      <c r="G118" s="1797">
        <f ca="1">ROUND(IF(D32="楼面单价",C35,F118*10000/B118),0)</f>
        <v>3279</v>
      </c>
      <c r="H118" s="1797">
        <f ca="1">ROUND(IF(D32="总价",C32,I118*B118/10000),0)</f>
        <v>8189</v>
      </c>
      <c r="I118" s="1797">
        <f ca="1">ROUND(IF(D32="楼面单价",C32,H118*10000/B118),0)</f>
        <v>4566</v>
      </c>
      <c r="J118" s="794">
        <f ca="1">ROUND(E118*666.67/10000,0)</f>
        <v>86</v>
      </c>
    </row>
    <row r="119" spans="1:11" ht="18.75" customHeight="1">
      <c r="A119" s="3045" t="s">
        <v>2305</v>
      </c>
      <c r="B119" s="3045"/>
      <c r="C119" s="3045"/>
      <c r="D119" s="3090" t="str">
        <f ca="1">NUMBERSTRING(INT(D118*10000),2)&amp;"元整"</f>
        <v>贰仟叁佰零玖万元整</v>
      </c>
      <c r="E119" s="3091"/>
      <c r="F119" s="3090" t="str">
        <f ca="1">NUMBERSTRING(INT(F118*10000),2)&amp;"元整"</f>
        <v>伍仟捌佰捌拾万元整</v>
      </c>
      <c r="G119" s="3091"/>
      <c r="H119" s="3090" t="str">
        <f ca="1">NUMBERSTRING(INT(H118*10000),2)&amp;"元整"</f>
        <v>捌仟壹佰捌拾玖万元整</v>
      </c>
      <c r="I119" s="3091"/>
    </row>
    <row r="120" spans="1:11" ht="18.75" customHeight="1">
      <c r="A120" s="3085" t="str">
        <f>IF(项目基本情况!B9="房地产市场价值","",MID(E103,3,LEN(E103)-2))</f>
        <v>估价师知悉的除抵押担保权以外的法定优先受偿款</v>
      </c>
      <c r="B120" s="3086"/>
      <c r="C120" s="3087"/>
      <c r="D120" s="3085">
        <f>H103</f>
        <v>0</v>
      </c>
      <c r="E120" s="3086"/>
      <c r="F120" s="3086"/>
      <c r="G120" s="3086"/>
      <c r="H120" s="3086"/>
      <c r="I120" s="3087"/>
      <c r="K120" s="2421" t="str">
        <f>IF(D120=0,"故，本次评估不存在"&amp;A120,"故，本次评估"&amp;A120&amp;"为人民币"&amp;D120&amp;"万元整。")</f>
        <v>故，本次评估不存在估价师知悉的除抵押担保权以外的法定优先受偿款</v>
      </c>
    </row>
    <row r="121" spans="1:11" ht="18.75" customHeight="1">
      <c r="A121" s="3131" t="s">
        <v>2305</v>
      </c>
      <c r="B121" s="3132"/>
      <c r="C121" s="3133"/>
      <c r="D121" s="3090" t="str">
        <f>IF(D120=0,"零元整",NUMBERSTRING(INT(D120*10000),2)&amp;"元整")</f>
        <v>零元整</v>
      </c>
      <c r="E121" s="3092"/>
      <c r="F121" s="3092"/>
      <c r="G121" s="3092"/>
      <c r="H121" s="3092"/>
      <c r="I121" s="3091"/>
    </row>
    <row r="122" spans="1:11" ht="18.75" hidden="1" customHeight="1">
      <c r="A122" s="3096" t="str">
        <f>IF(项目基本情况!B9="房地产市场价值","",MID(E107,3,LEN(E107)-2))</f>
        <v/>
      </c>
      <c r="B122" s="3096"/>
      <c r="C122" s="3096"/>
      <c r="D122" s="3085" t="str">
        <f>H107</f>
        <v>——</v>
      </c>
      <c r="E122" s="3086"/>
      <c r="F122" s="3086"/>
      <c r="G122" s="3086"/>
      <c r="H122" s="3086"/>
      <c r="I122" s="3087"/>
    </row>
    <row r="123" spans="1:11" ht="18.75" hidden="1" customHeight="1">
      <c r="A123" s="3045" t="s">
        <v>2305</v>
      </c>
      <c r="B123" s="3045"/>
      <c r="C123" s="3045"/>
      <c r="D123" s="3090" t="e">
        <f>NUMBERSTRING(INT(D122*10000),2)&amp;"元整"</f>
        <v>#VALUE!</v>
      </c>
      <c r="E123" s="3092"/>
      <c r="F123" s="3092"/>
      <c r="G123" s="3092"/>
      <c r="H123" s="3092"/>
      <c r="I123" s="3091"/>
    </row>
    <row r="124" spans="1:11" ht="18.75" customHeight="1">
      <c r="A124" s="3096" t="str">
        <f>IF(项目基本情况!B9="房地产市场价值","",MID(E109,3,LEN(E109)-2))</f>
        <v>抵押担保权已注销时的房地产抵押价值</v>
      </c>
      <c r="B124" s="3096"/>
      <c r="C124" s="3096"/>
      <c r="D124" s="3085">
        <f ca="1">H109</f>
        <v>8189</v>
      </c>
      <c r="E124" s="3086"/>
      <c r="F124" s="3086"/>
      <c r="G124" s="3086"/>
      <c r="H124" s="3086"/>
      <c r="I124" s="3087"/>
    </row>
    <row r="125" spans="1:11" ht="18.75" customHeight="1">
      <c r="A125" s="3045" t="s">
        <v>2305</v>
      </c>
      <c r="B125" s="3045"/>
      <c r="C125" s="3045"/>
      <c r="D125" s="3090" t="str">
        <f ca="1">NUMBERSTRING(INT(D124*10000),2)&amp;"元整"</f>
        <v>捌仟壹佰捌拾玖万元整</v>
      </c>
      <c r="E125" s="3092"/>
      <c r="F125" s="3092"/>
      <c r="G125" s="3092"/>
      <c r="H125" s="3092"/>
      <c r="I125" s="3091"/>
    </row>
    <row r="126" spans="1:11" ht="18.75" hidden="1" customHeight="1">
      <c r="A126" s="3096" t="str">
        <f>IF(项目基本情况!B9="房地产市场价值","",MID(E111,3,LEN(E111)-2))</f>
        <v/>
      </c>
      <c r="B126" s="3096"/>
      <c r="C126" s="3096"/>
      <c r="D126" s="3085" t="str">
        <f>H111</f>
        <v>——</v>
      </c>
      <c r="E126" s="3086"/>
      <c r="F126" s="3086"/>
      <c r="G126" s="3086"/>
      <c r="H126" s="3086"/>
      <c r="I126" s="3087"/>
    </row>
    <row r="127" spans="1:11" ht="18.75" hidden="1" customHeight="1">
      <c r="A127" s="3045" t="s">
        <v>2305</v>
      </c>
      <c r="B127" s="3045"/>
      <c r="C127" s="3045"/>
      <c r="D127" s="3090" t="e">
        <f>NUMBERSTRING(INT(D126*10000),2)&amp;"元整"</f>
        <v>#VALUE!</v>
      </c>
      <c r="E127" s="3092"/>
      <c r="F127" s="3092"/>
      <c r="G127" s="3092"/>
      <c r="H127" s="3092"/>
      <c r="I127" s="3091"/>
    </row>
    <row r="128" spans="1:11" ht="21.75" customHeight="1">
      <c r="A128" s="3093" t="s">
        <v>2306</v>
      </c>
      <c r="B128" s="3093"/>
      <c r="C128" s="3093"/>
      <c r="D128" s="3093"/>
      <c r="E128" s="3093"/>
      <c r="F128" s="3093"/>
      <c r="G128" s="3093"/>
      <c r="H128" s="3093"/>
      <c r="I128" s="3093"/>
    </row>
    <row r="129" spans="1:35" ht="21.75" customHeight="1">
      <c r="A129" s="2525" t="s">
        <v>2307</v>
      </c>
      <c r="B129" s="2526"/>
      <c r="C129" s="2527" t="s">
        <v>2308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2309</v>
      </c>
      <c r="G135" s="2542"/>
      <c r="H135" s="2542"/>
      <c r="I135" s="2543" t="s">
        <v>2310</v>
      </c>
    </row>
    <row r="136" spans="1:35" ht="21.75" customHeight="1">
      <c r="A136" s="794"/>
      <c r="B136" s="2544"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2312</v>
      </c>
    </row>
    <row r="139" spans="1:35" ht="21.75" customHeight="1">
      <c r="A139" s="794"/>
      <c r="B139" s="2544" t="s">
        <v>2313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2312</v>
      </c>
    </row>
    <row r="142" spans="1:35" ht="21.75" customHeight="1">
      <c r="A142" s="794"/>
      <c r="B142" s="2544"/>
      <c r="C142" s="2545"/>
      <c r="D142" s="2546"/>
      <c r="E142" s="2546"/>
      <c r="F142" s="2340"/>
      <c r="G142" s="794"/>
      <c r="H142" s="794"/>
      <c r="I142" s="794"/>
    </row>
    <row r="143" spans="1:35" s="138"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2315</v>
      </c>
      <c r="B2" s="670">
        <f>F61</f>
        <v>1700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2317</v>
      </c>
      <c r="B3" s="608">
        <f>ROUND(IF(D3="",B2*10000/'数据-汇总表'!E3,B2*10000/D3),0)</f>
        <v>948</v>
      </c>
      <c r="C3" s="246" t="s">
        <v>2734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178" t="s">
        <v>2634</v>
      </c>
      <c r="D4" s="3179"/>
      <c r="E4" s="3180" t="s">
        <v>2635</v>
      </c>
      <c r="F4" s="3181"/>
      <c r="G4" s="3178" t="s">
        <v>2636</v>
      </c>
      <c r="H4" s="3179"/>
      <c r="I4" s="3178" t="s">
        <v>2637</v>
      </c>
      <c r="J4" s="3179"/>
      <c r="K4" s="609" t="s">
        <v>2638</v>
      </c>
      <c r="L4" s="1132"/>
      <c r="M4" s="1133"/>
      <c r="N4" s="1133"/>
      <c r="O4" s="1133"/>
      <c r="P4" s="3182" t="s">
        <v>2639</v>
      </c>
      <c r="Q4" s="3183"/>
      <c r="R4" s="3195" t="s">
        <v>2635</v>
      </c>
      <c r="S4" s="3196"/>
      <c r="T4" s="3195" t="s">
        <v>2636</v>
      </c>
      <c r="U4" s="3196"/>
      <c r="V4" s="3170" t="s">
        <v>2637</v>
      </c>
      <c r="W4" s="3170"/>
      <c r="X4" s="1815"/>
      <c r="Y4" s="3195" t="s">
        <v>2639</v>
      </c>
      <c r="Z4" s="3196"/>
      <c r="AA4" s="3175" t="s">
        <v>2635</v>
      </c>
      <c r="AB4" s="3176" t="s">
        <v>2636</v>
      </c>
      <c r="AC4" s="3175" t="s">
        <v>2637</v>
      </c>
    </row>
    <row r="5" spans="1:29" ht="15">
      <c r="A5" s="403"/>
      <c r="B5" s="404"/>
      <c r="C5" s="3199" t="s">
        <v>2530</v>
      </c>
      <c r="D5" s="3200"/>
      <c r="E5" s="3188" t="str">
        <f>土地案例!A1</f>
        <v>金山区朱泾工业区CB-201207007-1地块</v>
      </c>
      <c r="F5" s="3189"/>
      <c r="G5" s="3199" t="str">
        <f>土地案例!A2</f>
        <v>金山区金山工业区TZ_201701002号地块</v>
      </c>
      <c r="H5" s="3200"/>
      <c r="I5" s="3199" t="str">
        <f>土地案例!A3</f>
        <v>金山区金山工业园区(山阳)CB_201103001-2号地块</v>
      </c>
      <c r="J5" s="3200"/>
      <c r="K5" s="609"/>
      <c r="L5" s="1132"/>
      <c r="M5" s="1133"/>
      <c r="N5" s="1133"/>
      <c r="O5" s="1133"/>
      <c r="P5" s="3184"/>
      <c r="Q5" s="3185"/>
      <c r="R5" s="3197"/>
      <c r="S5" s="3198"/>
      <c r="T5" s="3197"/>
      <c r="U5" s="3198"/>
      <c r="V5" s="3170"/>
      <c r="W5" s="3170"/>
      <c r="X5" s="1815"/>
      <c r="Y5" s="3197"/>
      <c r="Z5" s="3198"/>
      <c r="AA5" s="3176"/>
      <c r="AB5" s="3176"/>
      <c r="AC5" s="3176"/>
    </row>
    <row r="6" spans="1:29" ht="15.75" thickBot="1">
      <c r="A6" s="405"/>
      <c r="B6" s="406"/>
      <c r="C6" s="3201" t="s">
        <v>2785</v>
      </c>
      <c r="D6" s="3202"/>
      <c r="E6" s="3204" t="s">
        <v>2785</v>
      </c>
      <c r="F6" s="3205"/>
      <c r="G6" s="3201" t="s">
        <v>2785</v>
      </c>
      <c r="H6" s="3202"/>
      <c r="I6" s="3201" t="s">
        <v>2785</v>
      </c>
      <c r="J6" s="3202"/>
      <c r="K6" s="609" t="s">
        <v>2535</v>
      </c>
      <c r="L6" s="1132"/>
      <c r="M6" s="1133"/>
      <c r="N6" s="1133"/>
      <c r="O6" s="1133"/>
      <c r="P6" s="3186"/>
      <c r="Q6" s="3187"/>
      <c r="R6" s="3197"/>
      <c r="S6" s="3198"/>
      <c r="T6" s="3206"/>
      <c r="U6" s="3207"/>
      <c r="V6" s="3170"/>
      <c r="W6" s="3170"/>
      <c r="X6" s="1815"/>
      <c r="Y6" s="3206"/>
      <c r="Z6" s="3207"/>
      <c r="AA6" s="3177"/>
      <c r="AB6" s="3177"/>
      <c r="AC6" s="3177"/>
    </row>
    <row r="7" spans="1:29" s="117" customFormat="1" ht="15.75" thickBot="1">
      <c r="A7" s="407" t="s">
        <v>2536</v>
      </c>
      <c r="B7" s="408"/>
      <c r="C7" s="409">
        <f>'数据-取费表'!B2</f>
        <v>43223</v>
      </c>
      <c r="D7" s="410">
        <v>100</v>
      </c>
      <c r="E7" s="411" t="str">
        <f>土地案例!AA1</f>
        <v>2017-11-20</v>
      </c>
      <c r="F7" s="412">
        <f>SUMIF(65:65,YEAR(E7)&amp;"-"&amp;INT((MONTH(E7)+2)/3),66:66)</f>
        <v>98</v>
      </c>
      <c r="G7" s="2696" t="str">
        <f>土地案例!AA2</f>
        <v>2017-09-21</v>
      </c>
      <c r="H7" s="410">
        <f>SUMIF(65:65,YEAR(G7)&amp;"-"&amp;INT((MONTH(G7)+2)/3),66:66)</f>
        <v>97</v>
      </c>
      <c r="I7" s="2696" t="str">
        <f>土地案例!AA3</f>
        <v>2017-05-18</v>
      </c>
      <c r="J7" s="410">
        <f>SUMIF(65:65,YEAR(I7)&amp;"-"&amp;INT((MONTH(I7)+2)/3),66:66)</f>
        <v>96</v>
      </c>
      <c r="K7" s="610"/>
      <c r="L7" s="1134"/>
      <c r="M7" s="1135"/>
      <c r="N7" s="1135"/>
      <c r="O7" s="1135"/>
      <c r="P7" s="3190" t="s">
        <v>2537</v>
      </c>
      <c r="Q7" s="3203"/>
      <c r="R7" s="769" t="s">
        <v>17</v>
      </c>
      <c r="S7" s="770">
        <f t="shared" ref="S7:S15" si="0">F7</f>
        <v>98</v>
      </c>
      <c r="T7" s="769" t="s">
        <v>17</v>
      </c>
      <c r="U7" s="770">
        <f t="shared" ref="U7:U15" si="1">H7</f>
        <v>97</v>
      </c>
      <c r="V7" s="769" t="s">
        <v>17</v>
      </c>
      <c r="W7" s="770">
        <f t="shared" ref="W7:W15" si="2">J7</f>
        <v>96</v>
      </c>
      <c r="X7" s="771"/>
      <c r="Y7" s="3190" t="s">
        <v>2537</v>
      </c>
      <c r="Z7" s="3191"/>
      <c r="AA7" s="772">
        <f>D7/F7</f>
        <v>1.0204081632653061</v>
      </c>
      <c r="AB7" s="772">
        <f>D7/H7</f>
        <v>1.0309278350515463</v>
      </c>
      <c r="AC7" s="772">
        <f>D7/J7</f>
        <v>1.0416666666666667</v>
      </c>
    </row>
    <row r="8" spans="1:29" s="117" customFormat="1" ht="15.75" thickBot="1">
      <c r="A8" s="407" t="s">
        <v>2538</v>
      </c>
      <c r="B8" s="408"/>
      <c r="C8" s="413" t="s">
        <v>2539</v>
      </c>
      <c r="D8" s="410">
        <v>100</v>
      </c>
      <c r="E8" s="413" t="s">
        <v>2539</v>
      </c>
      <c r="F8" s="412">
        <f>SUMIF(68:68,E8,69:69)-SUMIF(68:68,C8,69:69)+100</f>
        <v>100</v>
      </c>
      <c r="G8" s="413" t="s">
        <v>2539</v>
      </c>
      <c r="H8" s="410">
        <f>SUMIF(68:68,G8,69:69)-SUMIF(68:68,C8,69:69)+100</f>
        <v>100</v>
      </c>
      <c r="I8" s="413" t="s">
        <v>2539</v>
      </c>
      <c r="J8" s="410">
        <f>SUMIF(68:68,I8,69:69)-SUMIF(68:68,C8,69:69)+100</f>
        <v>100</v>
      </c>
      <c r="K8" s="610"/>
      <c r="L8" s="1134"/>
      <c r="M8" s="1135"/>
      <c r="N8" s="1135"/>
      <c r="O8" s="1135"/>
      <c r="P8" s="3190" t="s">
        <v>2540</v>
      </c>
      <c r="Q8" s="3191"/>
      <c r="R8" s="769" t="s">
        <v>17</v>
      </c>
      <c r="S8" s="770">
        <f t="shared" si="0"/>
        <v>100</v>
      </c>
      <c r="T8" s="769" t="s">
        <v>17</v>
      </c>
      <c r="U8" s="770">
        <f t="shared" si="1"/>
        <v>100</v>
      </c>
      <c r="V8" s="769" t="s">
        <v>17</v>
      </c>
      <c r="W8" s="770">
        <f t="shared" si="2"/>
        <v>100</v>
      </c>
      <c r="X8" s="771"/>
      <c r="Y8" s="3190" t="s">
        <v>2540</v>
      </c>
      <c r="Z8" s="3191"/>
      <c r="AA8" s="772">
        <f t="shared" ref="AA8:AA40" si="3">D8/F8</f>
        <v>1</v>
      </c>
      <c r="AB8" s="772">
        <f t="shared" ref="AB8:AB40" si="4">D8/H8</f>
        <v>1</v>
      </c>
      <c r="AC8" s="772">
        <f t="shared" ref="AC8:AC40" si="5">D8/J8</f>
        <v>1</v>
      </c>
    </row>
    <row r="9" spans="1:29" s="117" customFormat="1">
      <c r="A9" s="414" t="s">
        <v>2541</v>
      </c>
      <c r="B9" s="71" t="s">
        <v>2542</v>
      </c>
      <c r="C9" s="2699" t="s">
        <v>6</v>
      </c>
      <c r="D9" s="134">
        <v>100</v>
      </c>
      <c r="E9" s="2699" t="s">
        <v>6</v>
      </c>
      <c r="F9" s="134">
        <f>SUMIF(70:70,E9,71:71)-SUMIF(70:70,C9,71:71)+100</f>
        <v>100</v>
      </c>
      <c r="G9" s="2699" t="s">
        <v>6</v>
      </c>
      <c r="H9" s="134">
        <f>SUMIF(70:70,G9,71:71)-SUMIF(70:70,C9,71:71)+100</f>
        <v>100</v>
      </c>
      <c r="I9" s="2699" t="s">
        <v>6</v>
      </c>
      <c r="J9" s="134">
        <f>SUMIF(70:70,I9,71:71)-SUMIF(70:70,C9,71:71)+100</f>
        <v>100</v>
      </c>
      <c r="K9" s="610"/>
      <c r="L9" s="1134"/>
      <c r="M9" s="1135"/>
      <c r="N9" s="1135"/>
      <c r="O9" s="1136"/>
      <c r="P9" s="3168" t="s">
        <v>2543</v>
      </c>
      <c r="Q9" s="1797"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6" customFormat="1" ht="27">
      <c r="A10" s="420"/>
      <c r="B10" s="421" t="s">
        <v>2545</v>
      </c>
      <c r="C10" s="431">
        <f>'数据-取费表'!F6</f>
        <v>38.35</v>
      </c>
      <c r="D10" s="135">
        <v>100</v>
      </c>
      <c r="E10" s="431">
        <v>50</v>
      </c>
      <c r="F10" s="135">
        <f>ROUND(100/'数据-取费表'!G16,0)</f>
        <v>110</v>
      </c>
      <c r="G10" s="431">
        <v>50</v>
      </c>
      <c r="H10" s="135">
        <f>ROUND(100/'数据-取费表'!G16,0)</f>
        <v>110</v>
      </c>
      <c r="I10" s="431">
        <v>50</v>
      </c>
      <c r="J10" s="135">
        <f>ROUND(100/'数据-取费表'!G16,0)</f>
        <v>110</v>
      </c>
      <c r="K10" s="671"/>
      <c r="L10" s="1137"/>
      <c r="M10" s="1138"/>
      <c r="N10" s="1138"/>
      <c r="O10" s="1139"/>
      <c r="P10" s="3168"/>
      <c r="Q10" s="1797" t="str">
        <f t="shared" si="6"/>
        <v>土地使用年限（年）</v>
      </c>
      <c r="R10" s="769" t="s">
        <v>17</v>
      </c>
      <c r="S10" s="770">
        <f t="shared" si="0"/>
        <v>110</v>
      </c>
      <c r="T10" s="769" t="s">
        <v>17</v>
      </c>
      <c r="U10" s="770">
        <f t="shared" si="1"/>
        <v>110</v>
      </c>
      <c r="V10" s="769" t="s">
        <v>17</v>
      </c>
      <c r="W10" s="770">
        <f t="shared" si="2"/>
        <v>110</v>
      </c>
      <c r="X10" s="771"/>
      <c r="Y10" s="3045"/>
      <c r="Z10" s="55" t="str">
        <f t="shared" si="7"/>
        <v>土地使用年限（年）</v>
      </c>
      <c r="AA10" s="772">
        <f t="shared" si="3"/>
        <v>0.90909090909090906</v>
      </c>
      <c r="AB10" s="772">
        <f t="shared" si="4"/>
        <v>0.90909090909090906</v>
      </c>
      <c r="AC10" s="772">
        <f t="shared" si="5"/>
        <v>0.90909090909090906</v>
      </c>
    </row>
    <row r="11" spans="1:29" ht="15.75" thickBot="1">
      <c r="A11" s="427"/>
      <c r="B11" s="421" t="s">
        <v>2546</v>
      </c>
      <c r="C11" s="428">
        <f>'数据-汇总表'!I6</f>
        <v>1.53</v>
      </c>
      <c r="D11" s="135">
        <v>100</v>
      </c>
      <c r="E11" s="428">
        <f>土地案例!L1</f>
        <v>0.87</v>
      </c>
      <c r="F11" s="135">
        <f>LOOKUP(E11,75:75,76:76)-LOOKUP(C11,75:75,76:76)+100</f>
        <v>101</v>
      </c>
      <c r="G11" s="429">
        <f>土地案例!L2</f>
        <v>0.82</v>
      </c>
      <c r="H11" s="135">
        <f>LOOKUP(G11,75:75,76:76)-LOOKUP(C11,75:75,76:76)+100</f>
        <v>101</v>
      </c>
      <c r="I11" s="428">
        <f>土地案例!L3</f>
        <v>0.9</v>
      </c>
      <c r="J11" s="135">
        <f>LOOKUP(I11,75:75,76:76)-LOOKUP(C11,75:75,76:76)+100</f>
        <v>101</v>
      </c>
      <c r="K11" s="672">
        <v>1</v>
      </c>
      <c r="L11" s="1140"/>
      <c r="M11" s="1133"/>
      <c r="N11" s="1133"/>
      <c r="O11" s="1141"/>
      <c r="P11" s="3168"/>
      <c r="Q11" s="1797" t="str">
        <f t="shared" si="6"/>
        <v>容积率</v>
      </c>
      <c r="R11" s="769" t="s">
        <v>17</v>
      </c>
      <c r="S11" s="770">
        <f t="shared" si="0"/>
        <v>101</v>
      </c>
      <c r="T11" s="769" t="s">
        <v>17</v>
      </c>
      <c r="U11" s="770">
        <f t="shared" si="1"/>
        <v>101</v>
      </c>
      <c r="V11" s="769" t="s">
        <v>17</v>
      </c>
      <c r="W11" s="770">
        <f t="shared" si="2"/>
        <v>101</v>
      </c>
      <c r="X11" s="771"/>
      <c r="Y11" s="3045"/>
      <c r="Z11" s="55" t="str">
        <f t="shared" si="7"/>
        <v>容积率</v>
      </c>
      <c r="AA11" s="772">
        <f t="shared" si="3"/>
        <v>0.99009900990099009</v>
      </c>
      <c r="AB11" s="772">
        <f t="shared" si="4"/>
        <v>0.99009900990099009</v>
      </c>
      <c r="AC11" s="772">
        <f t="shared" si="5"/>
        <v>0.99009900990099009</v>
      </c>
    </row>
    <row r="12" spans="1:29" s="117" customFormat="1" ht="15" hidden="1">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8"/>
      <c r="Q12" s="1797">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 hidden="1">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8"/>
      <c r="Q13" s="1797">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75" hidden="1"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8"/>
      <c r="Q14" s="1797">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15">
      <c r="A15" s="439" t="s">
        <v>2547</v>
      </c>
      <c r="B15" s="628" t="s">
        <v>2786</v>
      </c>
      <c r="C15" s="2693" t="str">
        <f>估价对象房地状况!G15</f>
        <v>较好</v>
      </c>
      <c r="D15" s="440">
        <v>100</v>
      </c>
      <c r="E15" s="441"/>
      <c r="F15" s="440">
        <f>SUMIF(83:83,E16,84:84)-SUMIF(83:83,C16,84:84)+100</f>
        <v>100</v>
      </c>
      <c r="G15" s="441"/>
      <c r="H15" s="440">
        <f>SUMIF(83:83,G16,84:84)-SUMIF(83:83,C16,84:84)+100</f>
        <v>100</v>
      </c>
      <c r="I15" s="443"/>
      <c r="J15" s="440">
        <f>SUMIF(83:83,I16,84:84)-SUMIF(83:83,C16,84:84)+100</f>
        <v>100</v>
      </c>
      <c r="K15" s="672">
        <v>2</v>
      </c>
      <c r="L15" s="1142"/>
      <c r="M15" s="1133"/>
      <c r="N15" s="1133"/>
      <c r="O15" s="1141"/>
      <c r="P15" s="3171" t="s">
        <v>2548</v>
      </c>
      <c r="Q15" s="1812" t="str">
        <f t="shared" si="6"/>
        <v>产业集聚程度</v>
      </c>
      <c r="R15" s="773" t="s">
        <v>17</v>
      </c>
      <c r="S15" s="774">
        <f t="shared" si="0"/>
        <v>100</v>
      </c>
      <c r="T15" s="773" t="s">
        <v>17</v>
      </c>
      <c r="U15" s="774">
        <f t="shared" si="1"/>
        <v>100</v>
      </c>
      <c r="V15" s="773" t="s">
        <v>17</v>
      </c>
      <c r="W15" s="774">
        <f t="shared" si="2"/>
        <v>100</v>
      </c>
      <c r="X15" s="1815"/>
      <c r="Y15" s="3171" t="s">
        <v>2548</v>
      </c>
      <c r="Z15" s="1816" t="str">
        <f t="shared" si="7"/>
        <v>产业集聚程度</v>
      </c>
      <c r="AA15" s="1813">
        <f t="shared" si="3"/>
        <v>1</v>
      </c>
      <c r="AB15" s="1813">
        <f t="shared" si="4"/>
        <v>1</v>
      </c>
      <c r="AC15" s="1813">
        <f t="shared" si="5"/>
        <v>1</v>
      </c>
    </row>
    <row r="16" spans="1:29" ht="15">
      <c r="A16" s="427"/>
      <c r="B16" s="629"/>
      <c r="C16" s="446" t="s">
        <v>3061</v>
      </c>
      <c r="D16" s="447"/>
      <c r="E16" s="446" t="s">
        <v>3061</v>
      </c>
      <c r="F16" s="447"/>
      <c r="G16" s="446" t="s">
        <v>3061</v>
      </c>
      <c r="H16" s="449"/>
      <c r="I16" s="446" t="s">
        <v>3061</v>
      </c>
      <c r="J16" s="447"/>
      <c r="K16" s="671"/>
      <c r="L16" s="1142"/>
      <c r="M16" s="1133"/>
      <c r="N16" s="1133"/>
      <c r="O16" s="1141"/>
      <c r="P16" s="3172"/>
      <c r="Q16" s="1812"/>
      <c r="R16" s="773"/>
      <c r="S16" s="774"/>
      <c r="T16" s="773"/>
      <c r="U16" s="774"/>
      <c r="V16" s="773"/>
      <c r="W16" s="774"/>
      <c r="X16" s="1815"/>
      <c r="Y16" s="3172"/>
      <c r="Z16" s="1816"/>
      <c r="AA16" s="1813">
        <v>1</v>
      </c>
      <c r="AB16" s="1813">
        <v>1</v>
      </c>
      <c r="AC16" s="1813">
        <v>1</v>
      </c>
    </row>
    <row r="17" spans="1:29" ht="15">
      <c r="A17" s="427"/>
      <c r="B17" s="630" t="s">
        <v>2697</v>
      </c>
      <c r="C17" s="2607" t="str">
        <f>估价对象房地状况!G16</f>
        <v>较好</v>
      </c>
      <c r="D17" s="449">
        <v>100</v>
      </c>
      <c r="E17" s="451"/>
      <c r="F17" s="454">
        <f>SUMIF(85:85,E18,86:86)-SUMIF(85:85,C18,86:86)+100</f>
        <v>100</v>
      </c>
      <c r="G17" s="451"/>
      <c r="H17" s="454">
        <f>SUMIF(85:85,G18,86:86)-SUMIF(85:85,C18,86:86)+100</f>
        <v>100</v>
      </c>
      <c r="I17" s="453"/>
      <c r="J17" s="449">
        <f>SUMIF(85:85,I18,86:86)-SUMIF(85:85,C18,86:86)+100</f>
        <v>100</v>
      </c>
      <c r="K17" s="672">
        <v>2</v>
      </c>
      <c r="L17" s="1142"/>
      <c r="M17" s="1133"/>
      <c r="N17" s="1133"/>
      <c r="O17" s="1141"/>
      <c r="P17" s="3172"/>
      <c r="Q17" s="1812" t="str">
        <f>B17</f>
        <v>交通便捷度</v>
      </c>
      <c r="R17" s="773" t="s">
        <v>17</v>
      </c>
      <c r="S17" s="774">
        <f>F17</f>
        <v>100</v>
      </c>
      <c r="T17" s="773" t="s">
        <v>17</v>
      </c>
      <c r="U17" s="774">
        <f>H17</f>
        <v>100</v>
      </c>
      <c r="V17" s="773" t="s">
        <v>17</v>
      </c>
      <c r="W17" s="774">
        <f>J17</f>
        <v>100</v>
      </c>
      <c r="X17" s="1815"/>
      <c r="Y17" s="3172"/>
      <c r="Z17" s="1816" t="str">
        <f>Q17</f>
        <v>交通便捷度</v>
      </c>
      <c r="AA17" s="1813">
        <f t="shared" si="3"/>
        <v>1</v>
      </c>
      <c r="AB17" s="1813">
        <f t="shared" si="4"/>
        <v>1</v>
      </c>
      <c r="AC17" s="1813">
        <f t="shared" si="5"/>
        <v>1</v>
      </c>
    </row>
    <row r="18" spans="1:29" ht="15">
      <c r="A18" s="427"/>
      <c r="B18" s="631"/>
      <c r="C18" s="446" t="s">
        <v>3061</v>
      </c>
      <c r="D18" s="447"/>
      <c r="E18" s="446" t="s">
        <v>3061</v>
      </c>
      <c r="F18" s="447"/>
      <c r="G18" s="446" t="s">
        <v>3061</v>
      </c>
      <c r="H18" s="447"/>
      <c r="I18" s="446" t="s">
        <v>3061</v>
      </c>
      <c r="J18" s="447"/>
      <c r="K18" s="671"/>
      <c r="L18" s="1142"/>
      <c r="M18" s="1133"/>
      <c r="N18" s="1133"/>
      <c r="O18" s="1141"/>
      <c r="P18" s="3172"/>
      <c r="Q18" s="1812"/>
      <c r="R18" s="773"/>
      <c r="S18" s="774"/>
      <c r="T18" s="773"/>
      <c r="U18" s="774"/>
      <c r="V18" s="773"/>
      <c r="W18" s="774"/>
      <c r="X18" s="1815"/>
      <c r="Y18" s="3172"/>
      <c r="Z18" s="1816"/>
      <c r="AA18" s="1813">
        <v>1</v>
      </c>
      <c r="AB18" s="1813">
        <v>1</v>
      </c>
      <c r="AC18" s="1813">
        <v>1</v>
      </c>
    </row>
    <row r="19" spans="1:29" ht="15">
      <c r="A19" s="427"/>
      <c r="B19" s="630" t="s">
        <v>2736</v>
      </c>
      <c r="C19" s="2607" t="str">
        <f>估价对象房地状况!G17</f>
        <v>较好</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172"/>
      <c r="Q19" s="1812" t="str">
        <f t="shared" ref="Q19:Q33" si="8">B19</f>
        <v>区域土地利用方向</v>
      </c>
      <c r="R19" s="773" t="s">
        <v>17</v>
      </c>
      <c r="S19" s="774">
        <f>F19</f>
        <v>100</v>
      </c>
      <c r="T19" s="773" t="s">
        <v>17</v>
      </c>
      <c r="U19" s="774">
        <f>H19</f>
        <v>100</v>
      </c>
      <c r="V19" s="773" t="s">
        <v>17</v>
      </c>
      <c r="W19" s="774">
        <f>J19</f>
        <v>100</v>
      </c>
      <c r="X19" s="1815"/>
      <c r="Y19" s="3172"/>
      <c r="Z19" s="1816" t="str">
        <f>Q19</f>
        <v>区域土地利用方向</v>
      </c>
      <c r="AA19" s="1813">
        <f t="shared" si="3"/>
        <v>1</v>
      </c>
      <c r="AB19" s="1813">
        <f t="shared" si="4"/>
        <v>1</v>
      </c>
      <c r="AC19" s="1813">
        <f t="shared" si="5"/>
        <v>1</v>
      </c>
    </row>
    <row r="20" spans="1:29" ht="15">
      <c r="A20" s="403"/>
      <c r="B20" s="631"/>
      <c r="C20" s="446" t="s">
        <v>3061</v>
      </c>
      <c r="D20" s="447"/>
      <c r="E20" s="446" t="s">
        <v>3061</v>
      </c>
      <c r="F20" s="447"/>
      <c r="G20" s="446" t="s">
        <v>3061</v>
      </c>
      <c r="H20" s="447"/>
      <c r="I20" s="446" t="s">
        <v>3061</v>
      </c>
      <c r="J20" s="447"/>
      <c r="K20" s="811"/>
      <c r="L20" s="1142"/>
      <c r="M20" s="1133"/>
      <c r="N20" s="1133"/>
      <c r="O20" s="1141"/>
      <c r="P20" s="3172"/>
      <c r="Q20" s="1812"/>
      <c r="R20" s="773"/>
      <c r="S20" s="774"/>
      <c r="T20" s="773"/>
      <c r="U20" s="774"/>
      <c r="V20" s="773"/>
      <c r="W20" s="774"/>
      <c r="X20" s="1815"/>
      <c r="Y20" s="3172"/>
      <c r="Z20" s="1816"/>
      <c r="AA20" s="1813"/>
      <c r="AB20" s="1813"/>
      <c r="AC20" s="1813"/>
    </row>
    <row r="21" spans="1:29" ht="15">
      <c r="A21" s="403"/>
      <c r="B21" s="630" t="s">
        <v>2787</v>
      </c>
      <c r="C21" s="2607" t="str">
        <f>估价对象房地状况!G18</f>
        <v>较好</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172"/>
      <c r="Q21" s="1812" t="str">
        <f t="shared" si="8"/>
        <v>环境状况</v>
      </c>
      <c r="R21" s="773" t="s">
        <v>17</v>
      </c>
      <c r="S21" s="774">
        <f>F21</f>
        <v>100</v>
      </c>
      <c r="T21" s="773" t="s">
        <v>17</v>
      </c>
      <c r="U21" s="774">
        <f>H21</f>
        <v>100</v>
      </c>
      <c r="V21" s="773" t="s">
        <v>17</v>
      </c>
      <c r="W21" s="774">
        <f>J21</f>
        <v>100</v>
      </c>
      <c r="X21" s="1815"/>
      <c r="Y21" s="3172"/>
      <c r="Z21" s="1816" t="str">
        <f>Q21</f>
        <v>环境状况</v>
      </c>
      <c r="AA21" s="1813">
        <f t="shared" si="3"/>
        <v>1</v>
      </c>
      <c r="AB21" s="1813">
        <f t="shared" si="4"/>
        <v>1</v>
      </c>
      <c r="AC21" s="1813">
        <f t="shared" si="5"/>
        <v>1</v>
      </c>
    </row>
    <row r="22" spans="1:29" ht="15">
      <c r="A22" s="403"/>
      <c r="B22" s="631"/>
      <c r="C22" s="446" t="s">
        <v>3061</v>
      </c>
      <c r="D22" s="447"/>
      <c r="E22" s="446" t="s">
        <v>3061</v>
      </c>
      <c r="F22" s="447"/>
      <c r="G22" s="446" t="s">
        <v>3061</v>
      </c>
      <c r="H22" s="447"/>
      <c r="I22" s="446" t="s">
        <v>3061</v>
      </c>
      <c r="J22" s="447"/>
      <c r="K22" s="671"/>
      <c r="L22" s="1142"/>
      <c r="M22" s="1133"/>
      <c r="N22" s="1133"/>
      <c r="O22" s="1141"/>
      <c r="P22" s="3172"/>
      <c r="Q22" s="1812"/>
      <c r="R22" s="773"/>
      <c r="S22" s="774"/>
      <c r="T22" s="773"/>
      <c r="U22" s="774"/>
      <c r="V22" s="773"/>
      <c r="W22" s="774"/>
      <c r="X22" s="1815"/>
      <c r="Y22" s="3172"/>
      <c r="Z22" s="1816"/>
      <c r="AA22" s="1813">
        <v>1</v>
      </c>
      <c r="AB22" s="1813">
        <v>1</v>
      </c>
      <c r="AC22" s="1813">
        <v>1</v>
      </c>
    </row>
    <row r="23" spans="1:29" s="117" customFormat="1" ht="15">
      <c r="A23" s="648"/>
      <c r="B23" s="632" t="s">
        <v>2642</v>
      </c>
      <c r="C23" s="2607" t="str">
        <f>估价对象房地状况!G19</f>
        <v>一般</v>
      </c>
      <c r="D23" s="449">
        <v>100</v>
      </c>
      <c r="E23" s="451"/>
      <c r="F23" s="449">
        <f>SUMIF(91:91,E24,92:92)-SUMIF(91:91,C24,92:92)+100</f>
        <v>100</v>
      </c>
      <c r="G23" s="451"/>
      <c r="H23" s="449">
        <f>SUMIF(91:91,G24,92:92)-SUMIF(91:91,C24,92:92)+100</f>
        <v>100</v>
      </c>
      <c r="I23" s="453"/>
      <c r="J23" s="449">
        <f>SUMIF(91:91,I24,92:92)-SUMIF(91:91,C24,92:92)+100</f>
        <v>100</v>
      </c>
      <c r="K23" s="672">
        <v>2</v>
      </c>
      <c r="L23" s="1134"/>
      <c r="M23" s="1135"/>
      <c r="N23" s="1135"/>
      <c r="O23" s="1136"/>
      <c r="P23" s="3172"/>
      <c r="Q23" s="1797" t="str">
        <f t="shared" si="8"/>
        <v>公共配套设施</v>
      </c>
      <c r="R23" s="769" t="s">
        <v>17</v>
      </c>
      <c r="S23" s="770">
        <f>F23</f>
        <v>100</v>
      </c>
      <c r="T23" s="769" t="s">
        <v>17</v>
      </c>
      <c r="U23" s="770">
        <f>H23</f>
        <v>100</v>
      </c>
      <c r="V23" s="769" t="s">
        <v>17</v>
      </c>
      <c r="W23" s="770">
        <f>J23</f>
        <v>100</v>
      </c>
      <c r="X23" s="771"/>
      <c r="Y23" s="3172"/>
      <c r="Z23" s="55" t="str">
        <f>Q23</f>
        <v>公共配套设施</v>
      </c>
      <c r="AA23" s="1813">
        <f>D23/F23</f>
        <v>1</v>
      </c>
      <c r="AB23" s="1813">
        <f>D23/H23</f>
        <v>1</v>
      </c>
      <c r="AC23" s="1813">
        <f>D23/J23</f>
        <v>1</v>
      </c>
    </row>
    <row r="24" spans="1:29" s="117" customFormat="1" ht="15">
      <c r="A24" s="648"/>
      <c r="B24" s="631"/>
      <c r="C24" s="2700" t="s">
        <v>3215</v>
      </c>
      <c r="D24" s="447"/>
      <c r="E24" s="2700" t="s">
        <v>3215</v>
      </c>
      <c r="F24" s="447"/>
      <c r="G24" s="2700" t="s">
        <v>3215</v>
      </c>
      <c r="H24" s="447"/>
      <c r="I24" s="2700" t="s">
        <v>3215</v>
      </c>
      <c r="J24" s="447"/>
      <c r="K24" s="671"/>
      <c r="L24" s="1134"/>
      <c r="M24" s="1135"/>
      <c r="N24" s="1135"/>
      <c r="O24" s="1136"/>
      <c r="P24" s="3172"/>
      <c r="Q24" s="1797"/>
      <c r="R24" s="769"/>
      <c r="S24" s="770"/>
      <c r="T24" s="769"/>
      <c r="U24" s="770"/>
      <c r="V24" s="769"/>
      <c r="W24" s="770"/>
      <c r="X24" s="771"/>
      <c r="Y24" s="3172"/>
      <c r="Z24" s="55"/>
      <c r="AA24" s="772">
        <v>1</v>
      </c>
      <c r="AB24" s="772">
        <v>1</v>
      </c>
      <c r="AC24" s="772">
        <v>1</v>
      </c>
    </row>
    <row r="25" spans="1:29" s="117" customFormat="1" ht="15">
      <c r="A25" s="648"/>
      <c r="B25" s="632" t="s">
        <v>2643</v>
      </c>
      <c r="C25" s="2607" t="str">
        <f>估价对象房地状况!G20</f>
        <v>六通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172"/>
      <c r="Q25" s="1797" t="str">
        <f t="shared" ref="Q25" si="9">B25</f>
        <v>基础设施水平</v>
      </c>
      <c r="R25" s="769" t="s">
        <v>17</v>
      </c>
      <c r="S25" s="770">
        <f>F25</f>
        <v>100</v>
      </c>
      <c r="T25" s="769" t="s">
        <v>17</v>
      </c>
      <c r="U25" s="770">
        <f>H25</f>
        <v>100</v>
      </c>
      <c r="V25" s="769" t="s">
        <v>17</v>
      </c>
      <c r="W25" s="770">
        <f>J25</f>
        <v>100</v>
      </c>
      <c r="X25" s="771"/>
      <c r="Y25" s="3172"/>
      <c r="Z25" s="55" t="str">
        <f>Q25</f>
        <v>基础设施水平</v>
      </c>
      <c r="AA25" s="1813">
        <f>D25/F25</f>
        <v>1</v>
      </c>
      <c r="AB25" s="1813">
        <f>D25/H25</f>
        <v>1</v>
      </c>
      <c r="AC25" s="1813">
        <f>D25/J25</f>
        <v>1</v>
      </c>
    </row>
    <row r="26" spans="1:29" s="117" customFormat="1" ht="15">
      <c r="A26" s="648"/>
      <c r="B26" s="631"/>
      <c r="C26" s="2700" t="s">
        <v>3064</v>
      </c>
      <c r="D26" s="447"/>
      <c r="E26" s="2700" t="s">
        <v>3064</v>
      </c>
      <c r="F26" s="447"/>
      <c r="G26" s="2700" t="s">
        <v>3064</v>
      </c>
      <c r="H26" s="447"/>
      <c r="I26" s="2700" t="s">
        <v>3064</v>
      </c>
      <c r="J26" s="447"/>
      <c r="K26" s="671"/>
      <c r="L26" s="1134"/>
      <c r="M26" s="1135"/>
      <c r="N26" s="1135"/>
      <c r="O26" s="1136"/>
      <c r="P26" s="3172"/>
      <c r="Q26" s="1797"/>
      <c r="R26" s="769"/>
      <c r="S26" s="770"/>
      <c r="T26" s="769"/>
      <c r="U26" s="770"/>
      <c r="V26" s="769"/>
      <c r="W26" s="770"/>
      <c r="X26" s="771"/>
      <c r="Y26" s="3172"/>
      <c r="Z26" s="55"/>
      <c r="AA26" s="772">
        <v>1</v>
      </c>
      <c r="AB26" s="772">
        <v>1</v>
      </c>
      <c r="AC26" s="772">
        <v>1</v>
      </c>
    </row>
    <row r="27" spans="1:29" ht="15">
      <c r="A27" s="427"/>
      <c r="B27" s="631" t="s">
        <v>2644</v>
      </c>
      <c r="C27" s="615" t="s">
        <v>3239</v>
      </c>
      <c r="D27" s="434">
        <v>100</v>
      </c>
      <c r="E27" s="615" t="s">
        <v>3218</v>
      </c>
      <c r="F27" s="434">
        <f>SUMIF(95:95,E27,96:96)-SUMIF(95:95,C27,96:96)+100</f>
        <v>98</v>
      </c>
      <c r="G27" s="615" t="s">
        <v>3242</v>
      </c>
      <c r="H27" s="434">
        <f>SUMIF(95:95,G27,96:96)-SUMIF(95:95,C27,96:96)+100</f>
        <v>102</v>
      </c>
      <c r="I27" s="615" t="s">
        <v>3239</v>
      </c>
      <c r="J27" s="434">
        <f>SUMIF(95:95,I27,96:96)-SUMIF(95:95,C27,96:96)+100</f>
        <v>100</v>
      </c>
      <c r="K27" s="672">
        <v>2</v>
      </c>
      <c r="L27" s="1142"/>
      <c r="M27" s="1133"/>
      <c r="N27" s="1133"/>
      <c r="O27" s="1141"/>
      <c r="P27" s="3172"/>
      <c r="Q27" s="1812" t="str">
        <f t="shared" si="8"/>
        <v>临街状况</v>
      </c>
      <c r="R27" s="773" t="s">
        <v>17</v>
      </c>
      <c r="S27" s="774">
        <f t="shared" ref="S27:S40" si="10">F27</f>
        <v>98</v>
      </c>
      <c r="T27" s="773" t="s">
        <v>17</v>
      </c>
      <c r="U27" s="774">
        <f t="shared" ref="U27:U40" si="11">H27</f>
        <v>102</v>
      </c>
      <c r="V27" s="773" t="s">
        <v>17</v>
      </c>
      <c r="W27" s="774">
        <f t="shared" ref="W27:W40" si="12">J27</f>
        <v>100</v>
      </c>
      <c r="X27" s="1815"/>
      <c r="Y27" s="3172"/>
      <c r="Z27" s="1816" t="str">
        <f t="shared" ref="Z27:Z40" si="13">Q27</f>
        <v>临街状况</v>
      </c>
      <c r="AA27" s="1813">
        <f t="shared" si="3"/>
        <v>1.0204081632653061</v>
      </c>
      <c r="AB27" s="1813">
        <f t="shared" si="4"/>
        <v>0.98039215686274506</v>
      </c>
      <c r="AC27" s="1813">
        <f t="shared" si="5"/>
        <v>1</v>
      </c>
    </row>
    <row r="28" spans="1:29" ht="27">
      <c r="A28" s="427"/>
      <c r="B28" s="632" t="s">
        <v>2679</v>
      </c>
      <c r="C28" s="2713" t="str">
        <f>估价对象房地状况!G22</f>
        <v>城市支路</v>
      </c>
      <c r="D28" s="449">
        <v>100</v>
      </c>
      <c r="E28" s="451"/>
      <c r="F28" s="449">
        <f>SUMIF(97:97,E29,98:98)-SUMIF(97:97,C29,98:98)+100</f>
        <v>100</v>
      </c>
      <c r="G28" s="451"/>
      <c r="H28" s="449">
        <f>SUMIF(97:97,G29,98:98)-SUMIF(97:97,C29,98:98)+100</f>
        <v>100</v>
      </c>
      <c r="I28" s="453"/>
      <c r="J28" s="449">
        <f>SUMIF(97:97,I29,98:98)-SUMIF(97:97,C29,98:98)+100</f>
        <v>100</v>
      </c>
      <c r="K28" s="672">
        <v>2</v>
      </c>
      <c r="L28" s="1142"/>
      <c r="M28" s="1133"/>
      <c r="N28" s="1133"/>
      <c r="O28" s="1141"/>
      <c r="P28" s="3172"/>
      <c r="Q28" s="1812" t="str">
        <f t="shared" si="8"/>
        <v>毗邻道路的类型与等级</v>
      </c>
      <c r="R28" s="773" t="s">
        <v>17</v>
      </c>
      <c r="S28" s="774">
        <f t="shared" si="10"/>
        <v>100</v>
      </c>
      <c r="T28" s="773" t="s">
        <v>17</v>
      </c>
      <c r="U28" s="774">
        <f t="shared" si="11"/>
        <v>100</v>
      </c>
      <c r="V28" s="773" t="s">
        <v>17</v>
      </c>
      <c r="W28" s="774">
        <f t="shared" si="12"/>
        <v>100</v>
      </c>
      <c r="X28" s="1815"/>
      <c r="Y28" s="3172"/>
      <c r="Z28" s="1816" t="str">
        <f t="shared" si="13"/>
        <v>毗邻道路的类型与等级</v>
      </c>
      <c r="AA28" s="1813">
        <f t="shared" si="3"/>
        <v>1</v>
      </c>
      <c r="AB28" s="1813">
        <f t="shared" si="4"/>
        <v>1</v>
      </c>
      <c r="AC28" s="1813">
        <f t="shared" si="5"/>
        <v>1</v>
      </c>
    </row>
    <row r="29" spans="1:29" ht="15.75" thickBot="1">
      <c r="A29" s="427"/>
      <c r="B29" s="631"/>
      <c r="C29" s="446" t="s">
        <v>3203</v>
      </c>
      <c r="D29" s="447"/>
      <c r="E29" s="446" t="s">
        <v>3203</v>
      </c>
      <c r="F29" s="447"/>
      <c r="G29" s="446" t="s">
        <v>3203</v>
      </c>
      <c r="H29" s="447"/>
      <c r="I29" s="446" t="s">
        <v>3203</v>
      </c>
      <c r="J29" s="447"/>
      <c r="K29" s="612"/>
      <c r="L29" s="1142"/>
      <c r="M29" s="1133"/>
      <c r="N29" s="1133"/>
      <c r="O29" s="1141"/>
      <c r="P29" s="3172"/>
      <c r="Q29" s="1812"/>
      <c r="R29" s="773"/>
      <c r="S29" s="774"/>
      <c r="T29" s="773"/>
      <c r="U29" s="774"/>
      <c r="V29" s="773"/>
      <c r="W29" s="774"/>
      <c r="X29" s="1815"/>
      <c r="Y29" s="3172"/>
      <c r="Z29" s="1816"/>
      <c r="AA29" s="1813">
        <v>1</v>
      </c>
      <c r="AB29" s="1813">
        <v>1</v>
      </c>
      <c r="AC29" s="1813">
        <v>1</v>
      </c>
    </row>
    <row r="30" spans="1:29" ht="15" hidden="1">
      <c r="A30" s="427"/>
      <c r="B30" s="653" t="s">
        <v>2738</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2"/>
      <c r="Q30" s="1812" t="str">
        <f t="shared" si="8"/>
        <v>土地级别</v>
      </c>
      <c r="R30" s="773" t="s">
        <v>17</v>
      </c>
      <c r="S30" s="774">
        <f t="shared" si="10"/>
        <v>100</v>
      </c>
      <c r="T30" s="773" t="s">
        <v>17</v>
      </c>
      <c r="U30" s="774">
        <f t="shared" si="11"/>
        <v>100</v>
      </c>
      <c r="V30" s="773" t="s">
        <v>17</v>
      </c>
      <c r="W30" s="774">
        <f t="shared" si="12"/>
        <v>100</v>
      </c>
      <c r="X30" s="1815"/>
      <c r="Y30" s="3172"/>
      <c r="Z30" s="1816" t="str">
        <f t="shared" si="13"/>
        <v>土地级别</v>
      </c>
      <c r="AA30" s="1813">
        <f t="shared" si="3"/>
        <v>1</v>
      </c>
      <c r="AB30" s="1813">
        <f t="shared" si="4"/>
        <v>1</v>
      </c>
      <c r="AC30" s="1813">
        <f t="shared" si="5"/>
        <v>1</v>
      </c>
    </row>
    <row r="31" spans="1:29" ht="15" hidden="1">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2"/>
      <c r="Q31" s="1812">
        <f t="shared" si="8"/>
        <v>111</v>
      </c>
      <c r="R31" s="773" t="s">
        <v>17</v>
      </c>
      <c r="S31" s="774">
        <f t="shared" si="10"/>
        <v>100</v>
      </c>
      <c r="T31" s="773" t="s">
        <v>17</v>
      </c>
      <c r="U31" s="774">
        <f t="shared" si="11"/>
        <v>100</v>
      </c>
      <c r="V31" s="773" t="s">
        <v>17</v>
      </c>
      <c r="W31" s="774">
        <f t="shared" si="12"/>
        <v>100</v>
      </c>
      <c r="X31" s="1815"/>
      <c r="Y31" s="3172"/>
      <c r="Z31" s="1816">
        <f t="shared" si="13"/>
        <v>111</v>
      </c>
      <c r="AA31" s="1813">
        <f t="shared" si="3"/>
        <v>1</v>
      </c>
      <c r="AB31" s="1813">
        <f t="shared" si="4"/>
        <v>1</v>
      </c>
      <c r="AC31" s="1813">
        <f t="shared" si="5"/>
        <v>1</v>
      </c>
    </row>
    <row r="32" spans="1:29" ht="15" hidden="1">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73" t="s">
        <v>2553</v>
      </c>
      <c r="Q32" s="1812">
        <f t="shared" si="8"/>
        <v>111</v>
      </c>
      <c r="R32" s="773" t="s">
        <v>17</v>
      </c>
      <c r="S32" s="774">
        <f t="shared" si="10"/>
        <v>100</v>
      </c>
      <c r="T32" s="773" t="s">
        <v>17</v>
      </c>
      <c r="U32" s="774">
        <f t="shared" si="11"/>
        <v>100</v>
      </c>
      <c r="V32" s="773" t="s">
        <v>17</v>
      </c>
      <c r="W32" s="774">
        <f t="shared" si="12"/>
        <v>100</v>
      </c>
      <c r="X32" s="1815"/>
      <c r="Y32" s="3174" t="s">
        <v>2553</v>
      </c>
      <c r="Z32" s="1816">
        <f t="shared" si="13"/>
        <v>111</v>
      </c>
      <c r="AA32" s="1813">
        <f t="shared" si="3"/>
        <v>1</v>
      </c>
      <c r="AB32" s="1813">
        <f t="shared" si="4"/>
        <v>1</v>
      </c>
      <c r="AC32" s="1813">
        <f t="shared" si="5"/>
        <v>1</v>
      </c>
    </row>
    <row r="33" spans="1:29" s="470" customFormat="1" ht="15.75" hidden="1"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4"/>
      <c r="Q33" s="1812">
        <f t="shared" si="8"/>
        <v>111</v>
      </c>
      <c r="R33" s="776" t="s">
        <v>17</v>
      </c>
      <c r="S33" s="777">
        <f t="shared" si="10"/>
        <v>100</v>
      </c>
      <c r="T33" s="776" t="s">
        <v>17</v>
      </c>
      <c r="U33" s="777">
        <f t="shared" si="11"/>
        <v>100</v>
      </c>
      <c r="V33" s="776" t="s">
        <v>17</v>
      </c>
      <c r="W33" s="777">
        <f t="shared" si="12"/>
        <v>100</v>
      </c>
      <c r="X33" s="778"/>
      <c r="Y33" s="3174"/>
      <c r="Z33" s="779">
        <f t="shared" si="13"/>
        <v>111</v>
      </c>
      <c r="AA33" s="1813">
        <f t="shared" si="3"/>
        <v>1</v>
      </c>
      <c r="AB33" s="1813">
        <f t="shared" si="4"/>
        <v>1</v>
      </c>
      <c r="AC33" s="1813">
        <f t="shared" si="5"/>
        <v>1</v>
      </c>
    </row>
    <row r="34" spans="1:29" ht="15">
      <c r="A34" s="439" t="s">
        <v>2551</v>
      </c>
      <c r="B34" s="455" t="s">
        <v>2739</v>
      </c>
      <c r="C34" s="678">
        <f>'数据-汇总表'!D3</f>
        <v>11729.24</v>
      </c>
      <c r="D34" s="466">
        <v>100</v>
      </c>
      <c r="E34" s="678">
        <f>土地案例!J1</f>
        <v>9002.2999999999993</v>
      </c>
      <c r="F34" s="466">
        <f>LOOKUP(E34,108:108,109:109)-LOOKUP(C34,108:108,109:109)+100</f>
        <v>99</v>
      </c>
      <c r="G34" s="678">
        <f>土地案例!J2</f>
        <v>105516.7</v>
      </c>
      <c r="H34" s="466">
        <f>LOOKUP(G34,108:108,109:109)-LOOKUP(C34,108:108,109:109)+100</f>
        <v>102</v>
      </c>
      <c r="I34" s="529">
        <f>土地案例!J3</f>
        <v>16350.6</v>
      </c>
      <c r="J34" s="466">
        <f>LOOKUP(I34,108:108,109:109)-LOOKUP(C34,108:108,109:109)+100</f>
        <v>100</v>
      </c>
      <c r="K34" s="612"/>
      <c r="L34" s="1142"/>
      <c r="M34" s="1133"/>
      <c r="N34" s="1133"/>
      <c r="O34" s="1141"/>
      <c r="P34" s="3174"/>
      <c r="Q34" s="1812" t="str">
        <f>B34</f>
        <v>宗地面积</v>
      </c>
      <c r="R34" s="773" t="s">
        <v>17</v>
      </c>
      <c r="S34" s="774">
        <f t="shared" si="10"/>
        <v>99</v>
      </c>
      <c r="T34" s="773" t="s">
        <v>17</v>
      </c>
      <c r="U34" s="774">
        <f t="shared" si="11"/>
        <v>102</v>
      </c>
      <c r="V34" s="773" t="s">
        <v>17</v>
      </c>
      <c r="W34" s="774">
        <f t="shared" si="12"/>
        <v>100</v>
      </c>
      <c r="X34" s="1815"/>
      <c r="Y34" s="3174"/>
      <c r="Z34" s="1816" t="str">
        <f t="shared" si="13"/>
        <v>宗地面积</v>
      </c>
      <c r="AA34" s="1813">
        <f t="shared" si="3"/>
        <v>1.0101010101010102</v>
      </c>
      <c r="AB34" s="1813">
        <f t="shared" si="4"/>
        <v>0.98039215686274506</v>
      </c>
      <c r="AC34" s="1813">
        <f t="shared" si="5"/>
        <v>1</v>
      </c>
    </row>
    <row r="35" spans="1:29" ht="15">
      <c r="A35" s="471"/>
      <c r="B35" s="421" t="s">
        <v>2740</v>
      </c>
      <c r="C35" s="2613" t="s">
        <v>3206</v>
      </c>
      <c r="D35" s="434">
        <v>100</v>
      </c>
      <c r="E35" s="2613" t="s">
        <v>3206</v>
      </c>
      <c r="F35" s="434">
        <f>SUMIF(110:110,E35,111:111)-SUMIF(110:110,C35,111:111)+100</f>
        <v>100</v>
      </c>
      <c r="G35" s="2613" t="s">
        <v>3206</v>
      </c>
      <c r="H35" s="434">
        <f>SUMIF(110:110,G35,111:111)-SUMIF(110:110,C35,111:111)+100</f>
        <v>100</v>
      </c>
      <c r="I35" s="2613" t="s">
        <v>3206</v>
      </c>
      <c r="J35" s="434">
        <f>SUMIF(110:110,I35,111:111)-SUMIF(110:110,C35,111:111)+100</f>
        <v>100</v>
      </c>
      <c r="K35" s="611">
        <v>2</v>
      </c>
      <c r="L35" s="1142"/>
      <c r="M35" s="1133"/>
      <c r="N35" s="1133"/>
      <c r="O35" s="1141"/>
      <c r="P35" s="3174"/>
      <c r="Q35" s="1812" t="str">
        <f t="shared" ref="Q35:Q40" si="14">B35</f>
        <v>宗地形状</v>
      </c>
      <c r="R35" s="773" t="s">
        <v>17</v>
      </c>
      <c r="S35" s="774">
        <f t="shared" si="10"/>
        <v>100</v>
      </c>
      <c r="T35" s="773" t="s">
        <v>17</v>
      </c>
      <c r="U35" s="774">
        <f t="shared" si="11"/>
        <v>100</v>
      </c>
      <c r="V35" s="773" t="s">
        <v>17</v>
      </c>
      <c r="W35" s="774">
        <f t="shared" si="12"/>
        <v>100</v>
      </c>
      <c r="X35" s="1815"/>
      <c r="Y35" s="3174"/>
      <c r="Z35" s="1816" t="str">
        <f t="shared" si="13"/>
        <v>宗地形状</v>
      </c>
      <c r="AA35" s="1813">
        <f t="shared" si="3"/>
        <v>1</v>
      </c>
      <c r="AB35" s="1813">
        <f t="shared" si="4"/>
        <v>1</v>
      </c>
      <c r="AC35" s="1813">
        <f t="shared" si="5"/>
        <v>1</v>
      </c>
    </row>
    <row r="36" spans="1:29" s="117" customFormat="1" ht="15">
      <c r="A36" s="472"/>
      <c r="B36" s="421" t="s">
        <v>2742</v>
      </c>
      <c r="C36" s="2702" t="s">
        <v>3211</v>
      </c>
      <c r="D36" s="135">
        <v>100</v>
      </c>
      <c r="E36" s="2702" t="s">
        <v>3211</v>
      </c>
      <c r="F36" s="434">
        <f>SUMIF(112:112,E36,113:113)-SUMIF(112:112,C36,113:113)+100</f>
        <v>100</v>
      </c>
      <c r="G36" s="2702" t="s">
        <v>3211</v>
      </c>
      <c r="H36" s="434">
        <f>SUMIF(112:112,G36,113:113)-SUMIF(112:112,C36,113:113)+100</f>
        <v>100</v>
      </c>
      <c r="I36" s="2702" t="s">
        <v>3211</v>
      </c>
      <c r="J36" s="434">
        <f>SUMIF(112:112,I36,113:113)-SUMIF(112:112,C36,113:113)+100</f>
        <v>100</v>
      </c>
      <c r="K36" s="611">
        <v>1</v>
      </c>
      <c r="L36" s="1134"/>
      <c r="M36" s="1135"/>
      <c r="N36" s="1135"/>
      <c r="O36" s="1136"/>
      <c r="P36" s="3174"/>
      <c r="Q36" s="1812" t="str">
        <f t="shared" si="14"/>
        <v>宗地开发程度</v>
      </c>
      <c r="R36" s="769" t="s">
        <v>17</v>
      </c>
      <c r="S36" s="770">
        <f t="shared" si="10"/>
        <v>100</v>
      </c>
      <c r="T36" s="769" t="s">
        <v>17</v>
      </c>
      <c r="U36" s="770">
        <f t="shared" si="11"/>
        <v>100</v>
      </c>
      <c r="V36" s="769" t="s">
        <v>17</v>
      </c>
      <c r="W36" s="770">
        <f t="shared" si="12"/>
        <v>100</v>
      </c>
      <c r="X36" s="771"/>
      <c r="Y36" s="3174"/>
      <c r="Z36" s="55" t="str">
        <f t="shared" si="13"/>
        <v>宗地开发程度</v>
      </c>
      <c r="AA36" s="772">
        <f t="shared" si="3"/>
        <v>1</v>
      </c>
      <c r="AB36" s="772">
        <f t="shared" si="4"/>
        <v>1</v>
      </c>
      <c r="AC36" s="772">
        <f t="shared" si="5"/>
        <v>1</v>
      </c>
    </row>
    <row r="37" spans="1:29" ht="15.75" thickBot="1">
      <c r="A37" s="471"/>
      <c r="B37" s="421" t="s">
        <v>2743</v>
      </c>
      <c r="C37" s="2613" t="s">
        <v>3061</v>
      </c>
      <c r="D37" s="434">
        <v>100</v>
      </c>
      <c r="E37" s="2613" t="s">
        <v>3061</v>
      </c>
      <c r="F37" s="434">
        <f>SUMIF(114:114,E37,115:115)-SUMIF(114:114,C37,115:115)+100</f>
        <v>100</v>
      </c>
      <c r="G37" s="2613" t="s">
        <v>3061</v>
      </c>
      <c r="H37" s="434">
        <f>SUMIF(114:114,G37,115:115)-SUMIF(114:114,C37,115:115)+100</f>
        <v>100</v>
      </c>
      <c r="I37" s="2613" t="s">
        <v>3061</v>
      </c>
      <c r="J37" s="434">
        <f>SUMIF(114:114,I37,115:115)-SUMIF(114:114,C37,115:115)+100</f>
        <v>100</v>
      </c>
      <c r="K37" s="611">
        <v>2</v>
      </c>
      <c r="L37" s="1142"/>
      <c r="M37" s="1133"/>
      <c r="N37" s="1133"/>
      <c r="O37" s="1141"/>
      <c r="P37" s="3174" t="s">
        <v>2553</v>
      </c>
      <c r="Q37" s="1812" t="str">
        <f t="shared" si="14"/>
        <v>工程地质条件</v>
      </c>
      <c r="R37" s="773" t="s">
        <v>17</v>
      </c>
      <c r="S37" s="774">
        <f t="shared" si="10"/>
        <v>100</v>
      </c>
      <c r="T37" s="773" t="s">
        <v>17</v>
      </c>
      <c r="U37" s="774">
        <f t="shared" si="11"/>
        <v>100</v>
      </c>
      <c r="V37" s="773" t="s">
        <v>17</v>
      </c>
      <c r="W37" s="774">
        <f t="shared" si="12"/>
        <v>100</v>
      </c>
      <c r="X37" s="1815"/>
      <c r="Y37" s="3174" t="s">
        <v>2553</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4"/>
      <c r="Q38" s="1812">
        <f t="shared" si="14"/>
        <v>111</v>
      </c>
      <c r="R38" s="773" t="s">
        <v>17</v>
      </c>
      <c r="S38" s="774">
        <f t="shared" si="10"/>
        <v>100</v>
      </c>
      <c r="T38" s="773" t="s">
        <v>17</v>
      </c>
      <c r="U38" s="774">
        <f t="shared" si="11"/>
        <v>100</v>
      </c>
      <c r="V38" s="773" t="s">
        <v>17</v>
      </c>
      <c r="W38" s="774">
        <f t="shared" si="12"/>
        <v>100</v>
      </c>
      <c r="X38" s="1815"/>
      <c r="Y38" s="3174"/>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4"/>
      <c r="Q39" s="1812">
        <f t="shared" si="14"/>
        <v>111</v>
      </c>
      <c r="R39" s="773" t="s">
        <v>17</v>
      </c>
      <c r="S39" s="774">
        <f t="shared" si="10"/>
        <v>100</v>
      </c>
      <c r="T39" s="773" t="s">
        <v>17</v>
      </c>
      <c r="U39" s="774">
        <f t="shared" si="11"/>
        <v>100</v>
      </c>
      <c r="V39" s="773" t="s">
        <v>17</v>
      </c>
      <c r="W39" s="774">
        <f t="shared" si="12"/>
        <v>100</v>
      </c>
      <c r="X39" s="1815"/>
      <c r="Y39" s="3174"/>
      <c r="Z39" s="1816">
        <f t="shared" si="13"/>
        <v>111</v>
      </c>
      <c r="AA39" s="1813">
        <f t="shared" si="3"/>
        <v>1</v>
      </c>
      <c r="AB39" s="1813">
        <f t="shared" si="4"/>
        <v>1</v>
      </c>
      <c r="AC39" s="1813">
        <f t="shared" si="5"/>
        <v>1</v>
      </c>
    </row>
    <row r="40" spans="1:29" s="470" customFormat="1" ht="15.75" hidden="1"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4"/>
      <c r="Q40" s="1812">
        <f t="shared" si="14"/>
        <v>111</v>
      </c>
      <c r="R40" s="776" t="s">
        <v>17</v>
      </c>
      <c r="S40" s="777">
        <f t="shared" si="10"/>
        <v>100</v>
      </c>
      <c r="T40" s="776" t="s">
        <v>17</v>
      </c>
      <c r="U40" s="777">
        <f t="shared" si="11"/>
        <v>100</v>
      </c>
      <c r="V40" s="776" t="s">
        <v>17</v>
      </c>
      <c r="W40" s="777">
        <f t="shared" si="12"/>
        <v>100</v>
      </c>
      <c r="X40" s="778"/>
      <c r="Y40" s="3174"/>
      <c r="Z40" s="779">
        <f t="shared" si="13"/>
        <v>111</v>
      </c>
      <c r="AA40" s="1813">
        <f t="shared" si="3"/>
        <v>1</v>
      </c>
      <c r="AB40" s="1813">
        <f t="shared" si="4"/>
        <v>1</v>
      </c>
      <c r="AC40" s="1813">
        <f t="shared" si="5"/>
        <v>1</v>
      </c>
    </row>
    <row r="41" spans="1:29" ht="15">
      <c r="A41" s="478" t="s">
        <v>2708</v>
      </c>
      <c r="B41" s="2704" t="s">
        <v>3241</v>
      </c>
      <c r="C41" s="681" t="s">
        <v>1</v>
      </c>
      <c r="D41" s="480"/>
      <c r="E41" s="481">
        <f>ROUND(土地案例!AK1,0)</f>
        <v>968</v>
      </c>
      <c r="F41" s="482"/>
      <c r="G41" s="483">
        <f>ROUND(土地案例!AK2,0)</f>
        <v>1023</v>
      </c>
      <c r="H41" s="484"/>
      <c r="I41" s="481">
        <f>ROUND(土地案例!AK3,0)</f>
        <v>1083</v>
      </c>
      <c r="J41" s="484"/>
      <c r="K41" s="782"/>
      <c r="L41" s="1145"/>
      <c r="M41" s="1133"/>
      <c r="N41" s="1133"/>
      <c r="O41" s="1146"/>
      <c r="P41" s="3168" t="str">
        <f>A41</f>
        <v>成交单价</v>
      </c>
      <c r="Q41" s="3168"/>
      <c r="R41" s="3170">
        <f>E41</f>
        <v>968</v>
      </c>
      <c r="S41" s="3170"/>
      <c r="T41" s="3170">
        <f>G41</f>
        <v>1023</v>
      </c>
      <c r="U41" s="3170"/>
      <c r="V41" s="3170">
        <f>I41</f>
        <v>1083</v>
      </c>
      <c r="W41" s="3170"/>
      <c r="X41" s="758"/>
      <c r="Y41" s="780"/>
      <c r="Z41" s="758"/>
      <c r="AA41" s="758"/>
      <c r="AB41" s="758"/>
      <c r="AC41" s="758"/>
    </row>
    <row r="42" spans="1:29" ht="15.75" thickBot="1">
      <c r="A42" s="485" t="s">
        <v>2657</v>
      </c>
      <c r="B42" s="682"/>
      <c r="C42" s="489">
        <f>R43</f>
        <v>948</v>
      </c>
      <c r="D42" s="488"/>
      <c r="E42" s="489">
        <f>R42</f>
        <v>916</v>
      </c>
      <c r="F42" s="490"/>
      <c r="G42" s="487">
        <f>T42</f>
        <v>912</v>
      </c>
      <c r="H42" s="488"/>
      <c r="I42" s="489">
        <f>V42</f>
        <v>1015</v>
      </c>
      <c r="J42" s="488"/>
      <c r="K42" s="783"/>
      <c r="L42" s="1145"/>
      <c r="M42" s="1133"/>
      <c r="N42" s="1133"/>
      <c r="O42" s="1146"/>
      <c r="P42" s="3168" t="str">
        <f>A42</f>
        <v>比较价值（元/平方米）</v>
      </c>
      <c r="Q42" s="3168"/>
      <c r="R42" s="3169">
        <f>ROUND(PRODUCT(R41,AA7:AA40),0)</f>
        <v>916</v>
      </c>
      <c r="S42" s="3169"/>
      <c r="T42" s="3169">
        <f>ROUND(PRODUCT(T41,AB7:AB40),0)</f>
        <v>912</v>
      </c>
      <c r="U42" s="3169"/>
      <c r="V42" s="3169">
        <f>ROUND(PRODUCT(V41,AC7:AC40),0)</f>
        <v>1015</v>
      </c>
      <c r="W42" s="3169"/>
      <c r="X42" s="758"/>
      <c r="Y42" s="758"/>
      <c r="Z42" s="758"/>
      <c r="AA42" s="758"/>
      <c r="AB42" s="758"/>
      <c r="AC42" s="758"/>
    </row>
    <row r="43" spans="1:29" ht="15.75" thickBot="1">
      <c r="A43" s="491" t="s">
        <v>2658</v>
      </c>
      <c r="B43" s="492"/>
      <c r="C43" s="493">
        <f>R43</f>
        <v>948</v>
      </c>
      <c r="D43" s="493"/>
      <c r="E43" s="493"/>
      <c r="F43" s="493"/>
      <c r="G43" s="493"/>
      <c r="H43" s="493"/>
      <c r="I43" s="493"/>
      <c r="J43" s="493"/>
      <c r="K43" s="784"/>
      <c r="L43" s="1145"/>
      <c r="M43" s="1133"/>
      <c r="N43" s="1133"/>
      <c r="O43" s="1146"/>
      <c r="P43" s="3165" t="str">
        <f>A43</f>
        <v>估价对象XX用房的比较价值（楼面单价，元/平方米）</v>
      </c>
      <c r="Q43" s="3166"/>
      <c r="R43" s="3167">
        <f>ROUND(AVERAGE(R42:V42),0)</f>
        <v>948</v>
      </c>
      <c r="S43" s="3167"/>
      <c r="T43" s="3167"/>
      <c r="U43" s="3167"/>
      <c r="V43" s="3167"/>
      <c r="W43" s="316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2659</v>
      </c>
      <c r="D46" s="497"/>
      <c r="E46" s="498">
        <f>IF(E41&lt;E42,E42/E41-1,E41/E42-1)</f>
        <v>5.6768558951965087E-2</v>
      </c>
      <c r="F46" s="499" t="str">
        <f>IF(OR(E46&gt;=0.3,E46&lt;=-0.3),"超过30%","")</f>
        <v/>
      </c>
      <c r="G46" s="498">
        <f>IF(G41&lt;G42,G42/G41-1,G41/G42-1)</f>
        <v>0.12171052631578938</v>
      </c>
      <c r="H46" s="499" t="str">
        <f>IF(OR(G46&gt;=0.3,G46&lt;=-0.3),"超过30%","")</f>
        <v/>
      </c>
      <c r="I46" s="498">
        <f>IF(I41&lt;I42,I42/I41-1,I41/I42-1)</f>
        <v>6.6995073891625623E-2</v>
      </c>
      <c r="J46" s="499" t="str">
        <f>IF(OR(I46&gt;=0.3,I46&lt;=-0.3),"超过30%","")</f>
        <v/>
      </c>
      <c r="K46" s="1107"/>
      <c r="L46" s="1108"/>
      <c r="M46" s="1133"/>
      <c r="N46" s="1133"/>
      <c r="O46" s="1146"/>
    </row>
    <row r="47" spans="1:29" ht="13.5" customHeight="1">
      <c r="A47" s="1146"/>
      <c r="B47" s="1146"/>
      <c r="C47" s="496" t="s">
        <v>2660</v>
      </c>
      <c r="D47" s="500"/>
      <c r="E47" s="498">
        <f>IF(E42&lt;G42,G42/E42-1,E42/G42-1)</f>
        <v>4.3859649122806044E-3</v>
      </c>
      <c r="F47" s="499" t="str">
        <f>IF(OR(E47&gt;=0.2,E47&lt;=-0.2),"超过20%","")</f>
        <v/>
      </c>
      <c r="G47" s="498">
        <f>IF(G42&lt;I42,I42/G42-1,G42/I42-1)</f>
        <v>0.11293859649122817</v>
      </c>
      <c r="H47" s="499" t="str">
        <f>IF(OR(G47&gt;=0.2,G47&lt;=-0.2),"超过20%","")</f>
        <v/>
      </c>
      <c r="I47" s="498">
        <f>IF(I42&lt;E42,E42/I42-1,I42/E42-1)</f>
        <v>0.10807860262008728</v>
      </c>
      <c r="J47" s="499" t="str">
        <f>IF(OR(I47&gt;=0.2,I47&lt;=-0.2),"超过20%","")</f>
        <v/>
      </c>
      <c r="K47" s="1107"/>
      <c r="L47" s="1108"/>
      <c r="M47" s="1146"/>
      <c r="N47" s="1146"/>
      <c r="O47" s="1146"/>
    </row>
    <row r="48" spans="1:29" s="501" customFormat="1" ht="13.5" customHeight="1">
      <c r="A48" s="1147"/>
      <c r="B48" s="1147"/>
      <c r="C48" s="496" t="s">
        <v>2661</v>
      </c>
      <c r="D48" s="500"/>
      <c r="E48" s="498">
        <f>IF(E41&lt;G41,G41/E41-1,E41/G41-1)</f>
        <v>5.6818181818181879E-2</v>
      </c>
      <c r="F48" s="499" t="str">
        <f>IF(OR(E48&gt;=0.3,E48&lt;=-0.3),"超过30%","")</f>
        <v/>
      </c>
      <c r="G48" s="498">
        <f>IF(G41&lt;I41,I41/G41-1,G41/I41-1)</f>
        <v>5.8651026392961825E-2</v>
      </c>
      <c r="H48" s="499" t="str">
        <f>IF(OR(G48&gt;=0.3,G48&lt;=-0.3),"超过30%","")</f>
        <v/>
      </c>
      <c r="I48" s="498">
        <f>IF(I41&lt;E41,E41/I41-1,I41/E41-1)</f>
        <v>0.11880165289256195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2746</v>
      </c>
      <c r="B50" s="684" t="s">
        <v>2747</v>
      </c>
      <c r="C50" s="2705" t="s">
        <v>2748</v>
      </c>
      <c r="D50" s="2706" t="s">
        <v>2749</v>
      </c>
      <c r="E50" s="685" t="s">
        <v>2750</v>
      </c>
      <c r="F50" s="686" t="s">
        <v>2751</v>
      </c>
      <c r="G50" s="3178" t="s">
        <v>2752</v>
      </c>
      <c r="H50" s="3192"/>
      <c r="I50" s="1816" t="s">
        <v>2788</v>
      </c>
      <c r="J50" s="1816" t="str">
        <f>项目基本情况!F35</f>
        <v>上海市</v>
      </c>
      <c r="K50" s="2708" t="s">
        <v>2754</v>
      </c>
      <c r="L50" s="1108"/>
      <c r="M50" s="1146"/>
      <c r="N50" s="1146"/>
      <c r="O50" s="1146"/>
    </row>
    <row r="51" spans="1:17" s="691" customFormat="1">
      <c r="A51" s="687" t="s">
        <v>2755</v>
      </c>
      <c r="B51" s="688">
        <f>C43</f>
        <v>948</v>
      </c>
      <c r="C51" s="689">
        <v>1</v>
      </c>
      <c r="D51" s="1165">
        <v>1</v>
      </c>
      <c r="E51" s="689">
        <f>'数据-汇总表'!E8+'数据-汇总表'!E9</f>
        <v>17933.88</v>
      </c>
      <c r="F51" s="690">
        <f t="shared" ref="F51:F60" si="15">ROUND(B51*E51/10000,0)</f>
        <v>1700</v>
      </c>
      <c r="G51" s="3193"/>
      <c r="H51" s="3168"/>
      <c r="I51" s="944">
        <v>1</v>
      </c>
      <c r="J51" s="944">
        <v>1</v>
      </c>
      <c r="K51" s="1147"/>
      <c r="L51" s="943"/>
      <c r="M51" s="943"/>
      <c r="N51" s="943"/>
      <c r="O51" s="943"/>
    </row>
    <row r="52" spans="1:17" s="691" customFormat="1">
      <c r="A52" s="692" t="s">
        <v>2756</v>
      </c>
      <c r="B52" s="261">
        <f>ROUND($C$43*C52*D52,0)</f>
        <v>0</v>
      </c>
      <c r="C52" s="199">
        <f t="shared" ref="C52:C60" si="16">IF($C$50="北京市系数",I52,J52)</f>
        <v>0</v>
      </c>
      <c r="D52" s="1166">
        <v>0.25</v>
      </c>
      <c r="E52" s="693"/>
      <c r="F52" s="690">
        <f t="shared" si="15"/>
        <v>0</v>
      </c>
      <c r="G52" s="3194" t="s">
        <v>2757</v>
      </c>
      <c r="H52" s="1106">
        <f>项目基本情况!B37</f>
        <v>0</v>
      </c>
      <c r="I52" s="944">
        <f>SUMIF(修正!A45:A56,H52,修正!B45:B56)</f>
        <v>0</v>
      </c>
      <c r="J52" s="945"/>
      <c r="K52" s="1146"/>
      <c r="L52" s="943"/>
      <c r="M52" s="943"/>
      <c r="N52" s="943"/>
      <c r="O52" s="943"/>
    </row>
    <row r="53" spans="1:17" s="691" customFormat="1">
      <c r="A53" s="692" t="s">
        <v>2758</v>
      </c>
      <c r="B53" s="261">
        <f t="shared" ref="B53:B60" si="17">ROUND($C$43*C53*D53,0)</f>
        <v>0</v>
      </c>
      <c r="C53" s="199">
        <f t="shared" si="16"/>
        <v>0</v>
      </c>
      <c r="D53" s="1166">
        <v>0.25</v>
      </c>
      <c r="E53" s="693"/>
      <c r="F53" s="690">
        <f t="shared" si="15"/>
        <v>0</v>
      </c>
      <c r="G53" s="3194"/>
      <c r="H53" s="1106">
        <f>项目基本情况!B37</f>
        <v>0</v>
      </c>
      <c r="I53" s="944">
        <f>SUMIF(修正!A45:A56,H53,修正!C45:C56)</f>
        <v>0</v>
      </c>
      <c r="J53" s="945"/>
      <c r="K53" s="1147"/>
      <c r="L53" s="943"/>
      <c r="M53" s="943"/>
      <c r="N53" s="943"/>
      <c r="O53" s="943"/>
    </row>
    <row r="54" spans="1:17" s="691" customFormat="1">
      <c r="A54" s="692" t="s">
        <v>2759</v>
      </c>
      <c r="B54" s="261">
        <f t="shared" si="17"/>
        <v>0</v>
      </c>
      <c r="C54" s="199">
        <f t="shared" si="16"/>
        <v>0</v>
      </c>
      <c r="D54" s="1166">
        <v>0.25</v>
      </c>
      <c r="E54" s="693"/>
      <c r="F54" s="690">
        <f t="shared" si="15"/>
        <v>0</v>
      </c>
      <c r="G54" s="3194"/>
      <c r="H54" s="1106">
        <f>项目基本情况!B37</f>
        <v>0</v>
      </c>
      <c r="I54" s="944">
        <f>SUMIF(修正!A45:A56,H54,修正!D45:D56)</f>
        <v>0</v>
      </c>
      <c r="J54" s="945"/>
      <c r="K54" s="1146"/>
      <c r="L54" s="943"/>
      <c r="M54" s="943"/>
      <c r="N54" s="943"/>
      <c r="O54" s="943"/>
    </row>
    <row r="55" spans="1:17" s="691" customFormat="1">
      <c r="A55" s="692" t="s">
        <v>2760</v>
      </c>
      <c r="B55" s="261">
        <f t="shared" si="17"/>
        <v>0</v>
      </c>
      <c r="C55" s="199">
        <f t="shared" si="16"/>
        <v>0</v>
      </c>
      <c r="D55" s="1166">
        <v>0.25</v>
      </c>
      <c r="E55" s="693"/>
      <c r="F55" s="690">
        <f t="shared" si="15"/>
        <v>0</v>
      </c>
      <c r="G55" s="3194"/>
      <c r="H55" s="1106">
        <f>项目基本情况!B37</f>
        <v>0</v>
      </c>
      <c r="I55" s="944">
        <f>SUMIF(修正!A45:A56,H55,修正!E45:E56)</f>
        <v>0</v>
      </c>
      <c r="J55" s="945"/>
      <c r="K55" s="1147"/>
      <c r="L55" s="943"/>
      <c r="M55" s="943"/>
      <c r="N55" s="943"/>
      <c r="O55" s="943"/>
    </row>
    <row r="56" spans="1:17" s="691" customFormat="1">
      <c r="A56" s="692" t="s">
        <v>2761</v>
      </c>
      <c r="B56" s="261">
        <f t="shared" si="17"/>
        <v>0</v>
      </c>
      <c r="C56" s="199">
        <f t="shared" si="16"/>
        <v>0</v>
      </c>
      <c r="D56" s="1166">
        <v>0.25</v>
      </c>
      <c r="E56" s="260">
        <f>'数据-汇总表'!E11</f>
        <v>0</v>
      </c>
      <c r="F56" s="690">
        <f t="shared" si="15"/>
        <v>0</v>
      </c>
      <c r="G56" s="2709" t="s">
        <v>2762</v>
      </c>
      <c r="H56" s="1106">
        <f>项目基本情况!C37</f>
        <v>0</v>
      </c>
      <c r="I56" s="944">
        <f>SUMIF(修正!A45:A56,H56,修正!F45:F56)</f>
        <v>0</v>
      </c>
      <c r="J56" s="945"/>
      <c r="K56" s="1146"/>
      <c r="L56" s="943"/>
      <c r="M56" s="943"/>
      <c r="N56" s="943"/>
      <c r="O56" s="943"/>
    </row>
    <row r="57" spans="1:17" s="691" customFormat="1">
      <c r="A57" s="692" t="s">
        <v>2763</v>
      </c>
      <c r="B57" s="261">
        <f t="shared" si="17"/>
        <v>0</v>
      </c>
      <c r="C57" s="199">
        <f t="shared" si="16"/>
        <v>0</v>
      </c>
      <c r="D57" s="1166">
        <v>0.25</v>
      </c>
      <c r="E57" s="260">
        <f>'数据-汇总表'!E12</f>
        <v>0</v>
      </c>
      <c r="F57" s="690">
        <f t="shared" si="15"/>
        <v>0</v>
      </c>
      <c r="G57" s="1111" t="s">
        <v>2764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2765</v>
      </c>
      <c r="B58" s="261">
        <f t="shared" si="17"/>
        <v>0</v>
      </c>
      <c r="C58" s="199">
        <f t="shared" si="16"/>
        <v>0</v>
      </c>
      <c r="D58" s="1166">
        <v>0.25</v>
      </c>
      <c r="E58" s="260">
        <f>'数据-汇总表'!E13</f>
        <v>0</v>
      </c>
      <c r="F58" s="690">
        <f t="shared" si="15"/>
        <v>0</v>
      </c>
      <c r="G58" s="1111" t="s">
        <v>2766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2767</v>
      </c>
      <c r="B59" s="261">
        <f t="shared" si="17"/>
        <v>0</v>
      </c>
      <c r="C59" s="199">
        <f t="shared" si="16"/>
        <v>0</v>
      </c>
      <c r="D59" s="1166">
        <v>0.25</v>
      </c>
      <c r="E59" s="260">
        <f>'数据-汇总表'!E14</f>
        <v>0</v>
      </c>
      <c r="F59" s="690">
        <f t="shared" si="15"/>
        <v>0</v>
      </c>
      <c r="G59" s="2709" t="s">
        <v>2757</v>
      </c>
      <c r="H59" s="1106">
        <f>项目基本情况!B37</f>
        <v>0</v>
      </c>
      <c r="I59" s="944">
        <f>SUMIF(修正!A45:A56,H59,修正!H45:H56)</f>
        <v>0</v>
      </c>
      <c r="J59" s="945"/>
      <c r="K59" s="1147"/>
      <c r="L59" s="943"/>
      <c r="M59" s="943"/>
      <c r="N59" s="943"/>
      <c r="O59" s="943"/>
    </row>
    <row r="60" spans="1:17" s="691" customFormat="1" ht="15" thickBot="1">
      <c r="A60" s="692" t="s">
        <v>2768</v>
      </c>
      <c r="B60" s="261">
        <f t="shared" si="17"/>
        <v>0</v>
      </c>
      <c r="C60" s="199">
        <f t="shared" si="16"/>
        <v>0</v>
      </c>
      <c r="D60" s="1166">
        <v>0.25</v>
      </c>
      <c r="E60" s="260">
        <f>'数据-汇总表'!E15</f>
        <v>0</v>
      </c>
      <c r="F60" s="690">
        <f t="shared" si="15"/>
        <v>0</v>
      </c>
      <c r="G60" s="2710" t="s">
        <v>2762</v>
      </c>
      <c r="H60" s="1116">
        <f>项目基本情况!C37</f>
        <v>0</v>
      </c>
      <c r="I60" s="944">
        <f>SUMIF(修正!A45:A56,H60,修正!H45:H56)</f>
        <v>0</v>
      </c>
      <c r="J60" s="945"/>
      <c r="K60" s="1146"/>
      <c r="L60" s="943"/>
      <c r="M60" s="943"/>
      <c r="N60" s="943"/>
      <c r="O60" s="943"/>
    </row>
    <row r="61" spans="1:17" s="691" customFormat="1" ht="15" thickBot="1">
      <c r="A61" s="694" t="s">
        <v>2769</v>
      </c>
      <c r="B61" s="695" t="s">
        <v>28</v>
      </c>
      <c r="C61" s="695" t="s">
        <v>29</v>
      </c>
      <c r="D61" s="695" t="s">
        <v>1029</v>
      </c>
      <c r="E61" s="695">
        <f>IF(B41="楼面地价",SUM(E51:E60),'数据-汇总表'!D3)</f>
        <v>17933.88</v>
      </c>
      <c r="F61" s="696">
        <f>IF(B41="楼面地价",SUM(F51:F60),ROUND(C43*E61/10000,0))</f>
        <v>1700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2662</v>
      </c>
      <c r="B64" s="758"/>
      <c r="C64" s="763"/>
      <c r="D64" s="763"/>
      <c r="E64" s="763"/>
      <c r="F64" s="764"/>
      <c r="G64" s="764"/>
      <c r="H64" s="763"/>
      <c r="I64" s="763"/>
      <c r="J64" s="763"/>
      <c r="K64" s="765"/>
      <c r="L64" s="766"/>
      <c r="M64" s="763"/>
      <c r="N64" s="763"/>
      <c r="O64" s="1161"/>
      <c r="P64" s="502"/>
      <c r="Q64" s="503"/>
    </row>
    <row r="65" spans="1:17" s="507" customFormat="1" ht="15">
      <c r="A65" s="2711" t="s">
        <v>2770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6" t="s">
        <v>2789</v>
      </c>
      <c r="B66" s="331" t="str">
        <f>"北京市平均增长率"&amp;TEXT(基准地价修正!P24,"0.00%")</f>
        <v>北京市平均增长率1.35%</v>
      </c>
      <c r="C66" s="602">
        <v>100</v>
      </c>
      <c r="D66" s="594">
        <f>C66-1</f>
        <v>99</v>
      </c>
      <c r="E66" s="594">
        <f t="shared" ref="E66:O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594">
        <f t="shared" si="20"/>
        <v>88</v>
      </c>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2576</v>
      </c>
      <c r="B70" s="527" t="s">
        <v>2542</v>
      </c>
      <c r="C70" s="2953" t="s">
        <v>3198</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2545</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2546</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5（含）-6</v>
      </c>
      <c r="I74" s="546" t="str">
        <f t="shared" si="21"/>
        <v>6（含）-7</v>
      </c>
      <c r="J74" s="546" t="str">
        <f t="shared" si="21"/>
        <v>7（含）-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v>4</v>
      </c>
      <c r="H75" s="548">
        <v>5</v>
      </c>
      <c r="I75" s="548">
        <v>6</v>
      </c>
      <c r="J75" s="548">
        <v>7</v>
      </c>
      <c r="K75" s="549"/>
      <c r="L75" s="550"/>
      <c r="M75" s="551"/>
      <c r="N75" s="1154"/>
      <c r="O75" s="1154"/>
      <c r="P75" s="45"/>
      <c r="Q75" s="503"/>
    </row>
    <row r="76" spans="1:17" ht="15.75" thickBot="1">
      <c r="A76" s="533"/>
      <c r="B76" s="534"/>
      <c r="C76" s="543">
        <v>100</v>
      </c>
      <c r="D76" s="543">
        <f>IF($B$41="单位面积地价",C76+$K11,C76-$K11)</f>
        <v>99</v>
      </c>
      <c r="E76" s="543">
        <f t="shared" ref="E76:M76" si="22">IF($B$41="单位面积地价",D76+$K11,D76-$K11)</f>
        <v>98</v>
      </c>
      <c r="F76" s="543">
        <f t="shared" si="22"/>
        <v>97</v>
      </c>
      <c r="G76" s="543">
        <f t="shared" si="22"/>
        <v>96</v>
      </c>
      <c r="H76" s="543">
        <f t="shared" si="22"/>
        <v>95</v>
      </c>
      <c r="I76" s="543">
        <f t="shared" si="22"/>
        <v>94</v>
      </c>
      <c r="J76" s="543">
        <f t="shared" si="22"/>
        <v>93</v>
      </c>
      <c r="K76" s="543">
        <f t="shared" si="22"/>
        <v>92</v>
      </c>
      <c r="L76" s="543">
        <f t="shared" si="22"/>
        <v>91</v>
      </c>
      <c r="M76" s="543">
        <f t="shared" si="22"/>
        <v>90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2773</v>
      </c>
      <c r="C87" s="572" t="s">
        <v>2585</v>
      </c>
      <c r="D87" s="572" t="s">
        <v>2586</v>
      </c>
      <c r="E87" s="572" t="s">
        <v>2587</v>
      </c>
      <c r="F87" s="572" t="s">
        <v>2588</v>
      </c>
      <c r="G87" s="572" t="s">
        <v>2589</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2774</v>
      </c>
      <c r="C89" s="572" t="s">
        <v>2585</v>
      </c>
      <c r="D89" s="572" t="s">
        <v>2586</v>
      </c>
      <c r="E89" s="572" t="s">
        <v>2587</v>
      </c>
      <c r="F89" s="572" t="s">
        <v>2588</v>
      </c>
      <c r="G89" s="572" t="s">
        <v>2589</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2790</v>
      </c>
      <c r="C93" s="659" t="s">
        <v>2663</v>
      </c>
      <c r="D93" s="659" t="s">
        <v>2664</v>
      </c>
      <c r="E93" s="659" t="s">
        <v>2665</v>
      </c>
      <c r="F93" s="659" t="s">
        <v>2666</v>
      </c>
      <c r="G93" s="659" t="s">
        <v>2667</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2679</v>
      </c>
      <c r="C97" s="2954" t="s">
        <v>3199</v>
      </c>
      <c r="D97" s="2954" t="s">
        <v>3200</v>
      </c>
      <c r="E97" s="2954" t="s">
        <v>3201</v>
      </c>
      <c r="F97" s="2954" t="s">
        <v>3202</v>
      </c>
      <c r="G97" s="2954" t="s">
        <v>3204</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2738</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2551</v>
      </c>
      <c r="B107" s="527" t="s">
        <v>2779</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200000(含)-500000</v>
      </c>
      <c r="H107" s="528" t="str">
        <f t="shared" si="26"/>
        <v>500000(含)-1000000</v>
      </c>
      <c r="I107" s="528" t="str">
        <f t="shared" si="26"/>
        <v>1000000(含)-1000000</v>
      </c>
      <c r="J107" s="528" t="str">
        <f t="shared" si="26"/>
        <v>1000000(含)-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v>500000</v>
      </c>
      <c r="I108" s="594">
        <v>1000000</v>
      </c>
      <c r="J108" s="595">
        <v>1000000</v>
      </c>
      <c r="K108" s="595"/>
      <c r="L108" s="596"/>
      <c r="M108" s="597"/>
      <c r="N108" s="1154"/>
      <c r="O108" s="1154"/>
      <c r="P108" s="45"/>
      <c r="Q108" s="503"/>
    </row>
    <row r="109" spans="1:17" ht="15.75" thickBot="1">
      <c r="A109" s="533"/>
      <c r="B109" s="542"/>
      <c r="C109" s="569">
        <v>100</v>
      </c>
      <c r="D109" s="590">
        <f>C109+1</f>
        <v>101</v>
      </c>
      <c r="E109" s="590">
        <f t="shared" ref="E109:J109" si="27">D109+1</f>
        <v>102</v>
      </c>
      <c r="F109" s="590">
        <f t="shared" si="27"/>
        <v>103</v>
      </c>
      <c r="G109" s="590">
        <f t="shared" si="27"/>
        <v>104</v>
      </c>
      <c r="H109" s="590">
        <f t="shared" si="27"/>
        <v>105</v>
      </c>
      <c r="I109" s="590">
        <f t="shared" si="27"/>
        <v>106</v>
      </c>
      <c r="J109" s="590">
        <f t="shared" si="27"/>
        <v>107</v>
      </c>
      <c r="K109" s="590"/>
      <c r="L109" s="590"/>
      <c r="M109" s="591"/>
      <c r="N109" s="1155"/>
      <c r="O109" s="1155"/>
      <c r="P109" s="45"/>
      <c r="Q109" s="503"/>
    </row>
    <row r="110" spans="1:17" ht="15" thickTop="1">
      <c r="A110" s="598"/>
      <c r="B110" s="537" t="s">
        <v>2780</v>
      </c>
      <c r="C110" s="2955" t="s">
        <v>3205</v>
      </c>
      <c r="D110" s="2955" t="s">
        <v>3207</v>
      </c>
      <c r="E110" s="2955" t="s">
        <v>3208</v>
      </c>
      <c r="F110" s="2955" t="s">
        <v>3209</v>
      </c>
      <c r="G110" s="582"/>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2782</v>
      </c>
      <c r="C112" s="553" t="s">
        <v>3210</v>
      </c>
      <c r="D112" s="553" t="s">
        <v>3064</v>
      </c>
      <c r="E112" s="553" t="s">
        <v>3211</v>
      </c>
      <c r="F112" s="553" t="s">
        <v>3212</v>
      </c>
      <c r="G112" s="553" t="s">
        <v>3213</v>
      </c>
      <c r="H112" s="582"/>
      <c r="I112" s="582"/>
      <c r="J112" s="582"/>
      <c r="K112" s="583"/>
      <c r="L112" s="584"/>
      <c r="M112" s="585"/>
      <c r="N112" s="1156"/>
      <c r="O112" s="1156"/>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56"/>
      <c r="O113" s="1156"/>
      <c r="P113" s="557"/>
      <c r="Q113" s="558"/>
    </row>
    <row r="114" spans="1:17" ht="15" thickTop="1">
      <c r="A114" s="598"/>
      <c r="B114" s="537" t="s">
        <v>2783</v>
      </c>
      <c r="C114" s="553" t="s">
        <v>3214</v>
      </c>
      <c r="D114" s="553" t="s">
        <v>3061</v>
      </c>
      <c r="E114" s="582" t="s">
        <v>3215</v>
      </c>
      <c r="F114" s="582" t="s">
        <v>3216</v>
      </c>
      <c r="G114" s="582" t="s">
        <v>3217</v>
      </c>
      <c r="H114" s="582"/>
      <c r="I114" s="582"/>
      <c r="J114" s="582"/>
      <c r="K114" s="583"/>
      <c r="L114" s="584"/>
      <c r="M114" s="585"/>
      <c r="N114" s="1154"/>
      <c r="O114" s="1154"/>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2" t="str">
        <f>项目基本情况!B1</f>
        <v>上海市金山区山阳镇阳乐路188号6幢工业用房房地产房地产抵押价值预评估</v>
      </c>
      <c r="C37" s="2982"/>
      <c r="D37" s="2982"/>
      <c r="E37" s="2982"/>
      <c r="F37" s="2982"/>
      <c r="G37" s="2982"/>
      <c r="H37" s="2982"/>
      <c r="I37" s="2982"/>
    </row>
    <row r="38" spans="1:9">
      <c r="A38" s="1018"/>
      <c r="B38" s="1018"/>
    </row>
    <row r="39" spans="1:9">
      <c r="A39" s="1016" t="s">
        <v>818</v>
      </c>
      <c r="B39" s="1016" t="s">
        <v>820</v>
      </c>
    </row>
    <row r="40" spans="1:9">
      <c r="A40" s="1016"/>
      <c r="B40" s="1944" t="str">
        <f>项目基本情况!B5</f>
        <v>上海同百智能门窗科技股份有限公司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康正预评字2018-1-0287-P01DYGJ1号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9"/>
      <c r="C1" s="241"/>
      <c r="D1" s="241"/>
      <c r="E1" s="241"/>
      <c r="F1" s="241"/>
      <c r="G1" s="1381">
        <f>MATCH(B1,'数据-取费表'!A6:A16,0)+5</f>
        <v>8</v>
      </c>
    </row>
    <row r="2" spans="1:9" s="243" customFormat="1" ht="18" customHeight="1">
      <c r="A2" s="244" t="s">
        <v>2315</v>
      </c>
      <c r="B2" s="245">
        <f ca="1">IF(D2="——",C52,C52-E2)</f>
        <v>8006</v>
      </c>
      <c r="C2" s="242" t="s">
        <v>2316</v>
      </c>
      <c r="D2" s="2547" t="s">
        <v>70</v>
      </c>
      <c r="E2" s="1442">
        <f ca="1">SUMIF(INDIRECT("'"&amp;G2&amp;"'"&amp;"!A:A"),"承租人权益价值",INDIRECT("'"&amp;G2&amp;"'"&amp;"!c:c"))</f>
        <v>-735</v>
      </c>
      <c r="F2" s="2548" t="s">
        <v>2316</v>
      </c>
      <c r="G2" s="2549" t="s">
        <v>3263</v>
      </c>
    </row>
    <row r="3" spans="1:9" s="243" customFormat="1" ht="18" customHeight="1" thickBot="1">
      <c r="A3" s="246" t="s">
        <v>2317</v>
      </c>
      <c r="B3" s="247">
        <f ca="1">ROUND(B2*10000/(IF(B1="",'数据-汇总表'!E3,INDIRECT("'数据-取费表'!k"&amp;$G$1))),0)</f>
        <v>4464</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C6+C7+C8</f>
        <v>1752</v>
      </c>
      <c r="D5" s="254" t="s">
        <v>2322</v>
      </c>
      <c r="E5" s="255" t="s">
        <v>2323</v>
      </c>
      <c r="F5" s="255" t="s">
        <v>2324</v>
      </c>
      <c r="G5" s="256"/>
    </row>
    <row r="6" spans="1:9" s="257" customFormat="1" ht="13.5" customHeight="1">
      <c r="A6" s="951" t="s">
        <v>2325</v>
      </c>
      <c r="B6" s="258" t="s">
        <v>2326</v>
      </c>
      <c r="C6" s="259">
        <f>'土地比较法-工业'!B2</f>
        <v>1700</v>
      </c>
      <c r="D6" s="260"/>
      <c r="E6" s="261"/>
      <c r="F6" s="261"/>
      <c r="G6" s="262"/>
    </row>
    <row r="7" spans="1:9" s="257" customFormat="1" ht="13.5" customHeight="1">
      <c r="A7" s="951" t="s">
        <v>2327</v>
      </c>
      <c r="B7" s="258" t="s">
        <v>2328</v>
      </c>
      <c r="C7" s="263">
        <f>ROUND(C6*F7,0)</f>
        <v>52</v>
      </c>
      <c r="D7" s="263"/>
      <c r="E7" s="261"/>
      <c r="F7" s="264">
        <f>'数据-取费表'!B48+'数据-取费表'!B49</f>
        <v>3.0499999999999999E-2</v>
      </c>
      <c r="G7" s="262"/>
    </row>
    <row r="8" spans="1:9" s="266" customFormat="1">
      <c r="A8" s="951" t="s">
        <v>2329</v>
      </c>
      <c r="B8" s="258" t="s">
        <v>2330</v>
      </c>
      <c r="C8" s="263">
        <f>IF(G8="已包含在土地购买价格中","0",IF(B1="",'数据-取费表'!B29,IF(G9="全部缴纳",C9+C10,H9)))</f>
        <v>0</v>
      </c>
      <c r="D8" s="265"/>
      <c r="E8" s="263"/>
      <c r="F8" s="264"/>
      <c r="G8" s="2550" t="s">
        <v>3221</v>
      </c>
    </row>
    <row r="9" spans="1:9" s="257" customFormat="1" ht="13.5" customHeight="1">
      <c r="A9" s="952" t="s">
        <v>800</v>
      </c>
      <c r="B9" s="267" t="s">
        <v>2331</v>
      </c>
      <c r="C9" s="268">
        <f ca="1">ROUND(D9*E9/10000,0)</f>
        <v>0</v>
      </c>
      <c r="D9" s="1034">
        <f ca="1">IF(B1="",'数据-汇总表'!E5,IF(INDIRECT("'数据-取费表'!c"&amp;$G$1)="住宅",INDIRECT("'数据-取费表'!k"&amp;$G$1),0))</f>
        <v>0</v>
      </c>
      <c r="E9" s="268">
        <f>'数据-取费表'!B27</f>
        <v>430</v>
      </c>
      <c r="F9" s="264"/>
      <c r="G9" s="2551" t="s">
        <v>3219</v>
      </c>
      <c r="H9" s="1392"/>
      <c r="I9" s="2552" t="s">
        <v>2332</v>
      </c>
    </row>
    <row r="10" spans="1:9" s="257" customFormat="1" ht="13.5" customHeight="1">
      <c r="A10" s="952" t="s">
        <v>801</v>
      </c>
      <c r="B10" s="267" t="s">
        <v>2333</v>
      </c>
      <c r="C10" s="268">
        <f ca="1">ROUND(D10*E10/10000,0)</f>
        <v>0</v>
      </c>
      <c r="D10" s="1034">
        <f ca="1">IF(B1="",'数据-汇总表'!E6,IF(INDIRECT("'数据-取费表'!c"&amp;$G$1)="住宅",INDIRECT("'数据-取费表'!s"&amp;$G$1),INDIRECT("'数据-取费表'!k"&amp;$G$1)+INDIRECT("'数据-取费表'!s"&amp;$G$1)))</f>
        <v>17933.88</v>
      </c>
      <c r="E10" s="268">
        <f>'数据-取费表'!B28</f>
        <v>0</v>
      </c>
      <c r="F10" s="264"/>
      <c r="G10" s="269"/>
    </row>
    <row r="11" spans="1:9" s="257" customFormat="1" ht="13.5" hidden="1" customHeight="1">
      <c r="A11" s="270" t="s">
        <v>7</v>
      </c>
      <c r="B11" s="258" t="s">
        <v>2334</v>
      </c>
      <c r="C11" s="254"/>
      <c r="D11" s="1036"/>
      <c r="E11" s="261"/>
      <c r="F11" s="261"/>
      <c r="G11" s="262"/>
    </row>
    <row r="12" spans="1:9" s="257" customFormat="1" ht="13.5" hidden="1" customHeight="1">
      <c r="A12" s="270" t="s">
        <v>8</v>
      </c>
      <c r="B12" s="258" t="s">
        <v>2335</v>
      </c>
      <c r="C12" s="254">
        <v>0</v>
      </c>
      <c r="D12" s="1036"/>
      <c r="E12" s="271"/>
      <c r="F12" s="264">
        <v>3.0499999999999999E-2</v>
      </c>
      <c r="G12" s="262"/>
    </row>
    <row r="13" spans="1:9" s="257" customFormat="1" ht="13.5" hidden="1" customHeight="1">
      <c r="A13" s="270" t="s">
        <v>9</v>
      </c>
      <c r="B13" s="258" t="s">
        <v>2336</v>
      </c>
      <c r="C13" s="254"/>
      <c r="D13" s="1036"/>
      <c r="E13" s="261"/>
      <c r="F13" s="261"/>
      <c r="G13" s="262"/>
    </row>
    <row r="14" spans="1:9" s="257" customFormat="1" ht="13.5" hidden="1" customHeight="1">
      <c r="A14" s="270" t="s">
        <v>10</v>
      </c>
      <c r="B14" s="258" t="s">
        <v>2337</v>
      </c>
      <c r="C14" s="254"/>
      <c r="D14" s="1036"/>
      <c r="E14" s="261"/>
      <c r="F14" s="261"/>
      <c r="G14" s="262" t="s">
        <v>2338</v>
      </c>
    </row>
    <row r="15" spans="1:9" s="257" customFormat="1" ht="13.5" hidden="1" customHeight="1">
      <c r="A15" s="270" t="s">
        <v>11</v>
      </c>
      <c r="B15" s="258" t="s">
        <v>2339</v>
      </c>
      <c r="C15" s="263"/>
      <c r="D15" s="1036"/>
      <c r="E15" s="261"/>
      <c r="F15" s="261"/>
      <c r="G15" s="262" t="s">
        <v>2340</v>
      </c>
    </row>
    <row r="16" spans="1:9" s="257" customFormat="1" ht="13.5" hidden="1" customHeight="1">
      <c r="A16" s="270" t="s">
        <v>12</v>
      </c>
      <c r="B16" s="258" t="s">
        <v>2337</v>
      </c>
      <c r="C16" s="263"/>
      <c r="D16" s="1036"/>
      <c r="E16" s="261"/>
      <c r="F16" s="261"/>
      <c r="G16" s="262"/>
    </row>
    <row r="17" spans="1:7" s="257" customFormat="1" ht="13.5" hidden="1" customHeight="1">
      <c r="A17" s="270" t="s">
        <v>13</v>
      </c>
      <c r="B17" s="258" t="s">
        <v>2341</v>
      </c>
      <c r="C17" s="272"/>
      <c r="D17" s="1037"/>
      <c r="E17" s="272"/>
      <c r="F17" s="272"/>
      <c r="G17" s="262" t="s">
        <v>2340</v>
      </c>
    </row>
    <row r="18" spans="1:7" s="257" customFormat="1" ht="13.5" hidden="1" customHeight="1">
      <c r="A18" s="270" t="s">
        <v>14</v>
      </c>
      <c r="B18" s="258" t="s">
        <v>2342</v>
      </c>
      <c r="C18" s="263">
        <v>0</v>
      </c>
      <c r="D18" s="1036"/>
      <c r="E18" s="261"/>
      <c r="F18" s="264">
        <v>3.0499999999999999E-2</v>
      </c>
      <c r="G18" s="262" t="s">
        <v>2343</v>
      </c>
    </row>
    <row r="19" spans="1:7" s="266" customFormat="1" ht="13.5" customHeight="1">
      <c r="A19" s="298" t="s">
        <v>2344</v>
      </c>
      <c r="B19" s="253" t="s">
        <v>2345</v>
      </c>
      <c r="C19" s="254" t="str">
        <f>IF(G19="已包含在土地取得成本中","0",ROUND(D19*E19/10000,0))</f>
        <v>0</v>
      </c>
      <c r="D19" s="1038">
        <f ca="1">D9+D10</f>
        <v>17933.88</v>
      </c>
      <c r="E19" s="254">
        <f>'数据-取费表'!B31</f>
        <v>200</v>
      </c>
      <c r="F19" s="274"/>
      <c r="G19" s="2550" t="s">
        <v>3220</v>
      </c>
    </row>
    <row r="20" spans="1:7" s="257" customFormat="1" ht="13.5" customHeight="1">
      <c r="A20" s="298" t="s">
        <v>2346</v>
      </c>
      <c r="B20" s="253" t="s">
        <v>2347</v>
      </c>
      <c r="C20" s="275">
        <f>ROUND((C5+C19)*F20,0)</f>
        <v>53</v>
      </c>
      <c r="D20" s="275"/>
      <c r="E20" s="275"/>
      <c r="F20" s="276">
        <f>'数据-取费表'!B37</f>
        <v>0.03</v>
      </c>
      <c r="G20" s="277" t="s">
        <v>2348</v>
      </c>
    </row>
    <row r="21" spans="1:7" s="257" customFormat="1" ht="13.5" customHeight="1">
      <c r="A21" s="298" t="s">
        <v>2349</v>
      </c>
      <c r="B21" s="253" t="s">
        <v>2350</v>
      </c>
      <c r="C21" s="278">
        <f>F21</f>
        <v>0.03</v>
      </c>
      <c r="D21" s="279" t="s">
        <v>2351</v>
      </c>
      <c r="E21" s="275"/>
      <c r="F21" s="276">
        <f>'数据-取费表'!B38</f>
        <v>0.03</v>
      </c>
      <c r="G21" s="277" t="s">
        <v>2352</v>
      </c>
    </row>
    <row r="22" spans="1:7" s="257" customFormat="1" ht="13.5" customHeight="1">
      <c r="A22" s="298" t="s">
        <v>2353</v>
      </c>
      <c r="B22" s="253" t="s">
        <v>2354</v>
      </c>
      <c r="C22" s="1356">
        <f ca="1">ROUND(SUM(C23:C25),0)</f>
        <v>77</v>
      </c>
      <c r="D22" s="278">
        <f ca="1">C26</f>
        <v>6.9999999999999999E-4</v>
      </c>
      <c r="E22" s="279" t="s">
        <v>2351</v>
      </c>
      <c r="F22" s="280">
        <f ca="1">'数据-取费表'!B40</f>
        <v>4.3499999999999997E-2</v>
      </c>
      <c r="G22" s="277" t="str">
        <f>IF('数据-取费表'!B22&lt;=1,"单利计息","复利计息")</f>
        <v>单利计息</v>
      </c>
    </row>
    <row r="23" spans="1:7" s="257" customFormat="1" ht="13.5" customHeight="1">
      <c r="A23" s="953" t="s">
        <v>2355</v>
      </c>
      <c r="B23" s="258" t="s">
        <v>2356</v>
      </c>
      <c r="C23" s="1357">
        <f ca="1">ROUND(IF('数据-取费表'!B22&lt;=1,C5*F22*'数据-取费表'!B23,C5*(POWER((1+F22),'数据-取费表'!B23)-1)),0)</f>
        <v>76</v>
      </c>
      <c r="D23" s="281"/>
      <c r="E23" s="281"/>
      <c r="F23" s="282"/>
      <c r="G23" s="283" t="s">
        <v>2357</v>
      </c>
    </row>
    <row r="24" spans="1:7" s="257" customFormat="1" ht="13.5" customHeight="1">
      <c r="A24" s="953" t="s">
        <v>2358</v>
      </c>
      <c r="B24" s="258" t="s">
        <v>2359</v>
      </c>
      <c r="C24" s="1357">
        <f ca="1">ROUND(IF('数据-取费表'!B22&lt;=1,C19*F22*('数据-取费表'!B19/2+'数据-取费表'!B21),C19*(POWER((1+F22),('数据-取费表'!B19/2+'数据-取费表'!B21))-1)),0)</f>
        <v>0</v>
      </c>
      <c r="D24" s="281"/>
      <c r="E24" s="281"/>
      <c r="F24" s="282"/>
      <c r="G24" s="283" t="s">
        <v>2360</v>
      </c>
    </row>
    <row r="25" spans="1:7" s="257" customFormat="1" ht="24">
      <c r="A25" s="953" t="s">
        <v>2361</v>
      </c>
      <c r="B25" s="258" t="s">
        <v>2362</v>
      </c>
      <c r="C25" s="1357">
        <f ca="1">ROUND(IF('数据-取费表'!B22&lt;=1,C20*F22*'数据-取费表'!B23/2,C20*(POWER((1+F22),'数据-取费表'!B23/2)-1)),0)</f>
        <v>1</v>
      </c>
      <c r="D25" s="281"/>
      <c r="E25" s="284"/>
      <c r="F25" s="282"/>
      <c r="G25" s="285" t="s">
        <v>2363</v>
      </c>
    </row>
    <row r="26" spans="1:7" s="257" customFormat="1">
      <c r="A26" s="953" t="s">
        <v>795</v>
      </c>
      <c r="B26" s="258" t="s">
        <v>2364</v>
      </c>
      <c r="C26" s="281">
        <f ca="1">ROUND(IF('数据-取费表'!B22&lt;=1,F21*F22*'数据-取费表'!B23/2,F21*(POWER((1+F22),'数据-取费表'!B23/2)-1)),4)</f>
        <v>6.9999999999999999E-4</v>
      </c>
      <c r="D26" s="281"/>
      <c r="E26" s="284"/>
      <c r="F26" s="282"/>
      <c r="G26" s="286"/>
    </row>
    <row r="27" spans="1:7" s="257" customFormat="1" ht="24.75">
      <c r="A27" s="298" t="s">
        <v>2365</v>
      </c>
      <c r="B27" s="287" t="s">
        <v>2366</v>
      </c>
      <c r="C27" s="288">
        <f ca="1">C28</f>
        <v>181</v>
      </c>
      <c r="D27" s="278">
        <f ca="1">C29</f>
        <v>3.0000000000000001E-3</v>
      </c>
      <c r="E27" s="279" t="s">
        <v>2367</v>
      </c>
      <c r="F27" s="289">
        <f ca="1">IF(B1="",'数据-取费表'!Q16,INDIRECT("'数据-取费表'!q"&amp;$G$1))</f>
        <v>0.1</v>
      </c>
      <c r="G27" s="290" t="s">
        <v>2368</v>
      </c>
    </row>
    <row r="28" spans="1:7" s="257" customFormat="1" ht="13.5" customHeight="1">
      <c r="A28" s="953" t="s">
        <v>791</v>
      </c>
      <c r="B28" s="291" t="s">
        <v>2369</v>
      </c>
      <c r="C28" s="292">
        <f ca="1">ROUND((C5+C19+C20)*F27*'数据-取费表'!B21/'数据-取费表'!B20,0)</f>
        <v>181</v>
      </c>
      <c r="D28" s="278"/>
      <c r="E28" s="279"/>
      <c r="F28" s="289"/>
      <c r="G28" s="290"/>
    </row>
    <row r="29" spans="1:7" s="257" customFormat="1" ht="13.5" customHeight="1">
      <c r="A29" s="953" t="s">
        <v>792</v>
      </c>
      <c r="B29" s="291" t="s">
        <v>2370</v>
      </c>
      <c r="C29" s="281">
        <f ca="1">ROUND(C21*F27*'数据-取费表'!B21/'数据-取费表'!B20,4)</f>
        <v>3.0000000000000001E-3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2260</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f ca="1">SUM(C34:C38)</f>
        <v>5045</v>
      </c>
      <c r="D33" s="275"/>
      <c r="E33" s="255"/>
      <c r="F33" s="284"/>
      <c r="G33" s="277"/>
    </row>
    <row r="34" spans="1:7" s="301" customFormat="1" ht="13.5" customHeight="1">
      <c r="A34" s="953" t="s">
        <v>791</v>
      </c>
      <c r="B34" s="258" t="s">
        <v>2378</v>
      </c>
      <c r="C34" s="263">
        <f ca="1">IF(B1="",IF(F34=100%,'数据-取费表'!M16,'数据-取费表'!O16),IF(F34=100%,INDIRECT("'数据-取费表'!m"&amp;$G$1)+INDIRECT("'数据-取费表'!t"&amp;$G$1),INDIRECT("'数据-取费表'!o"&amp;$G$1)+INDIRECT("'数据-取费表'!aq"&amp;$G$1)))</f>
        <v>4484</v>
      </c>
      <c r="D34" s="260"/>
      <c r="E34" s="263"/>
      <c r="F34" s="300">
        <f ca="1">IF('数据-取费表'!B24=0,1,IF(B1="",'数据-取费表'!N16,INDIRECT("'数据-取费表'!n"&amp;$G$1)))</f>
        <v>1</v>
      </c>
      <c r="G34" s="262" t="s">
        <v>2379</v>
      </c>
    </row>
    <row r="35" spans="1:7" ht="13.5" customHeight="1">
      <c r="A35" s="953" t="s">
        <v>796</v>
      </c>
      <c r="B35" s="258" t="s">
        <v>2380</v>
      </c>
      <c r="C35" s="263">
        <f ca="1">ROUND(C34*F35,0)</f>
        <v>135</v>
      </c>
      <c r="D35" s="263"/>
      <c r="E35" s="263"/>
      <c r="F35" s="302">
        <f>'数据-取费表'!B33</f>
        <v>0.03</v>
      </c>
      <c r="G35" s="262" t="s">
        <v>2381</v>
      </c>
    </row>
    <row r="36" spans="1:7" ht="24">
      <c r="A36" s="953" t="s">
        <v>797</v>
      </c>
      <c r="B36" s="258" t="s">
        <v>2382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2383</v>
      </c>
    </row>
    <row r="37" spans="1:7" s="301" customFormat="1" ht="13.5" customHeight="1">
      <c r="A37" s="953" t="s">
        <v>798</v>
      </c>
      <c r="B37" s="258" t="s">
        <v>2384</v>
      </c>
      <c r="C37" s="292">
        <f ca="1">ROUND(E37*D37*F34/10000,0)</f>
        <v>359</v>
      </c>
      <c r="D37" s="260">
        <f ca="1">D19</f>
        <v>17933.88</v>
      </c>
      <c r="E37" s="292">
        <f>'数据-取费表'!B35</f>
        <v>200</v>
      </c>
      <c r="F37" s="302"/>
      <c r="G37" s="304" t="s">
        <v>2385</v>
      </c>
    </row>
    <row r="38" spans="1:7" ht="13.5" customHeight="1">
      <c r="A38" s="953" t="s">
        <v>799</v>
      </c>
      <c r="B38" s="258" t="s">
        <v>2386</v>
      </c>
      <c r="C38" s="263">
        <f ca="1">ROUND(C34*F38,0)</f>
        <v>67</v>
      </c>
      <c r="D38" s="263"/>
      <c r="E38" s="263"/>
      <c r="F38" s="302">
        <f>'数据-取费表'!B36</f>
        <v>1.4999999999999999E-2</v>
      </c>
      <c r="G38" s="262" t="s">
        <v>2381</v>
      </c>
    </row>
    <row r="39" spans="1:7" s="257" customFormat="1" ht="13.5" customHeight="1">
      <c r="A39" s="298" t="s">
        <v>2387</v>
      </c>
      <c r="B39" s="253" t="s">
        <v>2388</v>
      </c>
      <c r="C39" s="275">
        <f ca="1">ROUND(C33*F20,0)</f>
        <v>151</v>
      </c>
      <c r="D39" s="275"/>
      <c r="E39" s="275"/>
      <c r="F39" s="276"/>
      <c r="G39" s="277" t="s">
        <v>2389</v>
      </c>
    </row>
    <row r="40" spans="1:7" s="257" customFormat="1" ht="13.5" customHeight="1">
      <c r="A40" s="298" t="s">
        <v>2390</v>
      </c>
      <c r="B40" s="253" t="s">
        <v>2391</v>
      </c>
      <c r="C40" s="1730">
        <f>F21</f>
        <v>0.03</v>
      </c>
      <c r="D40" s="279" t="s">
        <v>2392</v>
      </c>
      <c r="E40" s="275"/>
      <c r="F40" s="276"/>
      <c r="G40" s="277" t="s">
        <v>2393</v>
      </c>
    </row>
    <row r="41" spans="1:7" s="257" customFormat="1" ht="13.5" customHeight="1">
      <c r="A41" s="298" t="s">
        <v>2394</v>
      </c>
      <c r="B41" s="253" t="s">
        <v>2395</v>
      </c>
      <c r="C41" s="275">
        <f ca="1">ROUND(SUM(C42:C43),0)</f>
        <v>113</v>
      </c>
      <c r="D41" s="278">
        <f ca="1">C44</f>
        <v>6.9999999999999999E-4</v>
      </c>
      <c r="E41" s="279" t="s">
        <v>2392</v>
      </c>
      <c r="F41" s="280"/>
      <c r="G41" s="277" t="str">
        <f>IF('数据-取费表'!B22&lt;=1,"单利计息","复利计息")</f>
        <v>单利计息</v>
      </c>
    </row>
    <row r="42" spans="1:7" ht="13.5" customHeight="1">
      <c r="A42" s="953" t="s">
        <v>791</v>
      </c>
      <c r="B42" s="258" t="s">
        <v>2396</v>
      </c>
      <c r="C42" s="281">
        <f ca="1">ROUND(IF('数据-取费表'!B22&lt;=1,C33*F22*'数据-取费表'!B21/2,C33*(POWER((1+F22),'数据-取费表'!B21/2)-1)),0)</f>
        <v>110</v>
      </c>
      <c r="D42" s="281"/>
      <c r="E42" s="281"/>
      <c r="F42" s="282"/>
      <c r="G42" s="3208" t="s">
        <v>2397</v>
      </c>
    </row>
    <row r="43" spans="1:7" ht="13.5" customHeight="1">
      <c r="A43" s="953" t="s">
        <v>792</v>
      </c>
      <c r="B43" s="258" t="s">
        <v>2398</v>
      </c>
      <c r="C43" s="281">
        <f ca="1">ROUND(IF('数据-取费表'!B22&lt;=1,C39*F22*'数据-取费表'!B21/2,C39*(POWER((1+F22),'数据-取费表'!B21/2)-1)),0)</f>
        <v>3</v>
      </c>
      <c r="D43" s="281"/>
      <c r="E43" s="281"/>
      <c r="F43" s="282"/>
      <c r="G43" s="3209"/>
    </row>
    <row r="44" spans="1:7" ht="13.5" customHeight="1">
      <c r="A44" s="953" t="s">
        <v>793</v>
      </c>
      <c r="B44" s="258" t="s">
        <v>2399</v>
      </c>
      <c r="C44" s="281">
        <f ca="1">ROUND(IF('数据-取费表'!B22&lt;=1,C40*F22*'数据-取费表'!B21/2,C40*(POWER((1+F22),'数据-取费表'!B21/2)-1)),4)</f>
        <v>6.9999999999999999E-4</v>
      </c>
      <c r="D44" s="281"/>
      <c r="E44" s="281"/>
      <c r="F44" s="282"/>
      <c r="G44" s="3210"/>
    </row>
    <row r="45" spans="1:7" s="257" customFormat="1" ht="13.5" customHeight="1">
      <c r="A45" s="298" t="s">
        <v>2400</v>
      </c>
      <c r="B45" s="287" t="s">
        <v>2366</v>
      </c>
      <c r="C45" s="288">
        <f ca="1">C46</f>
        <v>520</v>
      </c>
      <c r="D45" s="278">
        <f ca="1">C47</f>
        <v>3.0000000000000001E-3</v>
      </c>
      <c r="E45" s="279" t="s">
        <v>2392</v>
      </c>
      <c r="F45" s="289"/>
      <c r="G45" s="290" t="s">
        <v>2401</v>
      </c>
    </row>
    <row r="46" spans="1:7" s="257" customFormat="1" ht="13.5" customHeight="1">
      <c r="A46" s="953" t="s">
        <v>791</v>
      </c>
      <c r="B46" s="291" t="s">
        <v>2402</v>
      </c>
      <c r="C46" s="292">
        <f ca="1">ROUND((C33+C39)*F27,0)</f>
        <v>520</v>
      </c>
      <c r="D46" s="306"/>
      <c r="E46" s="279"/>
      <c r="F46" s="289"/>
      <c r="G46" s="290"/>
    </row>
    <row r="47" spans="1:7" s="257" customFormat="1" ht="13.5" customHeight="1">
      <c r="A47" s="953" t="s">
        <v>792</v>
      </c>
      <c r="B47" s="291" t="s">
        <v>2403</v>
      </c>
      <c r="C47" s="281">
        <f ca="1">ROUND(C40*F27,4)</f>
        <v>3.0000000000000001E-3</v>
      </c>
      <c r="D47" s="306"/>
      <c r="E47" s="279"/>
      <c r="F47" s="289"/>
      <c r="G47" s="290"/>
    </row>
    <row r="48" spans="1:7" s="257" customFormat="1" ht="13.5" customHeight="1">
      <c r="A48" s="298" t="s">
        <v>2365</v>
      </c>
      <c r="B48" s="253" t="s">
        <v>2404</v>
      </c>
      <c r="C48" s="1730">
        <f>ROUND(F30/(1+'数据-取费表'!C42),4)</f>
        <v>5.33E-2</v>
      </c>
      <c r="D48" s="279" t="s">
        <v>2392</v>
      </c>
      <c r="E48" s="275"/>
      <c r="F48" s="280"/>
      <c r="G48" s="277" t="s">
        <v>2405</v>
      </c>
    </row>
    <row r="49" spans="1:7" ht="16.5" customHeight="1">
      <c r="A49" s="298" t="s">
        <v>2371</v>
      </c>
      <c r="B49" s="253" t="s">
        <v>2406</v>
      </c>
      <c r="C49" s="275">
        <f ca="1">ROUND((C33+C39+C41+C45)/(1-C40-D41-D45-C48),0)</f>
        <v>6384</v>
      </c>
      <c r="D49" s="275"/>
      <c r="E49" s="275"/>
      <c r="F49" s="307"/>
      <c r="G49" s="277" t="s">
        <v>2407</v>
      </c>
    </row>
    <row r="50" spans="1:7" s="301" customFormat="1" ht="24">
      <c r="A50" s="298" t="s">
        <v>2408</v>
      </c>
      <c r="B50" s="253" t="s">
        <v>2409</v>
      </c>
      <c r="C50" s="275"/>
      <c r="D50" s="275"/>
      <c r="E50" s="275"/>
      <c r="F50" s="307">
        <f>IF('数据-取费表'!B24=0,'数据-取费表'!N16,1)</f>
        <v>0.9</v>
      </c>
      <c r="G50" s="290" t="s">
        <v>2410</v>
      </c>
    </row>
    <row r="51" spans="1:7" ht="16.5" customHeight="1">
      <c r="A51" s="298" t="s">
        <v>2411</v>
      </c>
      <c r="B51" s="253" t="s">
        <v>2412</v>
      </c>
      <c r="C51" s="275">
        <f ca="1">ROUND(C49*F50,0)</f>
        <v>5746</v>
      </c>
      <c r="D51" s="275"/>
      <c r="E51" s="275"/>
      <c r="F51" s="307"/>
      <c r="G51" s="277" t="s">
        <v>2413</v>
      </c>
    </row>
    <row r="52" spans="1:7" s="251" customFormat="1" ht="16.5" thickBot="1">
      <c r="A52" s="308" t="s">
        <v>2414</v>
      </c>
      <c r="B52" s="309"/>
      <c r="C52" s="310">
        <f ca="1">C31+C51</f>
        <v>8006</v>
      </c>
      <c r="D52" s="309"/>
      <c r="E52" s="309"/>
      <c r="F52" s="309"/>
      <c r="G52" s="311"/>
    </row>
    <row r="55" spans="1:7" ht="15">
      <c r="B55" s="313" t="s">
        <v>2415</v>
      </c>
      <c r="C55" s="314"/>
    </row>
    <row r="56" spans="1:7">
      <c r="B56" s="316" t="s">
        <v>1513</v>
      </c>
      <c r="C56" s="318">
        <f ca="1">1-C57</f>
        <v>0.28200000000000003</v>
      </c>
    </row>
    <row r="57" spans="1:7">
      <c r="B57" s="316" t="s">
        <v>1514</v>
      </c>
      <c r="C57" s="317">
        <f ca="1">ROUND(C51/C52,3)</f>
        <v>0.71799999999999997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2314</v>
      </c>
      <c r="B1" s="1939"/>
      <c r="C1" s="2553" t="s">
        <v>2416</v>
      </c>
      <c r="D1" s="241"/>
      <c r="E1" s="241"/>
      <c r="F1" s="241"/>
      <c r="G1" s="1381">
        <f>MATCH(B1,'数据-取费表'!A6:A16,0)+5</f>
        <v>8</v>
      </c>
      <c r="H1" s="1284" t="str">
        <f>IF(ISERROR(FIND("住宅",B1)),"非住宅","住宅")</f>
        <v>非住宅</v>
      </c>
    </row>
    <row r="2" spans="1:8" s="243" customFormat="1" ht="18" customHeight="1">
      <c r="A2" s="244" t="s">
        <v>2315</v>
      </c>
      <c r="B2" s="245">
        <f ca="1">ROUND(IF(D2="——",C52/10000,C52/10000-E2),0)</f>
        <v>6207</v>
      </c>
      <c r="C2" s="242" t="s">
        <v>2316</v>
      </c>
      <c r="D2" s="2547" t="s">
        <v>70</v>
      </c>
      <c r="E2" s="1442" t="e">
        <f ca="1">SUMIF(INDIRECT("'"&amp;G2&amp;"'"&amp;"!A:A"),"承租人权益价值",INDIRECT("'"&amp;G2&amp;"'"&amp;"!c:c"))</f>
        <v>#REF!</v>
      </c>
      <c r="F2" s="2548" t="s">
        <v>2316</v>
      </c>
      <c r="G2" s="2549"/>
    </row>
    <row r="3" spans="1:8" s="243" customFormat="1" ht="18" customHeight="1" thickBot="1">
      <c r="A3" s="246" t="s">
        <v>2317</v>
      </c>
      <c r="B3" s="247">
        <f ca="1">ROUND(B2*10000/(IF(B1="",'数据-汇总表'!E3,INDIRECT("'数据-取费表'!k"&amp;$G$1))),0)</f>
        <v>3461</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f ca="1">C6+C7+C8</f>
        <v>0</v>
      </c>
      <c r="D5" s="254" t="s">
        <v>2322</v>
      </c>
      <c r="E5" s="255" t="s">
        <v>2323</v>
      </c>
      <c r="F5" s="255" t="s">
        <v>2324</v>
      </c>
      <c r="G5" s="256"/>
    </row>
    <row r="6" spans="1:8" s="257" customFormat="1" ht="13.5" customHeight="1">
      <c r="A6" s="951" t="s">
        <v>2325</v>
      </c>
      <c r="B6" s="258" t="s">
        <v>2326</v>
      </c>
      <c r="C6" s="259"/>
      <c r="D6" s="260"/>
      <c r="E6" s="261"/>
      <c r="F6" s="261"/>
      <c r="G6" s="262"/>
    </row>
    <row r="7" spans="1:8" s="257" customFormat="1" ht="13.5" customHeight="1">
      <c r="A7" s="951" t="s">
        <v>2327</v>
      </c>
      <c r="B7" s="258" t="s">
        <v>2328</v>
      </c>
      <c r="C7" s="263">
        <f>ROUND(C6*F7,0)</f>
        <v>0</v>
      </c>
      <c r="D7" s="263"/>
      <c r="E7" s="261"/>
      <c r="F7" s="264">
        <f>'数据-取费表'!B48+'数据-取费表'!B49</f>
        <v>3.0499999999999999E-2</v>
      </c>
      <c r="G7" s="262"/>
    </row>
    <row r="8" spans="1:8" s="266" customFormat="1">
      <c r="A8" s="951" t="s">
        <v>2329</v>
      </c>
      <c r="B8" s="258" t="s">
        <v>2330</v>
      </c>
      <c r="C8" s="263">
        <f ca="1">IF(G8="已包含在土地购买价格中",0,C9+C10)</f>
        <v>0</v>
      </c>
      <c r="D8" s="265"/>
      <c r="E8" s="263"/>
      <c r="F8" s="264"/>
      <c r="G8" s="2550"/>
    </row>
    <row r="9" spans="1:8" s="257" customFormat="1" ht="13.5" customHeight="1">
      <c r="A9" s="952" t="s">
        <v>800</v>
      </c>
      <c r="B9" s="267" t="s">
        <v>2331</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2333</v>
      </c>
      <c r="C10" s="268">
        <f ca="1">ROUND(D10*E10,0)</f>
        <v>0</v>
      </c>
      <c r="D10" s="1034">
        <f ca="1">IF(B1="",'数据-汇总表'!E6,IF(INDIRECT("'数据-取费表'!c"&amp;$G$1)="住宅",INDIRECT("'数据-取费表'!s"&amp;$G$1),INDIRECT("'数据-取费表'!k"&amp;$G$1)+INDIRECT("'数据-取费表'!s"&amp;$G$1)))</f>
        <v>17933.88</v>
      </c>
      <c r="E10" s="268">
        <f>'数据-取费表'!B28</f>
        <v>0</v>
      </c>
      <c r="F10" s="264"/>
      <c r="G10" s="269"/>
    </row>
    <row r="11" spans="1:8" s="257" customFormat="1" ht="13.5" hidden="1" customHeight="1">
      <c r="A11" s="270" t="s">
        <v>7</v>
      </c>
      <c r="B11" s="258" t="s">
        <v>2334</v>
      </c>
      <c r="C11" s="254"/>
      <c r="D11" s="1036"/>
      <c r="E11" s="261"/>
      <c r="F11" s="261"/>
      <c r="G11" s="262"/>
    </row>
    <row r="12" spans="1:8" s="257" customFormat="1" ht="13.5" hidden="1" customHeight="1">
      <c r="A12" s="270" t="s">
        <v>8</v>
      </c>
      <c r="B12" s="258" t="s">
        <v>2417</v>
      </c>
      <c r="C12" s="254">
        <v>0</v>
      </c>
      <c r="D12" s="1036"/>
      <c r="E12" s="271"/>
      <c r="F12" s="264">
        <v>3.0499999999999999E-2</v>
      </c>
      <c r="G12" s="262"/>
    </row>
    <row r="13" spans="1:8" s="257" customFormat="1" ht="13.5" hidden="1" customHeight="1">
      <c r="A13" s="270" t="s">
        <v>9</v>
      </c>
      <c r="B13" s="258" t="s">
        <v>2418</v>
      </c>
      <c r="C13" s="254"/>
      <c r="D13" s="1036"/>
      <c r="E13" s="261"/>
      <c r="F13" s="261"/>
      <c r="G13" s="262"/>
    </row>
    <row r="14" spans="1:8" s="257" customFormat="1" ht="13.5" hidden="1" customHeight="1">
      <c r="A14" s="270" t="s">
        <v>10</v>
      </c>
      <c r="B14" s="258" t="s">
        <v>2330</v>
      </c>
      <c r="C14" s="254"/>
      <c r="D14" s="1036"/>
      <c r="E14" s="261"/>
      <c r="F14" s="261"/>
      <c r="G14" s="262" t="s">
        <v>2419</v>
      </c>
    </row>
    <row r="15" spans="1:8" s="257" customFormat="1" ht="13.5" hidden="1" customHeight="1">
      <c r="A15" s="270" t="s">
        <v>11</v>
      </c>
      <c r="B15" s="258" t="s">
        <v>2420</v>
      </c>
      <c r="C15" s="263"/>
      <c r="D15" s="1036"/>
      <c r="E15" s="261"/>
      <c r="F15" s="261"/>
      <c r="G15" s="262" t="s">
        <v>2421</v>
      </c>
    </row>
    <row r="16" spans="1:8" s="257" customFormat="1" ht="13.5" hidden="1" customHeight="1">
      <c r="A16" s="270" t="s">
        <v>12</v>
      </c>
      <c r="B16" s="258" t="s">
        <v>2330</v>
      </c>
      <c r="C16" s="263"/>
      <c r="D16" s="1036"/>
      <c r="E16" s="261"/>
      <c r="F16" s="261"/>
      <c r="G16" s="262"/>
    </row>
    <row r="17" spans="1:7" s="257" customFormat="1" ht="13.5" hidden="1" customHeight="1">
      <c r="A17" s="270" t="s">
        <v>13</v>
      </c>
      <c r="B17" s="258" t="s">
        <v>2422</v>
      </c>
      <c r="C17" s="272"/>
      <c r="D17" s="1037"/>
      <c r="E17" s="272"/>
      <c r="F17" s="272"/>
      <c r="G17" s="262" t="s">
        <v>2421</v>
      </c>
    </row>
    <row r="18" spans="1:7" s="257" customFormat="1" ht="13.5" hidden="1" customHeight="1">
      <c r="A18" s="270" t="s">
        <v>14</v>
      </c>
      <c r="B18" s="258" t="s">
        <v>2423</v>
      </c>
      <c r="C18" s="263">
        <v>0</v>
      </c>
      <c r="D18" s="1036"/>
      <c r="E18" s="261"/>
      <c r="F18" s="264">
        <v>3.0499999999999999E-2</v>
      </c>
      <c r="G18" s="262" t="s">
        <v>2424</v>
      </c>
    </row>
    <row r="19" spans="1:7" s="266" customFormat="1" ht="13.5" customHeight="1">
      <c r="A19" s="298" t="s">
        <v>2425</v>
      </c>
      <c r="B19" s="253" t="s">
        <v>2426</v>
      </c>
      <c r="C19" s="254">
        <f ca="1">IF(G19="已包含在土地取得成本中","0",ROUND(D19*E19,0))</f>
        <v>3586776</v>
      </c>
      <c r="D19" s="1038">
        <f ca="1">D9+D10</f>
        <v>17933.88</v>
      </c>
      <c r="E19" s="254">
        <f>'数据-取费表'!B31</f>
        <v>200</v>
      </c>
      <c r="F19" s="274"/>
      <c r="G19" s="2550"/>
    </row>
    <row r="20" spans="1:7" s="257" customFormat="1" ht="13.5" customHeight="1">
      <c r="A20" s="298" t="s">
        <v>2427</v>
      </c>
      <c r="B20" s="253" t="s">
        <v>2428</v>
      </c>
      <c r="C20" s="275">
        <f ca="1">ROUND((C5+C19)*F20,0)</f>
        <v>107603</v>
      </c>
      <c r="D20" s="275"/>
      <c r="E20" s="275"/>
      <c r="F20" s="276">
        <f>'数据-取费表'!B37</f>
        <v>0.03</v>
      </c>
      <c r="G20" s="277" t="s">
        <v>2429</v>
      </c>
    </row>
    <row r="21" spans="1:7" s="257" customFormat="1" ht="13.5" customHeight="1">
      <c r="A21" s="298" t="s">
        <v>2430</v>
      </c>
      <c r="B21" s="253" t="s">
        <v>2431</v>
      </c>
      <c r="C21" s="278">
        <f>F21</f>
        <v>0.03</v>
      </c>
      <c r="D21" s="279" t="s">
        <v>2432</v>
      </c>
      <c r="E21" s="275"/>
      <c r="F21" s="276">
        <f>'数据-取费表'!B38</f>
        <v>0.03</v>
      </c>
      <c r="G21" s="277" t="s">
        <v>2433</v>
      </c>
    </row>
    <row r="22" spans="1:7" s="257" customFormat="1" ht="13.5" customHeight="1">
      <c r="A22" s="298" t="s">
        <v>2434</v>
      </c>
      <c r="B22" s="253" t="s">
        <v>2435</v>
      </c>
      <c r="C22" s="1382">
        <f ca="1">ROUND(SUM(C23:C25),0)</f>
        <v>158365</v>
      </c>
      <c r="D22" s="278">
        <f ca="1">C26</f>
        <v>6.9999999999999999E-4</v>
      </c>
      <c r="E22" s="279" t="s">
        <v>2432</v>
      </c>
      <c r="F22" s="280">
        <f ca="1">'数据-取费表'!B40</f>
        <v>4.3499999999999997E-2</v>
      </c>
      <c r="G22" s="277" t="str">
        <f>IF('数据-取费表'!B22&lt;=1,"单利计息","复利计息")</f>
        <v>单利计息</v>
      </c>
    </row>
    <row r="23" spans="1:7" s="257" customFormat="1" ht="13.5" customHeight="1">
      <c r="A23" s="953" t="s">
        <v>2325</v>
      </c>
      <c r="B23" s="258" t="s">
        <v>2436</v>
      </c>
      <c r="C23" s="1383">
        <f ca="1">ROUND(IF('数据-取费表'!B22&lt;=1,C5*F22*'数据-取费表'!B22,C5*(POWER((1+F22),'数据-取费表'!B22)-1)),0)</f>
        <v>0</v>
      </c>
      <c r="D23" s="281"/>
      <c r="E23" s="281"/>
      <c r="F23" s="282"/>
      <c r="G23" s="283" t="s">
        <v>2437</v>
      </c>
    </row>
    <row r="24" spans="1:7" s="257" customFormat="1" ht="13.5" customHeight="1">
      <c r="A24" s="953" t="s">
        <v>2327</v>
      </c>
      <c r="B24" s="258" t="s">
        <v>2438</v>
      </c>
      <c r="C24" s="1383">
        <f ca="1">ROUND(IF('数据-取费表'!B22&lt;=1,C19*F22*('数据-取费表'!B19/2+'数据-取费表'!B20),C19*(POWER((1+F22),('数据-取费表'!B19/2+'数据-取费表'!B20))-1)),0)</f>
        <v>156025</v>
      </c>
      <c r="D24" s="281"/>
      <c r="E24" s="281"/>
      <c r="F24" s="282"/>
      <c r="G24" s="283" t="s">
        <v>2439</v>
      </c>
    </row>
    <row r="25" spans="1:7" s="257" customFormat="1" ht="24">
      <c r="A25" s="953" t="s">
        <v>2329</v>
      </c>
      <c r="B25" s="258" t="s">
        <v>2440</v>
      </c>
      <c r="C25" s="1383">
        <f ca="1">ROUND(IF('数据-取费表'!B22&lt;=1,C20*F22*'数据-取费表'!B22/2,C20*(POWER((1+F22),'数据-取费表'!B22/2)-1)),0)</f>
        <v>2340</v>
      </c>
      <c r="D25" s="281"/>
      <c r="E25" s="284"/>
      <c r="F25" s="282"/>
      <c r="G25" s="285" t="s">
        <v>2441</v>
      </c>
    </row>
    <row r="26" spans="1:7" s="257" customFormat="1">
      <c r="A26" s="953" t="s">
        <v>795</v>
      </c>
      <c r="B26" s="258" t="s">
        <v>2364</v>
      </c>
      <c r="C26" s="281">
        <f ca="1">ROUND(IF('数据-取费表'!B22&lt;=1,F21*F22*'数据-取费表'!B22/2,F21*(POWER((1+F22),'数据-取费表'!B22/2)-1)),4)</f>
        <v>6.9999999999999999E-4</v>
      </c>
      <c r="D26" s="281"/>
      <c r="E26" s="284"/>
      <c r="F26" s="282"/>
      <c r="G26" s="286"/>
    </row>
    <row r="27" spans="1:7" s="257" customFormat="1" ht="24.75">
      <c r="A27" s="298" t="s">
        <v>2365</v>
      </c>
      <c r="B27" s="287" t="s">
        <v>2366</v>
      </c>
      <c r="C27" s="288">
        <f ca="1">C28</f>
        <v>369438</v>
      </c>
      <c r="D27" s="278">
        <f ca="1">C29</f>
        <v>3.0000000000000001E-3</v>
      </c>
      <c r="E27" s="279" t="s">
        <v>2367</v>
      </c>
      <c r="F27" s="289">
        <f ca="1">IF(B1="",'数据-取费表'!Q16,INDIRECT("'数据-取费表'!q"&amp;$G$1))</f>
        <v>0.1</v>
      </c>
      <c r="G27" s="290" t="s">
        <v>2368</v>
      </c>
    </row>
    <row r="28" spans="1:7" s="257" customFormat="1" ht="13.5" customHeight="1">
      <c r="A28" s="953" t="s">
        <v>791</v>
      </c>
      <c r="B28" s="291" t="s">
        <v>2369</v>
      </c>
      <c r="C28" s="292">
        <f ca="1">ROUND((C5+C19+C20)*F27,0)</f>
        <v>369438</v>
      </c>
      <c r="D28" s="278"/>
      <c r="E28" s="279"/>
      <c r="F28" s="289"/>
      <c r="G28" s="290"/>
    </row>
    <row r="29" spans="1:7" s="257" customFormat="1" ht="13.5" customHeight="1">
      <c r="A29" s="953" t="s">
        <v>792</v>
      </c>
      <c r="B29" s="291" t="s">
        <v>2370</v>
      </c>
      <c r="C29" s="281">
        <f ca="1">ROUND(C21*F27,4)</f>
        <v>3.0000000000000001E-3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4624515</v>
      </c>
      <c r="D31" s="273"/>
      <c r="E31" s="254"/>
      <c r="F31" s="293"/>
      <c r="G31" s="277" t="s">
        <v>2375</v>
      </c>
    </row>
    <row r="32" spans="1:7" s="251" customFormat="1" ht="15.75">
      <c r="A32" s="295" t="s">
        <v>2442</v>
      </c>
      <c r="B32" s="296"/>
      <c r="C32" s="296"/>
      <c r="D32" s="296"/>
      <c r="E32" s="296"/>
      <c r="F32" s="296"/>
      <c r="G32" s="297"/>
    </row>
    <row r="33" spans="1:7" s="257" customFormat="1" ht="13.5" customHeight="1">
      <c r="A33" s="298" t="s">
        <v>782</v>
      </c>
      <c r="B33" s="253" t="s">
        <v>2443</v>
      </c>
      <c r="C33" s="299">
        <f ca="1">SUM(C34:C38)</f>
        <v>50439038</v>
      </c>
      <c r="D33" s="275"/>
      <c r="E33" s="255"/>
      <c r="F33" s="284"/>
      <c r="G33" s="277"/>
    </row>
    <row r="34" spans="1:7" s="301" customFormat="1" ht="13.5" customHeight="1">
      <c r="A34" s="953" t="s">
        <v>791</v>
      </c>
      <c r="B34" s="258" t="s">
        <v>2378</v>
      </c>
      <c r="C34" s="263">
        <f ca="1">ROUND(IF(B1="",SUMPRODUCT('数据-取费表'!K6:K14,'数据-取费表'!L6:L14),INDIRECT("'数据-取费表'!l"&amp;$G$1)*INDIRECT("'数据-取费表'!k"&amp;$G$1)+'数据-取费表'!L14*INDIRECT("'数据-取费表'!S"&amp;$G$1)),0)</f>
        <v>44834700</v>
      </c>
      <c r="D34" s="260"/>
      <c r="E34" s="263"/>
      <c r="F34" s="300"/>
      <c r="G34" s="262"/>
    </row>
    <row r="35" spans="1:7" ht="13.5" customHeight="1">
      <c r="A35" s="953" t="s">
        <v>796</v>
      </c>
      <c r="B35" s="258" t="s">
        <v>2380</v>
      </c>
      <c r="C35" s="263">
        <f ca="1">ROUND(C34*F35,0)</f>
        <v>1345041</v>
      </c>
      <c r="D35" s="263"/>
      <c r="E35" s="263"/>
      <c r="F35" s="302">
        <f>'数据-取费表'!B33</f>
        <v>0.03</v>
      </c>
      <c r="G35" s="262" t="s">
        <v>2381</v>
      </c>
    </row>
    <row r="36" spans="1:7" ht="24">
      <c r="A36" s="953" t="s">
        <v>797</v>
      </c>
      <c r="B36" s="258" t="s">
        <v>2382</v>
      </c>
      <c r="C36" s="263">
        <f ca="1">ROUND(IF(B1="",SUM('数据-取费表'!AP6:AP13)*F36,IF(INDIRECT("'数据-取费表'!c"&amp;$G$1)="住宅",INDIRECT("'数据-取费表'!k"&amp;$G$1)*INDIRECT("'数据-取费表'!l"&amp;$G$1)*F36,0)),0)</f>
        <v>0</v>
      </c>
      <c r="D36" s="263"/>
      <c r="E36" s="263"/>
      <c r="F36" s="302">
        <f>'数据-取费表'!B34</f>
        <v>0</v>
      </c>
      <c r="G36" s="303" t="s">
        <v>2383</v>
      </c>
    </row>
    <row r="37" spans="1:7" s="301" customFormat="1" ht="13.5" customHeight="1">
      <c r="A37" s="953" t="s">
        <v>798</v>
      </c>
      <c r="B37" s="258" t="s">
        <v>2384</v>
      </c>
      <c r="C37" s="292">
        <f ca="1">ROUND(E37*D37,0)</f>
        <v>3586776</v>
      </c>
      <c r="D37" s="260">
        <f ca="1">D19</f>
        <v>17933.88</v>
      </c>
      <c r="E37" s="292">
        <f>'数据-取费表'!B35</f>
        <v>200</v>
      </c>
      <c r="F37" s="302"/>
      <c r="G37" s="304"/>
    </row>
    <row r="38" spans="1:7" ht="13.5" customHeight="1">
      <c r="A38" s="953" t="s">
        <v>799</v>
      </c>
      <c r="B38" s="258" t="s">
        <v>2386</v>
      </c>
      <c r="C38" s="263">
        <f ca="1">ROUND(C34*F38,0)</f>
        <v>672521</v>
      </c>
      <c r="D38" s="263"/>
      <c r="E38" s="263"/>
      <c r="F38" s="302">
        <f>'数据-取费表'!B36</f>
        <v>1.4999999999999999E-2</v>
      </c>
      <c r="G38" s="262" t="s">
        <v>2381</v>
      </c>
    </row>
    <row r="39" spans="1:7" s="257" customFormat="1" ht="13.5" customHeight="1">
      <c r="A39" s="298" t="s">
        <v>2387</v>
      </c>
      <c r="B39" s="253" t="s">
        <v>2388</v>
      </c>
      <c r="C39" s="275">
        <f ca="1">ROUND(C33*F20,0)</f>
        <v>1513171</v>
      </c>
      <c r="D39" s="275"/>
      <c r="E39" s="275"/>
      <c r="F39" s="276"/>
      <c r="G39" s="277" t="s">
        <v>2389</v>
      </c>
    </row>
    <row r="40" spans="1:7" s="257" customFormat="1" ht="13.5" customHeight="1">
      <c r="A40" s="298" t="s">
        <v>2390</v>
      </c>
      <c r="B40" s="253" t="s">
        <v>2391</v>
      </c>
      <c r="C40" s="1730">
        <f>F21</f>
        <v>0.03</v>
      </c>
      <c r="D40" s="279" t="s">
        <v>2392</v>
      </c>
      <c r="E40" s="275"/>
      <c r="F40" s="276"/>
      <c r="G40" s="277" t="s">
        <v>2393</v>
      </c>
    </row>
    <row r="41" spans="1:7" s="257" customFormat="1" ht="13.5" customHeight="1">
      <c r="A41" s="298" t="s">
        <v>2394</v>
      </c>
      <c r="B41" s="253" t="s">
        <v>2395</v>
      </c>
      <c r="C41" s="275">
        <f ca="1">ROUND(SUM(C42:C43),0)</f>
        <v>1129960</v>
      </c>
      <c r="D41" s="278">
        <f ca="1">C44</f>
        <v>6.9999999999999999E-4</v>
      </c>
      <c r="E41" s="279" t="s">
        <v>2392</v>
      </c>
      <c r="F41" s="280"/>
      <c r="G41" s="277" t="str">
        <f>IF('数据-取费表'!B22&lt;=1,"单利计息","复利计息")</f>
        <v>单利计息</v>
      </c>
    </row>
    <row r="42" spans="1:7" ht="13.5" customHeight="1">
      <c r="A42" s="953" t="s">
        <v>791</v>
      </c>
      <c r="B42" s="258" t="s">
        <v>2396</v>
      </c>
      <c r="C42" s="281">
        <f ca="1">ROUND(IF('数据-取费表'!B22&lt;=1,C33*F22*'数据-取费表'!B20/2,C33*(POWER((1+F22),'数据-取费表'!B20/2)-1)),0)</f>
        <v>1097049</v>
      </c>
      <c r="D42" s="281"/>
      <c r="E42" s="281"/>
      <c r="F42" s="282"/>
      <c r="G42" s="3208" t="s">
        <v>2444</v>
      </c>
    </row>
    <row r="43" spans="1:7" ht="13.5" customHeight="1">
      <c r="A43" s="953" t="s">
        <v>792</v>
      </c>
      <c r="B43" s="258" t="s">
        <v>2398</v>
      </c>
      <c r="C43" s="281">
        <f ca="1">ROUND(IF('数据-取费表'!B22&lt;=1,C39*F22*'数据-取费表'!B20/2,C39*(POWER((1+F22),'数据-取费表'!B20/2)-1)),0)</f>
        <v>32911</v>
      </c>
      <c r="D43" s="281"/>
      <c r="E43" s="281"/>
      <c r="F43" s="282"/>
      <c r="G43" s="3209"/>
    </row>
    <row r="44" spans="1:7" ht="13.5" customHeight="1">
      <c r="A44" s="953" t="s">
        <v>793</v>
      </c>
      <c r="B44" s="258" t="s">
        <v>2399</v>
      </c>
      <c r="C44" s="281">
        <f ca="1">ROUND(IF('数据-取费表'!B22&lt;=1,C40*F22*'数据-取费表'!B20/2,C40*(POWER((1+F22),'数据-取费表'!B20/2)-1)),4)</f>
        <v>6.9999999999999999E-4</v>
      </c>
      <c r="D44" s="281"/>
      <c r="E44" s="281"/>
      <c r="F44" s="282"/>
      <c r="G44" s="3210"/>
    </row>
    <row r="45" spans="1:7" s="257" customFormat="1" ht="13.5" customHeight="1">
      <c r="A45" s="298" t="s">
        <v>2400</v>
      </c>
      <c r="B45" s="287" t="s">
        <v>2366</v>
      </c>
      <c r="C45" s="288">
        <f ca="1">C46</f>
        <v>5195221</v>
      </c>
      <c r="D45" s="278">
        <f ca="1">C47</f>
        <v>3.0000000000000001E-3</v>
      </c>
      <c r="E45" s="279" t="s">
        <v>2392</v>
      </c>
      <c r="F45" s="289"/>
      <c r="G45" s="290" t="s">
        <v>2401</v>
      </c>
    </row>
    <row r="46" spans="1:7" s="257" customFormat="1" ht="13.5" customHeight="1">
      <c r="A46" s="953" t="s">
        <v>791</v>
      </c>
      <c r="B46" s="291" t="s">
        <v>2402</v>
      </c>
      <c r="C46" s="292">
        <f ca="1">ROUND((C33+C39)*F27,0)</f>
        <v>5195221</v>
      </c>
      <c r="D46" s="306"/>
      <c r="E46" s="279"/>
      <c r="F46" s="289"/>
      <c r="G46" s="290"/>
    </row>
    <row r="47" spans="1:7" s="257" customFormat="1" ht="13.5" customHeight="1">
      <c r="A47" s="953" t="s">
        <v>792</v>
      </c>
      <c r="B47" s="291" t="s">
        <v>2403</v>
      </c>
      <c r="C47" s="281">
        <f ca="1">ROUND(C40*F27,4)</f>
        <v>3.0000000000000001E-3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63830657</v>
      </c>
      <c r="D49" s="275"/>
      <c r="E49" s="275"/>
      <c r="F49" s="307"/>
      <c r="G49" s="277" t="s">
        <v>2407</v>
      </c>
    </row>
    <row r="50" spans="1:7" s="301" customFormat="1">
      <c r="A50" s="298" t="s">
        <v>2408</v>
      </c>
      <c r="B50" s="253" t="s">
        <v>2409</v>
      </c>
      <c r="C50" s="275"/>
      <c r="D50" s="275"/>
      <c r="E50" s="275"/>
      <c r="F50" s="307">
        <f>IF('数据-取费表'!B24=0,'数据-取费表'!N16,1)</f>
        <v>0.9</v>
      </c>
      <c r="G50" s="290"/>
    </row>
    <row r="51" spans="1:7" ht="16.5" customHeight="1">
      <c r="A51" s="298" t="s">
        <v>2411</v>
      </c>
      <c r="B51" s="253" t="s">
        <v>2446</v>
      </c>
      <c r="C51" s="275">
        <f ca="1">ROUND(C49*F50,0)</f>
        <v>57447591</v>
      </c>
      <c r="D51" s="275"/>
      <c r="E51" s="275"/>
      <c r="F51" s="307"/>
      <c r="G51" s="277" t="s">
        <v>2413</v>
      </c>
    </row>
    <row r="52" spans="1:7" s="251" customFormat="1" ht="16.5" thickBot="1">
      <c r="A52" s="308" t="s">
        <v>2414</v>
      </c>
      <c r="B52" s="309"/>
      <c r="C52" s="310">
        <f ca="1">C31+C51</f>
        <v>62072106</v>
      </c>
      <c r="D52" s="309"/>
      <c r="E52" s="309"/>
      <c r="F52" s="309"/>
      <c r="G52" s="311"/>
    </row>
    <row r="55" spans="1:7" ht="15">
      <c r="B55" s="313" t="s">
        <v>2415</v>
      </c>
      <c r="C55" s="314"/>
    </row>
    <row r="56" spans="1:7">
      <c r="B56" s="316" t="s">
        <v>1513</v>
      </c>
      <c r="C56" s="318">
        <f ca="1">1-C57</f>
        <v>7.4999999999999956E-2</v>
      </c>
    </row>
    <row r="57" spans="1:7">
      <c r="B57" s="316" t="s">
        <v>1514</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2447</v>
      </c>
      <c r="B1" s="1583"/>
      <c r="C1" s="1584"/>
      <c r="D1" s="1582"/>
      <c r="E1" s="319"/>
      <c r="F1" s="319"/>
      <c r="G1" s="1583"/>
      <c r="H1" s="319"/>
      <c r="I1" s="319"/>
      <c r="J1" s="319"/>
      <c r="K1" s="319">
        <f>MATCH(C1,'数据-取费表'!A6:A16,0)+5</f>
        <v>8</v>
      </c>
    </row>
    <row r="2" spans="1:33" ht="18" customHeight="1">
      <c r="A2" s="244" t="s">
        <v>2315</v>
      </c>
      <c r="B2" s="247">
        <f ca="1">C32</f>
        <v>0</v>
      </c>
      <c r="C2" s="319" t="s">
        <v>2448</v>
      </c>
      <c r="D2" s="319"/>
      <c r="E2" s="319"/>
      <c r="F2" s="319"/>
      <c r="G2" s="319"/>
      <c r="H2" s="319"/>
      <c r="I2" s="319"/>
      <c r="J2" s="319"/>
      <c r="K2" s="319"/>
    </row>
    <row r="3" spans="1:33" ht="18" customHeight="1" thickBot="1">
      <c r="A3" s="246" t="s">
        <v>2317</v>
      </c>
      <c r="B3" s="247">
        <f ca="1">ROUND(B2*10000/IF(C1="",'数据-汇总表'!E3,INDIRECT("'数据-取费表'!K"&amp;$K$1)),0)</f>
        <v>0</v>
      </c>
      <c r="C3" s="319" t="s">
        <v>2449</v>
      </c>
      <c r="D3" s="319"/>
      <c r="E3" s="319"/>
      <c r="F3" s="319"/>
      <c r="G3" s="319"/>
      <c r="H3" s="319"/>
      <c r="I3" s="319"/>
      <c r="J3" s="319"/>
      <c r="K3" s="319"/>
    </row>
    <row r="4" spans="1:33" s="958" customFormat="1" ht="16.5" customHeight="1">
      <c r="A4" s="955" t="s">
        <v>2450</v>
      </c>
      <c r="B4" s="956"/>
      <c r="C4" s="998">
        <f>SUM(C8:K8)</f>
        <v>0</v>
      </c>
      <c r="D4" s="956"/>
      <c r="E4" s="956"/>
      <c r="F4" s="956"/>
      <c r="G4" s="956"/>
      <c r="H4" s="956"/>
      <c r="I4" s="956"/>
      <c r="J4" s="956"/>
      <c r="K4" s="957"/>
    </row>
    <row r="5" spans="1:33" s="962" customFormat="1" ht="24.75">
      <c r="A5" s="959" t="s">
        <v>2451</v>
      </c>
      <c r="B5" s="960" t="s">
        <v>2452</v>
      </c>
      <c r="C5" s="2554" t="s">
        <v>2453</v>
      </c>
      <c r="D5" s="2554" t="s">
        <v>2454</v>
      </c>
      <c r="E5" s="2554" t="s">
        <v>2455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2459</v>
      </c>
      <c r="B8" s="176" t="s">
        <v>2460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1334</v>
      </c>
      <c r="B11" s="974" t="s">
        <v>2468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2469</v>
      </c>
      <c r="C12" s="24">
        <f ca="1">ROUND(C11*F12,0)</f>
        <v>0</v>
      </c>
      <c r="D12" s="975"/>
      <c r="E12" s="374"/>
      <c r="F12" s="978">
        <f>'数据-取费表'!B33</f>
        <v>0.03</v>
      </c>
      <c r="G12" s="8" t="s">
        <v>2470</v>
      </c>
      <c r="H12" s="970"/>
      <c r="I12" s="970"/>
      <c r="J12" s="970"/>
      <c r="K12" s="971"/>
    </row>
    <row r="13" spans="1:33" s="977" customFormat="1" ht="13.5" customHeight="1">
      <c r="A13" s="973" t="s">
        <v>1336</v>
      </c>
      <c r="B13" s="974" t="s">
        <v>2471</v>
      </c>
      <c r="C13" s="24">
        <f ca="1">ROUND(IF(C1="",SUMIF('数据-取费表'!C:C,"住宅",'数据-取费表'!P:P)*F13,IF(INDIRECT("'数据-取费表'!c"&amp;$K$1)="住宅",INDIRECT("'数据-取费表'!P"&amp;$K$1)*F13,0)),0)</f>
        <v>0</v>
      </c>
      <c r="D13" s="1035"/>
      <c r="E13" s="374"/>
      <c r="F13" s="978">
        <f>'数据-取费表'!B34</f>
        <v>0</v>
      </c>
      <c r="G13" s="8" t="s">
        <v>2472</v>
      </c>
      <c r="H13" s="970"/>
      <c r="I13" s="970"/>
      <c r="J13" s="970"/>
      <c r="K13" s="971"/>
    </row>
    <row r="14" spans="1:33" s="979" customFormat="1" ht="13.5" customHeight="1">
      <c r="A14" s="973" t="s">
        <v>1337</v>
      </c>
      <c r="B14" s="974" t="s">
        <v>2473</v>
      </c>
      <c r="C14" s="24">
        <f ca="1">ROUND(D14*E14*F11/10000,0)</f>
        <v>0</v>
      </c>
      <c r="D14" s="1035">
        <f ca="1">IF(C1="",'数据-汇总表'!E3,INDIRECT("'数据-取费表'!K"&amp;$K$1)+INDIRECT("'数据-取费表'!S"&amp;$K$1))</f>
        <v>17933.88</v>
      </c>
      <c r="E14" s="24">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2475</v>
      </c>
      <c r="C15" s="985">
        <f ca="1">ROUND(C11*F15,0)</f>
        <v>0</v>
      </c>
      <c r="D15" s="980"/>
      <c r="E15" s="985"/>
      <c r="F15" s="986">
        <f>'数据-取费表'!B36</f>
        <v>1.4999999999999999E-2</v>
      </c>
      <c r="G15" s="139"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4">
        <f ca="1">ROUND(D17*E17/10000,0)</f>
        <v>0</v>
      </c>
      <c r="D17" s="1035">
        <f ca="1">D14</f>
        <v>17933.88</v>
      </c>
      <c r="E17" s="24">
        <f>'数据-取费表'!B32</f>
        <v>0</v>
      </c>
      <c r="F17" s="980"/>
      <c r="G17" s="139" t="s">
        <v>2479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2480</v>
      </c>
      <c r="C18" s="24">
        <f ca="1">C19+C20-IF(C1="",'数据-取费表'!B29,IF(G18="已全部缴纳",C19+C20,H18))</f>
        <v>0</v>
      </c>
      <c r="D18" s="1035"/>
      <c r="E18" s="24"/>
      <c r="F18" s="978"/>
      <c r="G18" s="2556"/>
      <c r="H18" s="1579"/>
      <c r="I18" s="2557" t="s">
        <v>2481</v>
      </c>
      <c r="J18" s="981"/>
      <c r="K18" s="982"/>
    </row>
    <row r="19" spans="1:33" s="977" customFormat="1" ht="13.5" customHeight="1">
      <c r="A19" s="973" t="s">
        <v>805</v>
      </c>
      <c r="B19" s="974" t="s">
        <v>2482</v>
      </c>
      <c r="C19" s="24">
        <f ca="1">ROUND(D19*E19/10000,0)</f>
        <v>0</v>
      </c>
      <c r="D19" s="1035">
        <f ca="1">IF(C1="",'数据-汇总表'!E5,IF(INDIRECT("'数据-取费表'!c"&amp;$K$1)="住宅",INDIRECT("'数据-取费表'!k"&amp;$K$1),0))</f>
        <v>0</v>
      </c>
      <c r="E19" s="24">
        <f>'数据-取费表'!B27</f>
        <v>430</v>
      </c>
      <c r="F19" s="978"/>
      <c r="G19" s="15"/>
      <c r="H19" s="1581"/>
      <c r="I19" s="983"/>
      <c r="J19" s="983"/>
      <c r="K19" s="984"/>
    </row>
    <row r="20" spans="1:33" s="977" customFormat="1" ht="13.5" customHeight="1">
      <c r="A20" s="973" t="s">
        <v>806</v>
      </c>
      <c r="B20" s="974" t="s">
        <v>2483</v>
      </c>
      <c r="C20" s="24">
        <f ca="1">ROUND(D20*E20/10000,0)</f>
        <v>0</v>
      </c>
      <c r="D20" s="1035">
        <f ca="1">IF(C1="",'数据-汇总表'!E6,IF(INDIRECT("'数据-取费表'!c"&amp;$K$1)="住宅",INDIRECT("'数据-取费表'!s"&amp;$K$1),INDIRECT("'数据-取费表'!k"&amp;$K$1)+INDIRECT("'数据-取费表'!s"&amp;$K$1)))</f>
        <v>17933.88</v>
      </c>
      <c r="E20" s="24">
        <f>'数据-取费表'!B28</f>
        <v>0</v>
      </c>
      <c r="F20" s="978"/>
      <c r="G20" s="15"/>
      <c r="H20" s="983"/>
      <c r="I20" s="983"/>
      <c r="J20" s="983"/>
      <c r="K20" s="984"/>
    </row>
    <row r="21" spans="1:33" s="977" customFormat="1" ht="13.5" customHeight="1">
      <c r="A21" s="963" t="s">
        <v>802</v>
      </c>
      <c r="B21" s="987" t="s">
        <v>2484</v>
      </c>
      <c r="C21" s="988">
        <f ca="1">C16+C17+C18</f>
        <v>0</v>
      </c>
      <c r="D21" s="989"/>
      <c r="E21" s="324"/>
      <c r="F21" s="324"/>
      <c r="G21" s="139" t="s">
        <v>2485</v>
      </c>
      <c r="H21" s="981"/>
      <c r="I21" s="981"/>
      <c r="J21" s="981"/>
      <c r="K21" s="982"/>
    </row>
    <row r="22" spans="1:33" s="977" customFormat="1" ht="13.5" customHeight="1">
      <c r="A22" s="963" t="s">
        <v>2457</v>
      </c>
      <c r="B22" s="987" t="s">
        <v>2486</v>
      </c>
      <c r="C22" s="988">
        <f ca="1">ROUND(C21*F22,0)</f>
        <v>0</v>
      </c>
      <c r="D22" s="324"/>
      <c r="E22" s="324"/>
      <c r="F22" s="990">
        <f>'数据-取费表'!B37</f>
        <v>0.03</v>
      </c>
      <c r="G22" s="8" t="s">
        <v>2487</v>
      </c>
      <c r="H22" s="970"/>
      <c r="I22" s="970"/>
      <c r="J22" s="970"/>
      <c r="K22" s="971"/>
    </row>
    <row r="23" spans="1:33" s="977" customFormat="1" ht="13.5" customHeight="1">
      <c r="A23" s="963" t="s">
        <v>2459</v>
      </c>
      <c r="B23" s="987" t="s">
        <v>2488</v>
      </c>
      <c r="C23" s="988">
        <f ca="1">ROUND(C4*F23*F11,0)</f>
        <v>0</v>
      </c>
      <c r="D23" s="324"/>
      <c r="E23" s="324"/>
      <c r="F23" s="990">
        <f>'数据-取费表'!B38</f>
        <v>0.03</v>
      </c>
      <c r="G23" s="8" t="s">
        <v>2489</v>
      </c>
      <c r="H23" s="970"/>
      <c r="I23" s="970"/>
      <c r="J23" s="970"/>
      <c r="K23" s="971"/>
    </row>
    <row r="24" spans="1:33" s="977" customFormat="1" ht="13.5" customHeight="1">
      <c r="A24" s="963" t="s">
        <v>2490</v>
      </c>
      <c r="B24" s="987" t="s">
        <v>2491</v>
      </c>
      <c r="C24" s="323">
        <f>ROUND(F24/(1+'数据-取费表'!C42),4)</f>
        <v>2.9000000000000001E-2</v>
      </c>
      <c r="D24" s="324" t="s">
        <v>15</v>
      </c>
      <c r="E24" s="324"/>
      <c r="F24" s="990">
        <f>'数据-取费表'!B48+'数据-取费表'!B49</f>
        <v>3.0499999999999999E-2</v>
      </c>
      <c r="G24" s="8" t="s">
        <v>2492</v>
      </c>
      <c r="H24" s="992"/>
      <c r="I24" s="992"/>
      <c r="J24" s="992"/>
      <c r="K24" s="993"/>
    </row>
    <row r="25" spans="1:33" s="977" customFormat="1" ht="13.5" customHeight="1">
      <c r="A25" s="963" t="s">
        <v>2493</v>
      </c>
      <c r="B25" s="989" t="s">
        <v>2494</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2495</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2496</v>
      </c>
      <c r="C27" s="1360">
        <f ca="1">ROUND(IF('数据-取费表'!B22&lt;=1,(C21+C22+C23)*F25*'数据-取费表'!B24/2,(C21+C22+C23)*(POWER((1+F25),'数据-取费表'!B24/2)-1)),0)</f>
        <v>0</v>
      </c>
      <c r="D27" s="327"/>
      <c r="E27" s="328"/>
      <c r="F27" s="329"/>
      <c r="G27" s="2558" t="str">
        <f>IF('数据-取费表'!B22&lt;=1,"（1）-（3）项×年利率×建设期÷2","（1）-（3）项×((1+年利率)^(建设期÷2)-1)")</f>
        <v>（1）-（3）项×年利率×建设期÷2</v>
      </c>
      <c r="H27" s="981"/>
      <c r="I27" s="981"/>
      <c r="J27" s="981"/>
      <c r="K27" s="982"/>
    </row>
    <row r="28" spans="1:33" s="332" customFormat="1" ht="13.5" customHeight="1">
      <c r="A28" s="963" t="s">
        <v>2497</v>
      </c>
      <c r="B28" s="2559" t="s">
        <v>2498</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2499</v>
      </c>
      <c r="C29" s="327">
        <f ca="1">ROUND((1+C24)*F28*'数据-取费表'!B24/'数据-取费表'!B20,4)</f>
        <v>0</v>
      </c>
      <c r="D29" s="327"/>
      <c r="E29" s="328"/>
      <c r="F29" s="333"/>
      <c r="G29" s="139" t="s">
        <v>2500</v>
      </c>
      <c r="H29" s="981"/>
      <c r="I29" s="981"/>
      <c r="J29" s="981"/>
      <c r="K29" s="982"/>
    </row>
    <row r="30" spans="1:33" s="334" customFormat="1" ht="13.5" customHeight="1">
      <c r="A30" s="973" t="s">
        <v>804</v>
      </c>
      <c r="B30" s="996" t="s">
        <v>2501</v>
      </c>
      <c r="C30" s="335">
        <f ca="1">ROUND((C21+C22+C23)*F28,0)</f>
        <v>0</v>
      </c>
      <c r="D30" s="327"/>
      <c r="E30" s="328"/>
      <c r="F30" s="333"/>
      <c r="G30" s="139"/>
      <c r="H30" s="981"/>
      <c r="I30" s="981"/>
      <c r="J30" s="981"/>
      <c r="K30" s="982"/>
    </row>
    <row r="31" spans="1:33" s="977" customFormat="1" ht="13.5" customHeight="1" thickBot="1">
      <c r="A31" s="2560" t="s">
        <v>2502</v>
      </c>
      <c r="B31" s="1007" t="s">
        <v>2503</v>
      </c>
      <c r="C31" s="1008">
        <f>ROUND(C4*F31/(1+'数据-取费表'!C42),0)</f>
        <v>0</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0</v>
      </c>
      <c r="D32" s="1003"/>
      <c r="E32" s="1003"/>
      <c r="F32" s="1003"/>
      <c r="G32" s="1005" t="s">
        <v>2506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2" sqref="E2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2514</v>
      </c>
      <c r="B1" s="2562"/>
      <c r="C1" s="2562"/>
      <c r="D1" s="2562"/>
      <c r="E1" s="2563"/>
    </row>
    <row r="2" spans="1:6" ht="15.75">
      <c r="A2" s="2564" t="s">
        <v>2315</v>
      </c>
      <c r="B2" s="2565">
        <f ca="1">SUMIF(B6:B13,"&lt;&gt;#ref!",B6:B13)</f>
        <v>8372</v>
      </c>
      <c r="C2" s="2566" t="s">
        <v>2507</v>
      </c>
      <c r="D2" s="2567" t="s">
        <v>2508</v>
      </c>
      <c r="E2" s="2568">
        <f>SUM(E6:E13)</f>
        <v>17933.88</v>
      </c>
    </row>
    <row r="3" spans="1:6" ht="15.75">
      <c r="A3" s="2564" t="s">
        <v>1395</v>
      </c>
      <c r="B3" s="2565">
        <f ca="1">ROUND(B2*10000/E2,0)</f>
        <v>4668</v>
      </c>
      <c r="C3" s="2566" t="s">
        <v>2515</v>
      </c>
      <c r="D3" s="2569"/>
      <c r="E3" s="2570"/>
    </row>
    <row r="4" spans="1:6" ht="15.75">
      <c r="A4" s="2571"/>
      <c r="B4" s="2569"/>
      <c r="C4" s="2569"/>
      <c r="D4" s="2569"/>
      <c r="E4" s="2570"/>
    </row>
    <row r="5" spans="1:6" ht="15">
      <c r="A5" s="2572" t="s">
        <v>2509</v>
      </c>
      <c r="B5" s="3211" t="s">
        <v>2510</v>
      </c>
      <c r="C5" s="3211"/>
      <c r="D5" s="2573"/>
      <c r="E5" s="2574" t="s">
        <v>2511</v>
      </c>
      <c r="F5" s="2575" t="s">
        <v>2512</v>
      </c>
    </row>
    <row r="6" spans="1:6">
      <c r="A6" s="2576" t="str">
        <f>'数据-取费表'!AN6</f>
        <v>收益法-未出租</v>
      </c>
      <c r="B6" s="2575">
        <f ca="1">IF(F6="是",'数据-取费表'!AO6,0)</f>
        <v>5420</v>
      </c>
      <c r="C6" s="2566" t="s">
        <v>2507</v>
      </c>
      <c r="D6" s="2569"/>
      <c r="E6" s="2577">
        <f>IF(OR(A6=0,F6="否"),0,'数据-取费表'!K6+'数据-取费表'!S6)</f>
        <v>11714.880000000001</v>
      </c>
      <c r="F6" s="2578" t="s">
        <v>2513</v>
      </c>
    </row>
    <row r="7" spans="1:6">
      <c r="A7" s="2576" t="str">
        <f>'数据-取费表'!AN7</f>
        <v>收益法-已出租</v>
      </c>
      <c r="B7" s="2575">
        <f ca="1">IF(F7="是",'数据-取费表'!AO7,0)</f>
        <v>2952</v>
      </c>
      <c r="C7" s="2566" t="s">
        <v>2507</v>
      </c>
      <c r="D7" s="2569"/>
      <c r="E7" s="2577">
        <f>IF(OR(A7=0,F7="否"),0,'数据-取费表'!K7+'数据-取费表'!S7)</f>
        <v>6219</v>
      </c>
      <c r="F7" s="2578" t="s">
        <v>2513</v>
      </c>
    </row>
    <row r="8" spans="1:6">
      <c r="A8" s="2576">
        <f>'数据-取费表'!AN8</f>
        <v>0</v>
      </c>
      <c r="B8" s="2575">
        <f>IF(F8="是",'数据-取费表'!AO8,0)</f>
        <v>0</v>
      </c>
      <c r="C8" s="2566" t="s">
        <v>2507</v>
      </c>
      <c r="D8" s="2569"/>
      <c r="E8" s="2577">
        <f>IF(OR(A8=0,F8="否"),0,'数据-取费表'!K8+'数据-取费表'!S8)</f>
        <v>0</v>
      </c>
      <c r="F8" s="2578"/>
    </row>
    <row r="9" spans="1:6">
      <c r="A9" s="2576">
        <f>'数据-取费表'!AN9</f>
        <v>0</v>
      </c>
      <c r="B9" s="2575">
        <f>IF(F9="是",'数据-取费表'!AO9,0)</f>
        <v>0</v>
      </c>
      <c r="C9" s="2566" t="s">
        <v>2507</v>
      </c>
      <c r="D9" s="2569"/>
      <c r="E9" s="2577">
        <f>IF(OR(A9=0,F9="否"),0,'数据-取费表'!K9+'数据-取费表'!S9)</f>
        <v>0</v>
      </c>
      <c r="F9" s="2578"/>
    </row>
    <row r="10" spans="1:6">
      <c r="A10" s="2576">
        <f>'数据-取费表'!AN10</f>
        <v>0</v>
      </c>
      <c r="B10" s="2575">
        <f>IF(F10="是",'数据-取费表'!AO10,0)</f>
        <v>0</v>
      </c>
      <c r="C10" s="2566" t="s">
        <v>2507</v>
      </c>
      <c r="D10" s="2569"/>
      <c r="E10" s="2577">
        <f>IF(OR(A10=0,F10="否"),0,'数据-取费表'!K10+'数据-取费表'!S10)</f>
        <v>0</v>
      </c>
      <c r="F10" s="2578"/>
    </row>
    <row r="11" spans="1:6">
      <c r="A11" s="2576">
        <f>'数据-取费表'!AN11</f>
        <v>0</v>
      </c>
      <c r="B11" s="2575">
        <f>IF(F11="是",'数据-取费表'!AO11,0)</f>
        <v>0</v>
      </c>
      <c r="C11" s="2566" t="s">
        <v>2507</v>
      </c>
      <c r="D11" s="2569"/>
      <c r="E11" s="2577">
        <f>IF(OR(A11=0,F11="否"),0,'数据-取费表'!K11+'数据-取费表'!S11)</f>
        <v>0</v>
      </c>
      <c r="F11" s="2578"/>
    </row>
    <row r="12" spans="1:6">
      <c r="A12" s="2576">
        <f>'数据-取费表'!AN12</f>
        <v>0</v>
      </c>
      <c r="B12" s="2575">
        <f>IF(F12="是",'数据-取费表'!AO12,0)</f>
        <v>0</v>
      </c>
      <c r="C12" s="2566" t="s">
        <v>2507</v>
      </c>
      <c r="D12" s="2569"/>
      <c r="E12" s="2577">
        <f>IF(OR(A12=0,F12="否"),0,'数据-取费表'!K12+'数据-取费表'!S12)</f>
        <v>0</v>
      </c>
      <c r="F12" s="2578"/>
    </row>
    <row r="13" spans="1:6" ht="15" thickBot="1">
      <c r="A13" s="2579">
        <f>'数据-取费表'!AN13</f>
        <v>0</v>
      </c>
      <c r="B13" s="2575">
        <f>IF(F13="是",'数据-取费表'!AO13,0)</f>
        <v>0</v>
      </c>
      <c r="C13" s="2580" t="s">
        <v>2507</v>
      </c>
      <c r="D13" s="2581"/>
      <c r="E13" s="2577">
        <f>IF(OR(A13=0,F13="否"),0,'数据-取费表'!K13+'数据-取费表'!S13)</f>
        <v>0</v>
      </c>
      <c r="F13" s="2578"/>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6" zoomScale="90" zoomScaleNormal="9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3245</v>
      </c>
      <c r="D1" s="1822" t="s">
        <v>70</v>
      </c>
      <c r="E1" s="1823" t="s">
        <v>1387</v>
      </c>
      <c r="F1" s="1285">
        <f ca="1">J53</f>
        <v>38.35</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5420</v>
      </c>
      <c r="C2" s="1847" t="s">
        <v>1516</v>
      </c>
      <c r="D2" s="1847"/>
      <c r="E2" s="1848"/>
      <c r="F2" s="1849"/>
      <c r="G2" s="1850"/>
      <c r="H2" s="1842"/>
      <c r="I2" s="1842"/>
      <c r="J2" s="1842"/>
      <c r="K2" s="1843"/>
      <c r="L2" s="1842"/>
      <c r="M2" s="1842"/>
    </row>
    <row r="3" spans="1:37" ht="18" customHeight="1" thickBot="1">
      <c r="A3" s="1851" t="s">
        <v>1517</v>
      </c>
      <c r="B3" s="1852">
        <f ca="1">IF(ISERROR(B2*10000/F43),0,ROUND(B2*10000/F43,0))</f>
        <v>4627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308</v>
      </c>
      <c r="D5" s="1824" t="s">
        <v>1402</v>
      </c>
      <c r="E5" s="1295"/>
      <c r="F5" s="1296"/>
      <c r="G5" s="1853"/>
      <c r="H5" s="343">
        <v>1</v>
      </c>
      <c r="I5" s="344" t="s">
        <v>1401</v>
      </c>
      <c r="J5" s="1294">
        <f ca="1">J6+J10+J12</f>
        <v>0</v>
      </c>
      <c r="K5" s="1824" t="s">
        <v>1402</v>
      </c>
      <c r="L5" s="1295"/>
      <c r="M5" s="1296"/>
    </row>
    <row r="6" spans="1:37" ht="18" customHeight="1">
      <c r="A6" s="1293" t="s">
        <v>1035</v>
      </c>
      <c r="B6" s="3214" t="s">
        <v>1403</v>
      </c>
      <c r="C6" s="1298">
        <f ca="1">ROUND(F6*F8*F7*(1-F9)/10000,0)</f>
        <v>308</v>
      </c>
      <c r="D6" s="163" t="s">
        <v>3021</v>
      </c>
      <c r="E6" s="346" t="s">
        <v>1405</v>
      </c>
      <c r="F6" s="347">
        <f ca="1">INDIRECT("'数据-取费表'!u"&amp;$G$1)</f>
        <v>0.8</v>
      </c>
      <c r="G6" s="1853"/>
      <c r="H6" s="1293" t="s">
        <v>1035</v>
      </c>
      <c r="I6" s="3214" t="s">
        <v>1403</v>
      </c>
      <c r="J6" s="345">
        <f ca="1">ROUND(M6*M8*M7*(1-M9)/10000,0)</f>
        <v>0</v>
      </c>
      <c r="K6" s="163" t="s">
        <v>3020</v>
      </c>
      <c r="L6" s="346" t="s">
        <v>1405</v>
      </c>
      <c r="M6" s="347">
        <f ca="1">INDIRECT("'数据-取费表'!z"&amp;$G$1)</f>
        <v>0</v>
      </c>
    </row>
    <row r="7" spans="1:37" ht="18" customHeight="1">
      <c r="A7" s="1297"/>
      <c r="B7" s="3215"/>
      <c r="C7" s="1299"/>
      <c r="D7" s="351"/>
      <c r="E7" s="1300" t="s">
        <v>1406</v>
      </c>
      <c r="F7" s="347">
        <f ca="1">IF(INDIRECT("'数据-取费表'!ah"&amp;$G$1)="",INDIRECT("'数据-取费表'!k"&amp;$G$1),INDIRECT("'数据-取费表'!ah"&amp;$G$1))</f>
        <v>11714.880000000001</v>
      </c>
      <c r="G7" s="1853"/>
      <c r="H7" s="348"/>
      <c r="I7" s="3215"/>
      <c r="J7" s="350"/>
      <c r="K7" s="351"/>
      <c r="L7" s="346" t="s">
        <v>1406</v>
      </c>
      <c r="M7" s="347">
        <f ca="1">F7</f>
        <v>11714.880000000001</v>
      </c>
    </row>
    <row r="8" spans="1:37" ht="18" customHeight="1">
      <c r="A8" s="348"/>
      <c r="B8" s="3215"/>
      <c r="C8" s="350"/>
      <c r="D8" s="351"/>
      <c r="E8" s="346" t="s">
        <v>1407</v>
      </c>
      <c r="F8" s="347">
        <f ca="1">INDIRECT("'数据-取费表'!ai"&amp;$G$1)</f>
        <v>365</v>
      </c>
      <c r="G8" s="1853"/>
      <c r="H8" s="348"/>
      <c r="I8" s="3215"/>
      <c r="J8" s="350"/>
      <c r="K8" s="351"/>
      <c r="L8" s="346" t="s">
        <v>1407</v>
      </c>
      <c r="M8" s="347">
        <f ca="1">INDIRECT("'数据-取费表'!ai"&amp;$G$1)</f>
        <v>365</v>
      </c>
    </row>
    <row r="9" spans="1:37" ht="18" customHeight="1">
      <c r="A9" s="348"/>
      <c r="B9" s="3216"/>
      <c r="C9" s="350"/>
      <c r="D9" s="351"/>
      <c r="E9" s="346" t="s">
        <v>1408</v>
      </c>
      <c r="F9" s="356">
        <f ca="1">INDIRECT("'数据-取费表'!w"&amp;$G$1)</f>
        <v>0.1</v>
      </c>
      <c r="G9" s="1853"/>
      <c r="H9" s="348"/>
      <c r="I9" s="321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3030</v>
      </c>
      <c r="E10" s="357" t="s">
        <v>1410</v>
      </c>
      <c r="F10" s="1368" t="s">
        <v>3268</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3753</v>
      </c>
      <c r="D13" s="1333" t="s">
        <v>1415</v>
      </c>
      <c r="E13" s="1333" t="s">
        <v>1416</v>
      </c>
      <c r="F13" s="1334">
        <f ca="1">INDIRECT("'数据-取费表'!y"&amp;$G$1)</f>
        <v>0.9</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2929</v>
      </c>
      <c r="D14" s="1802" t="s">
        <v>1418</v>
      </c>
      <c r="E14" s="1796"/>
      <c r="F14" s="363"/>
      <c r="G14" s="1853"/>
      <c r="H14" s="1203" t="s">
        <v>1035</v>
      </c>
      <c r="I14" s="346" t="s">
        <v>1419</v>
      </c>
      <c r="J14" s="24">
        <f ca="1">C29</f>
        <v>4170</v>
      </c>
      <c r="K14" s="15"/>
      <c r="L14" s="981"/>
      <c r="M14" s="982"/>
    </row>
    <row r="15" spans="1:37" s="1860" customFormat="1" ht="18" customHeight="1" thickBot="1">
      <c r="A15" s="1203" t="s">
        <v>1036</v>
      </c>
      <c r="B15" s="346" t="s">
        <v>1420</v>
      </c>
      <c r="C15" s="24">
        <f ca="1">ROUND(C14*F15,0)</f>
        <v>88</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57</v>
      </c>
      <c r="K16" s="1339" t="s">
        <v>1425</v>
      </c>
      <c r="L16" s="1340"/>
      <c r="M16" s="1296"/>
    </row>
    <row r="17" spans="1:37" s="1860" customFormat="1" ht="18" customHeight="1">
      <c r="A17" s="1203" t="s">
        <v>1390</v>
      </c>
      <c r="B17" s="346" t="s">
        <v>1426</v>
      </c>
      <c r="C17" s="24">
        <f ca="1">ROUND(F17*(F43+INDIRECT("'数据-取费表'!S"&amp;$G$1))/10000,0)</f>
        <v>234</v>
      </c>
      <c r="D17" s="346" t="s">
        <v>1427</v>
      </c>
      <c r="E17" s="346" t="s">
        <v>1428</v>
      </c>
      <c r="F17" s="26">
        <f>'数据-取费表'!B35</f>
        <v>200</v>
      </c>
      <c r="G17" s="1856"/>
      <c r="H17" s="1203" t="s">
        <v>1035</v>
      </c>
      <c r="I17" s="346" t="s">
        <v>1429</v>
      </c>
      <c r="J17" s="24">
        <f ca="1">ROUND(IF(项目基本情况!B11="自然人",J5*M17,J18+J19+J20),1)</f>
        <v>36.200000000000003</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3295</v>
      </c>
      <c r="D19" s="139" t="s">
        <v>1436</v>
      </c>
      <c r="E19" s="1820"/>
      <c r="F19" s="26"/>
      <c r="G19" s="1853"/>
      <c r="H19" s="1203" t="s">
        <v>1036</v>
      </c>
      <c r="I19" s="346" t="s">
        <v>1437</v>
      </c>
      <c r="J19" s="24">
        <f ca="1">IF(K19="按租金收入计税",ROUND(J5*M19,2),ROUND(C29*M19*0.7,2))</f>
        <v>35.03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99</v>
      </c>
      <c r="D20" s="368" t="s">
        <v>1440</v>
      </c>
      <c r="E20" s="346" t="s">
        <v>1422</v>
      </c>
      <c r="F20" s="366">
        <f>'数据-取费表'!B37</f>
        <v>0.03</v>
      </c>
      <c r="G20" s="1856"/>
      <c r="H20" s="1203" t="s">
        <v>1389</v>
      </c>
      <c r="I20" s="163" t="s">
        <v>1441</v>
      </c>
      <c r="J20" s="25">
        <f ca="1">ROUND(M20*M21/10000,2)</f>
        <v>1.1499999999999999</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7661.85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ROUND(J14*M22,1)</f>
        <v>20.9</v>
      </c>
      <c r="K22" s="1800" t="s">
        <v>1450</v>
      </c>
      <c r="L22" s="346" t="s">
        <v>1422</v>
      </c>
      <c r="M22" s="373">
        <f ca="1">INDIRECT("'数据-取费表'!Ak"&amp;$G$1)</f>
        <v>5.0000000000000001E-3</v>
      </c>
    </row>
    <row r="23" spans="1:37" s="1860" customFormat="1" ht="18" customHeight="1">
      <c r="A23" s="1203" t="s">
        <v>1034</v>
      </c>
      <c r="B23" s="346" t="s">
        <v>1451</v>
      </c>
      <c r="C23" s="24">
        <f ca="1">IF('数据-取费表'!B22&lt;=1,ROUND(C19*F24*F23/2,0)+ROUND(C20*F24*F23/2,0),ROUND(C19*(POWER((1+F24),F23/2)-1),0)+ROUND(C20*(POWER((1+F24),F23/2)-1),0))</f>
        <v>74</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-57</v>
      </c>
      <c r="K25" s="1347" t="s">
        <v>1464</v>
      </c>
      <c r="L25" s="1348"/>
      <c r="M25" s="1349"/>
    </row>
    <row r="26" spans="1:37">
      <c r="A26" s="1203" t="s">
        <v>1034</v>
      </c>
      <c r="B26" s="346" t="s">
        <v>1465</v>
      </c>
      <c r="C26" s="24">
        <f ca="1">ROUND((C19+C20)*F26,0)</f>
        <v>339</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4170</v>
      </c>
      <c r="D29" s="1344"/>
      <c r="E29" s="1342"/>
      <c r="F29" s="1345"/>
      <c r="G29" s="1856"/>
      <c r="H29" s="379" t="s">
        <v>1033</v>
      </c>
      <c r="I29" s="380" t="s">
        <v>1479</v>
      </c>
      <c r="J29" s="381">
        <f ca="1">ROUND(J26/(1+F40)^F41,0)</f>
        <v>0</v>
      </c>
      <c r="K29" s="382" t="s">
        <v>1480</v>
      </c>
      <c r="L29" s="383"/>
      <c r="M29" s="384">
        <f ca="1">INDIRECT("'数据-取费表'!k"&amp;$G$1)</f>
        <v>11714.880000000001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84</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54.5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16.43</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36.96</v>
      </c>
      <c r="D33" s="1830" t="s">
        <v>3267</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1.1499999999999999</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7661.85</v>
      </c>
      <c r="G35" s="1853"/>
      <c r="H35" s="744"/>
      <c r="I35" s="1862"/>
      <c r="J35" s="1863"/>
      <c r="K35" s="1864"/>
      <c r="L35" s="1861"/>
      <c r="M35" s="1861"/>
    </row>
    <row r="36" spans="1:18" ht="18" customHeight="1">
      <c r="A36" s="1354" t="s">
        <v>1039</v>
      </c>
      <c r="B36" s="346" t="s">
        <v>1449</v>
      </c>
      <c r="C36" s="24">
        <f ca="1">ROUND(C29*F36,1)</f>
        <v>20.9</v>
      </c>
      <c r="D36" s="1800" t="s">
        <v>1482</v>
      </c>
      <c r="E36" s="346" t="s">
        <v>1422</v>
      </c>
      <c r="F36" s="373">
        <f ca="1">INDIRECT("'数据-取费表'!Ak"&amp;$G$1)</f>
        <v>5.0000000000000001E-3</v>
      </c>
      <c r="G36" s="1853"/>
      <c r="H36" s="1861"/>
      <c r="I36" s="1862"/>
      <c r="J36" s="1863"/>
      <c r="K36" s="750"/>
      <c r="L36" s="1861"/>
      <c r="M36" s="1861"/>
    </row>
    <row r="37" spans="1:18" ht="18" customHeight="1">
      <c r="A37" s="1203" t="s">
        <v>1075</v>
      </c>
      <c r="B37" s="346" t="s">
        <v>1453</v>
      </c>
      <c r="C37" s="24">
        <f ca="1">ROUND(C13*F37,1)</f>
        <v>5.6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224</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5420</v>
      </c>
      <c r="D40" s="369" t="s">
        <v>1469</v>
      </c>
      <c r="E40" s="346" t="s">
        <v>1470</v>
      </c>
      <c r="F40" s="356">
        <f ca="1">INDIRECT("'数据-取费表'!I"&amp;$G$1)</f>
        <v>4.4999999999999998E-2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38.35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4627</v>
      </c>
      <c r="D43" s="382" t="s">
        <v>1488</v>
      </c>
      <c r="E43" s="383" t="s">
        <v>1489</v>
      </c>
      <c r="F43" s="384">
        <f ca="1">INDIRECT("'数据-取费表'!k"&amp;$G$1)</f>
        <v>11714.880000000001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-12267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3223</v>
      </c>
      <c r="K47" s="1884" t="s">
        <v>1527</v>
      </c>
      <c r="L47" s="1885">
        <f ca="1">INDIRECT("'数据-取费表'!d"&amp;$G$1)</f>
        <v>50</v>
      </c>
      <c r="M47" s="1840" t="str">
        <f>IF(ISNUMBER(FIND("住宅",C1)),"住宅","非住宅")</f>
        <v>非住宅</v>
      </c>
      <c r="O47" s="1886" t="s">
        <v>1040</v>
      </c>
      <c r="P47" s="1887" t="s">
        <v>1528</v>
      </c>
      <c r="Q47" s="1888">
        <f ca="1">C40+J29</f>
        <v>5420</v>
      </c>
      <c r="R47" s="1888" t="s">
        <v>1529</v>
      </c>
    </row>
    <row r="48" spans="1:18" s="1844" customFormat="1" ht="28.5" thickBot="1">
      <c r="A48" s="1362" t="s">
        <v>1135</v>
      </c>
      <c r="B48" s="344" t="s">
        <v>1401</v>
      </c>
      <c r="C48" s="1819">
        <f ca="1">C49+C53+C55</f>
        <v>0</v>
      </c>
      <c r="D48" s="1364"/>
      <c r="E48" s="1365"/>
      <c r="F48" s="1183"/>
      <c r="G48" s="791"/>
      <c r="H48" s="792"/>
      <c r="I48" s="1889" t="s">
        <v>1530</v>
      </c>
      <c r="J48" s="1890" t="s">
        <v>3224</v>
      </c>
      <c r="K48" s="1891" t="s">
        <v>1531</v>
      </c>
      <c r="L48" s="1892">
        <f ca="1">INDIRECT("'数据-取费表'!f"&amp;$G$1)</f>
        <v>38.35</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3022</v>
      </c>
      <c r="E49" s="1832" t="s">
        <v>1491</v>
      </c>
      <c r="F49" s="1283"/>
      <c r="G49" s="1893"/>
      <c r="H49" s="792"/>
      <c r="I49" s="1889" t="s">
        <v>1534</v>
      </c>
      <c r="J49" s="1894">
        <v>2013</v>
      </c>
      <c r="K49" s="1891" t="s">
        <v>1535</v>
      </c>
      <c r="L49" s="1895"/>
      <c r="O49" s="1896" t="s">
        <v>1042</v>
      </c>
      <c r="P49" s="1887" t="s">
        <v>1536</v>
      </c>
      <c r="Q49" s="1888">
        <f ca="1">C29</f>
        <v>4170</v>
      </c>
      <c r="R49" s="1888" t="s">
        <v>1529</v>
      </c>
    </row>
    <row r="50" spans="1:18" s="1844" customFormat="1" ht="13.5" thickBot="1">
      <c r="A50" s="1197"/>
      <c r="B50" s="1200"/>
      <c r="C50" s="1370"/>
      <c r="D50" s="1174"/>
      <c r="E50" s="1279" t="s">
        <v>1406</v>
      </c>
      <c r="F50" s="1280">
        <f ca="1">F7</f>
        <v>11714.880000000001</v>
      </c>
      <c r="H50" s="792"/>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45</v>
      </c>
      <c r="K51" s="1902" t="s">
        <v>1541</v>
      </c>
      <c r="L51" s="1903">
        <f ca="1">ROUND(-PV(INDIRECT("'数据-取费表'!h"&amp;$G$1),L48,(C39-C13*C76),0),0)</f>
        <v>-1847</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38.35</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38.35</v>
      </c>
      <c r="K53" s="3212" t="s">
        <v>1548</v>
      </c>
      <c r="L53" s="3213"/>
      <c r="O53" s="1886" t="s">
        <v>1046</v>
      </c>
      <c r="P53" s="1887" t="s">
        <v>1549</v>
      </c>
      <c r="Q53" s="1888">
        <f ca="1">Q47+Q48</f>
        <v>5420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3753</v>
      </c>
      <c r="D56" s="1916"/>
      <c r="E56" s="1917"/>
      <c r="F56" s="1909"/>
      <c r="I56" s="1918" t="s">
        <v>1554</v>
      </c>
      <c r="J56" s="1919" t="s">
        <v>3057</v>
      </c>
      <c r="K56" s="1889" t="s">
        <v>1555</v>
      </c>
      <c r="L56" s="1892" t="str">
        <f ca="1">IF(L48&lt;J51,"——",L48-J53)</f>
        <v>——</v>
      </c>
      <c r="O56" s="1886" t="s">
        <v>1040</v>
      </c>
      <c r="P56" s="1887" t="s">
        <v>1528</v>
      </c>
      <c r="Q56" s="1888">
        <f ca="1">C40+J29</f>
        <v>5420</v>
      </c>
      <c r="R56" s="1888" t="s">
        <v>1529</v>
      </c>
    </row>
    <row r="57" spans="1:18" s="1844" customFormat="1" ht="24.75" thickBot="1">
      <c r="A57" s="1920"/>
      <c r="B57" s="1171" t="s">
        <v>1478</v>
      </c>
      <c r="C57" s="281">
        <f ca="1">C29</f>
        <v>4170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378</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351.4</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350.28</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1.1499999999999999</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5420</v>
      </c>
      <c r="R62" s="1888" t="s">
        <v>1047</v>
      </c>
    </row>
    <row r="63" spans="1:18" s="1844" customFormat="1" ht="13.5" thickBot="1">
      <c r="A63" s="371"/>
      <c r="B63" s="1177"/>
      <c r="C63" s="29"/>
      <c r="D63" s="1187"/>
      <c r="E63" s="1171" t="s">
        <v>1499</v>
      </c>
      <c r="F63" s="347">
        <f t="shared" ca="1" si="0"/>
        <v>7661.85</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20.9</v>
      </c>
      <c r="D64" s="1185" t="s">
        <v>1502</v>
      </c>
      <c r="E64" s="1171" t="s">
        <v>1494</v>
      </c>
      <c r="F64" s="373">
        <f t="shared" ca="1" si="0"/>
        <v>5.0000000000000001E-3</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5.6</v>
      </c>
      <c r="D65" s="1185" t="s">
        <v>1454</v>
      </c>
      <c r="E65" s="1171" t="s">
        <v>1455</v>
      </c>
      <c r="F65" s="375">
        <f t="shared" ca="1" si="0"/>
        <v>1.5E-3</v>
      </c>
      <c r="I65" s="1931" t="s">
        <v>1579</v>
      </c>
      <c r="J65" s="1932">
        <v>40</v>
      </c>
      <c r="K65" s="1932">
        <v>30</v>
      </c>
      <c r="L65" s="1932">
        <v>50</v>
      </c>
      <c r="M65" s="1934">
        <v>0.02</v>
      </c>
      <c r="O65" s="1886" t="s">
        <v>1040</v>
      </c>
      <c r="P65" s="1887" t="s">
        <v>1580</v>
      </c>
      <c r="Q65" s="1888">
        <f ca="1">C40+J29</f>
        <v>5420</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-378</v>
      </c>
      <c r="D67" s="1184" t="s">
        <v>1464</v>
      </c>
      <c r="E67" s="1189"/>
      <c r="F67" s="1190"/>
      <c r="O67" s="1896" t="s">
        <v>1042</v>
      </c>
      <c r="P67" s="1887" t="s">
        <v>1562</v>
      </c>
      <c r="Q67" s="1935">
        <f ca="1">L51</f>
        <v>-1847</v>
      </c>
      <c r="R67" s="1888" t="s">
        <v>1582</v>
      </c>
    </row>
    <row r="68" spans="1:18" s="1844" customFormat="1" ht="16.5" thickBot="1">
      <c r="A68" s="1168" t="s">
        <v>1032</v>
      </c>
      <c r="B68" s="1169" t="s">
        <v>1485</v>
      </c>
      <c r="C68" s="345">
        <f ca="1">ROUND(C67*(1-((1+F70)/(1+F68))^F69)/(F68-F70),0)</f>
        <v>-6847</v>
      </c>
      <c r="D68" s="1186" t="s">
        <v>1469</v>
      </c>
      <c r="E68" s="1171" t="s">
        <v>1470</v>
      </c>
      <c r="F68" s="356">
        <f ca="1">F40</f>
        <v>4.4999999999999998E-2</v>
      </c>
      <c r="O68" s="1896" t="s">
        <v>1043</v>
      </c>
      <c r="P68" s="1936" t="s">
        <v>1583</v>
      </c>
      <c r="Q68" s="1888">
        <f ca="1">ROUND(Q69-Q70*Q71,0)</f>
        <v>-95</v>
      </c>
      <c r="R68" s="1888" t="s">
        <v>1051</v>
      </c>
    </row>
    <row r="69" spans="1:18" s="1844" customFormat="1" ht="13.5" thickBot="1">
      <c r="A69" s="1172"/>
      <c r="B69" s="1173"/>
      <c r="C69" s="350"/>
      <c r="D69" s="1191" t="s">
        <v>1473</v>
      </c>
      <c r="E69" s="1171" t="s">
        <v>1474</v>
      </c>
      <c r="F69" s="378">
        <f ca="1">F41</f>
        <v>38.35</v>
      </c>
      <c r="O69" s="1896" t="s">
        <v>1048</v>
      </c>
      <c r="P69" s="1936" t="s">
        <v>1584</v>
      </c>
      <c r="Q69" s="1888">
        <f ca="1">C39</f>
        <v>224</v>
      </c>
      <c r="R69" s="1888" t="s">
        <v>1529</v>
      </c>
    </row>
    <row r="70" spans="1:18" s="1844" customFormat="1" ht="13.5" thickBot="1">
      <c r="A70" s="1175"/>
      <c r="B70" s="1176"/>
      <c r="C70" s="354"/>
      <c r="D70" s="1187"/>
      <c r="E70" s="1171" t="s">
        <v>1477</v>
      </c>
      <c r="F70" s="1277"/>
      <c r="O70" s="1896" t="s">
        <v>1049</v>
      </c>
      <c r="P70" s="1936" t="s">
        <v>1585</v>
      </c>
      <c r="Q70" s="1888">
        <f ca="1">C13</f>
        <v>3753</v>
      </c>
      <c r="R70" s="1888" t="s">
        <v>1529</v>
      </c>
    </row>
    <row r="71" spans="1:18" s="1844" customFormat="1" ht="13.5" thickBot="1">
      <c r="A71" s="1192" t="s">
        <v>1033</v>
      </c>
      <c r="B71" s="1193" t="s">
        <v>1487</v>
      </c>
      <c r="C71" s="381">
        <f ca="1">ROUND(C68*10000/F71,0)</f>
        <v>-5845</v>
      </c>
      <c r="D71" s="1194" t="s">
        <v>1488</v>
      </c>
      <c r="E71" s="1195" t="s">
        <v>1489</v>
      </c>
      <c r="F71" s="384">
        <f ca="1">F43</f>
        <v>11714.880000000001</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319</v>
      </c>
      <c r="D75" s="1844"/>
      <c r="E75" s="1844"/>
      <c r="F75" s="1844"/>
      <c r="K75" s="1870"/>
      <c r="L75" s="1844"/>
      <c r="O75" s="1886" t="s">
        <v>1046</v>
      </c>
      <c r="P75" s="1887" t="s">
        <v>1549</v>
      </c>
      <c r="Q75" s="1888">
        <f ca="1">Q65+Q66</f>
        <v>5420</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-0.42399999999999993</v>
      </c>
    </row>
    <row r="80" spans="1:18">
      <c r="B80" s="385" t="s">
        <v>1511</v>
      </c>
      <c r="C80" s="317">
        <f ca="1">ROUND(C75/C39,3)</f>
        <v>1.4239999999999999</v>
      </c>
    </row>
    <row r="81" spans="2:3">
      <c r="B81" s="313" t="s">
        <v>1512</v>
      </c>
      <c r="C81" s="281"/>
    </row>
    <row r="82" spans="2:3">
      <c r="B82" s="316" t="s">
        <v>1513</v>
      </c>
      <c r="C82" s="318">
        <f ca="1">1-C83</f>
        <v>0.30800000000000005</v>
      </c>
    </row>
    <row r="83" spans="2:3">
      <c r="B83" s="316" t="s">
        <v>1514</v>
      </c>
      <c r="C83" s="317">
        <f ca="1">ROUND(C13/C40,3)</f>
        <v>0.69199999999999995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14" t="s">
        <v>1403</v>
      </c>
      <c r="C6" s="1298">
        <f ca="1">ROUND(F6*F8*F7*(1-F9),0)</f>
        <v>0</v>
      </c>
      <c r="D6" s="163" t="s">
        <v>3018</v>
      </c>
      <c r="E6" s="346" t="s">
        <v>1405</v>
      </c>
      <c r="F6" s="347">
        <f ca="1">INDIRECT("'数据-取费表'!u"&amp;$G$1)</f>
        <v>0</v>
      </c>
      <c r="G6" s="1853"/>
      <c r="H6" s="1293" t="s">
        <v>1035</v>
      </c>
      <c r="I6" s="3214" t="s">
        <v>1403</v>
      </c>
      <c r="J6" s="345">
        <f ca="1">ROUND(M6*M8*M7*(1-M9),0)</f>
        <v>0</v>
      </c>
      <c r="K6" s="1836" t="s">
        <v>3019</v>
      </c>
      <c r="L6" s="346" t="s">
        <v>1405</v>
      </c>
      <c r="M6" s="347">
        <f ca="1">INDIRECT("'数据-取费表'!z"&amp;$G$1)</f>
        <v>0</v>
      </c>
    </row>
    <row r="7" spans="1:37" ht="18" customHeight="1">
      <c r="A7" s="1297"/>
      <c r="B7" s="3215"/>
      <c r="C7" s="1299"/>
      <c r="D7" s="351"/>
      <c r="E7" s="1300" t="s">
        <v>1406</v>
      </c>
      <c r="F7" s="347">
        <f ca="1">IF(INDIRECT("'数据-取费表'!ah"&amp;$G$1)="",INDIRECT("'数据-取费表'!k"&amp;$G$1),INDIRECT("'数据-取费表'!ah"&amp;$G$1))</f>
        <v>0</v>
      </c>
      <c r="G7" s="1853"/>
      <c r="H7" s="348"/>
      <c r="I7" s="3215"/>
      <c r="J7" s="350"/>
      <c r="K7" s="351"/>
      <c r="L7" s="346" t="s">
        <v>1406</v>
      </c>
      <c r="M7" s="347">
        <f ca="1">F7</f>
        <v>0</v>
      </c>
    </row>
    <row r="8" spans="1:37" ht="18" customHeight="1">
      <c r="A8" s="348"/>
      <c r="B8" s="3215"/>
      <c r="C8" s="350"/>
      <c r="D8" s="351"/>
      <c r="E8" s="346" t="s">
        <v>1407</v>
      </c>
      <c r="F8" s="347">
        <f ca="1">INDIRECT("'数据-取费表'!ai"&amp;$G$1)</f>
        <v>0</v>
      </c>
      <c r="G8" s="1853"/>
      <c r="H8" s="348"/>
      <c r="I8" s="3215"/>
      <c r="J8" s="350"/>
      <c r="K8" s="351"/>
      <c r="L8" s="346" t="s">
        <v>1407</v>
      </c>
      <c r="M8" s="347">
        <f ca="1">INDIRECT("'数据-取费表'!ai"&amp;$G$1)</f>
        <v>0</v>
      </c>
    </row>
    <row r="9" spans="1:37" ht="18" customHeight="1">
      <c r="A9" s="348"/>
      <c r="B9" s="3216"/>
      <c r="C9" s="350"/>
      <c r="D9" s="351"/>
      <c r="E9" s="346" t="s">
        <v>1408</v>
      </c>
      <c r="F9" s="356">
        <f ca="1">INDIRECT("'数据-取费表'!w"&amp;$G$1)</f>
        <v>0</v>
      </c>
      <c r="G9" s="1853"/>
      <c r="H9" s="348"/>
      <c r="I9" s="321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37" t="s">
        <v>3031</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3032</v>
      </c>
      <c r="E53" s="357" t="s">
        <v>1410</v>
      </c>
      <c r="F53" s="1368"/>
      <c r="I53" s="1907" t="s">
        <v>1547</v>
      </c>
      <c r="J53" s="1908" t="b">
        <f>IF(M47="住宅",J51,IF(D1="——",MIN(J51,L48),IF(D1="在建（套用方法）",MIN(J51,L48-'数据-取费表'!B24),IF(D1="土地（套用方法）",MIN(J51,L48-'数据-取费表'!B20)))))</f>
        <v>0</v>
      </c>
      <c r="K53" s="3212" t="s">
        <v>1548</v>
      </c>
      <c r="L53" s="3213"/>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3" t="s">
        <v>1079</v>
      </c>
      <c r="E2" s="1303" t="s">
        <v>1080</v>
      </c>
      <c r="F2" s="1303" t="s">
        <v>1081</v>
      </c>
      <c r="G2" s="1303" t="s">
        <v>1082</v>
      </c>
      <c r="H2" s="1303" t="s">
        <v>1083</v>
      </c>
      <c r="I2" s="1304" t="s">
        <v>1084</v>
      </c>
    </row>
    <row r="3" spans="1:9">
      <c r="A3" s="3222"/>
      <c r="B3" s="3223" t="s">
        <v>1085</v>
      </c>
      <c r="C3" s="3223"/>
      <c r="D3" s="1305"/>
      <c r="E3" s="1303"/>
      <c r="F3" s="1306"/>
      <c r="G3" s="1306"/>
      <c r="H3" s="1307"/>
      <c r="I3" s="1308">
        <f>ROUND(D3*E3*F3*G3*H3/10000,0)</f>
        <v>0</v>
      </c>
    </row>
    <row r="4" spans="1:9">
      <c r="A4" s="3222"/>
      <c r="B4" s="3223" t="s">
        <v>1086</v>
      </c>
      <c r="C4" s="3223"/>
      <c r="D4" s="1305"/>
      <c r="E4" s="1303"/>
      <c r="F4" s="1306"/>
      <c r="G4" s="1306"/>
      <c r="H4" s="1307"/>
      <c r="I4" s="1308">
        <f t="shared" ref="I4:I9" si="0">ROUND(D4*E4*F4*G4*H4/10000,0)</f>
        <v>0</v>
      </c>
    </row>
    <row r="5" spans="1:9">
      <c r="A5" s="3222"/>
      <c r="B5" s="3223" t="s">
        <v>1087</v>
      </c>
      <c r="C5" s="3223"/>
      <c r="D5" s="1305"/>
      <c r="E5" s="1303"/>
      <c r="F5" s="1306"/>
      <c r="G5" s="1306"/>
      <c r="H5" s="1307"/>
      <c r="I5" s="1308">
        <f t="shared" si="0"/>
        <v>0</v>
      </c>
    </row>
    <row r="6" spans="1:9">
      <c r="A6" s="3222"/>
      <c r="B6" s="3223" t="s">
        <v>1088</v>
      </c>
      <c r="C6" s="3223"/>
      <c r="D6" s="1305"/>
      <c r="E6" s="1303"/>
      <c r="F6" s="1306"/>
      <c r="G6" s="1306"/>
      <c r="H6" s="1307"/>
      <c r="I6" s="1308">
        <f t="shared" si="0"/>
        <v>0</v>
      </c>
    </row>
    <row r="7" spans="1:9">
      <c r="A7" s="3222"/>
      <c r="B7" s="3223" t="s">
        <v>1089</v>
      </c>
      <c r="C7" s="3223"/>
      <c r="D7" s="1305"/>
      <c r="E7" s="1303"/>
      <c r="F7" s="1306"/>
      <c r="G7" s="1306"/>
      <c r="H7" s="1307"/>
      <c r="I7" s="1308">
        <f t="shared" si="0"/>
        <v>0</v>
      </c>
    </row>
    <row r="8" spans="1:9">
      <c r="A8" s="3222"/>
      <c r="B8" s="3223" t="s">
        <v>1090</v>
      </c>
      <c r="C8" s="3223"/>
      <c r="D8" s="1305"/>
      <c r="E8" s="1303"/>
      <c r="F8" s="1306"/>
      <c r="G8" s="1306"/>
      <c r="H8" s="1307"/>
      <c r="I8" s="1308">
        <f t="shared" si="0"/>
        <v>0</v>
      </c>
    </row>
    <row r="9" spans="1:9">
      <c r="A9" s="3222"/>
      <c r="B9" s="3223" t="s">
        <v>1091</v>
      </c>
      <c r="C9" s="3223"/>
      <c r="D9" s="1305"/>
      <c r="E9" s="1303"/>
      <c r="F9" s="1306"/>
      <c r="G9" s="1306"/>
      <c r="H9" s="1307"/>
      <c r="I9" s="1308">
        <f t="shared" si="0"/>
        <v>0</v>
      </c>
    </row>
    <row r="10" spans="1:9">
      <c r="A10" s="3222"/>
      <c r="B10" s="3224" t="s">
        <v>1092</v>
      </c>
      <c r="C10" s="3224"/>
      <c r="D10" s="1309"/>
      <c r="E10" s="1309" t="e">
        <f>ROUND(D1*10000/D10/H9,0)</f>
        <v>#DIV/0!</v>
      </c>
      <c r="F10" s="1310"/>
      <c r="G10" s="1310"/>
      <c r="H10" s="1311"/>
      <c r="I10" s="1312">
        <f>SUM(I3:I9)</f>
        <v>0</v>
      </c>
    </row>
    <row r="11" spans="1:9" ht="14.25">
      <c r="A11" s="3222" t="s">
        <v>1093</v>
      </c>
      <c r="B11" s="3223" t="s">
        <v>1094</v>
      </c>
      <c r="C11" s="3223"/>
      <c r="D11" s="1305" t="s">
        <v>1095</v>
      </c>
      <c r="E11" s="1305" t="s">
        <v>1096</v>
      </c>
      <c r="F11" s="1306" t="s">
        <v>1097</v>
      </c>
      <c r="G11" s="1306" t="s">
        <v>1083</v>
      </c>
      <c r="H11" s="1313" t="s">
        <v>1098</v>
      </c>
      <c r="I11" s="1304" t="s">
        <v>1084</v>
      </c>
    </row>
    <row r="12" spans="1:9">
      <c r="A12" s="3222"/>
      <c r="B12" s="3223" t="s">
        <v>1099</v>
      </c>
      <c r="C12" s="3223"/>
      <c r="D12" s="1305"/>
      <c r="E12" s="1305"/>
      <c r="F12" s="1306"/>
      <c r="G12" s="1307"/>
      <c r="H12" s="1314"/>
      <c r="I12" s="1304">
        <f>ROUND(D12*E12*F12*G12/10000,0)</f>
        <v>0</v>
      </c>
    </row>
    <row r="13" spans="1:9">
      <c r="A13" s="3222"/>
      <c r="B13" s="3223" t="s">
        <v>1100</v>
      </c>
      <c r="C13" s="3223"/>
      <c r="D13" s="1305"/>
      <c r="E13" s="1305"/>
      <c r="F13" s="1306"/>
      <c r="G13" s="1307"/>
      <c r="H13" s="1314"/>
      <c r="I13" s="1304">
        <f>ROUND(D13*E13*F13*G13/10000,0)</f>
        <v>0</v>
      </c>
    </row>
    <row r="14" spans="1:9">
      <c r="A14" s="3222"/>
      <c r="B14" s="3223" t="s">
        <v>1101</v>
      </c>
      <c r="C14" s="3223"/>
      <c r="D14" s="1305"/>
      <c r="E14" s="1305"/>
      <c r="F14" s="1306"/>
      <c r="G14" s="1307"/>
      <c r="H14" s="1314"/>
      <c r="I14" s="1304">
        <f>ROUND(D14*E14*F14*G14/10000,0)</f>
        <v>0</v>
      </c>
    </row>
    <row r="15" spans="1:9">
      <c r="A15" s="3222"/>
      <c r="B15" s="3224" t="s">
        <v>1092</v>
      </c>
      <c r="C15" s="3224"/>
      <c r="D15" s="1309"/>
      <c r="E15" s="1309">
        <f>SUM(E12:E14)</f>
        <v>0</v>
      </c>
      <c r="F15" s="1310"/>
      <c r="G15" s="1307"/>
      <c r="H15" s="1314"/>
      <c r="I15" s="1315">
        <f>SUM(I12:I14)</f>
        <v>0</v>
      </c>
    </row>
    <row r="16" spans="1:9" ht="24">
      <c r="A16" s="3222" t="s">
        <v>1102</v>
      </c>
      <c r="B16" s="3223" t="s">
        <v>1103</v>
      </c>
      <c r="C16" s="3223"/>
      <c r="D16" s="1305" t="s">
        <v>1079</v>
      </c>
      <c r="E16" s="1316" t="s">
        <v>1104</v>
      </c>
      <c r="F16" s="1306" t="s">
        <v>1105</v>
      </c>
      <c r="G16" s="1307" t="s">
        <v>1083</v>
      </c>
      <c r="H16" s="1313" t="s">
        <v>1098</v>
      </c>
      <c r="I16" s="1304" t="s">
        <v>1084</v>
      </c>
    </row>
    <row r="17" spans="1:9" ht="14.25">
      <c r="A17" s="3222"/>
      <c r="B17" s="3223" t="s">
        <v>1106</v>
      </c>
      <c r="C17" s="3223"/>
      <c r="D17" s="1305"/>
      <c r="E17" s="1305"/>
      <c r="F17" s="1306"/>
      <c r="G17" s="1307"/>
      <c r="H17" s="1317"/>
      <c r="I17" s="1318">
        <f>ROUND(D17*E17*F17*G17/10000,0)</f>
        <v>0</v>
      </c>
    </row>
    <row r="18" spans="1:9" ht="14.25">
      <c r="A18" s="3222"/>
      <c r="B18" s="3223" t="s">
        <v>1107</v>
      </c>
      <c r="C18" s="3223"/>
      <c r="D18" s="1305"/>
      <c r="E18" s="1305"/>
      <c r="F18" s="1306"/>
      <c r="G18" s="1307"/>
      <c r="H18" s="1317"/>
      <c r="I18" s="1318">
        <f>ROUND(D18*E18*F18*G18/10000,0)</f>
        <v>0</v>
      </c>
    </row>
    <row r="19" spans="1:9" ht="14.25">
      <c r="A19" s="3222"/>
      <c r="B19" s="3223" t="s">
        <v>1108</v>
      </c>
      <c r="C19" s="3223"/>
      <c r="D19" s="1305"/>
      <c r="E19" s="1305"/>
      <c r="F19" s="1306"/>
      <c r="G19" s="1307"/>
      <c r="H19" s="1317"/>
      <c r="I19" s="1318">
        <f>ROUND(D19*E19*F19*G19/10000,0)</f>
        <v>0</v>
      </c>
    </row>
    <row r="20" spans="1:9">
      <c r="A20" s="3222"/>
      <c r="B20" s="3224" t="s">
        <v>1092</v>
      </c>
      <c r="C20" s="3224"/>
      <c r="D20" s="1309">
        <f>SUM(D17:D19)</f>
        <v>0</v>
      </c>
      <c r="E20" s="1309"/>
      <c r="F20" s="1310"/>
      <c r="G20" s="1307"/>
      <c r="H20" s="1314"/>
      <c r="I20" s="1315">
        <f>SUM(I17:I19)</f>
        <v>0</v>
      </c>
    </row>
    <row r="21" spans="1:9">
      <c r="A21" s="3222" t="s">
        <v>1109</v>
      </c>
      <c r="B21" s="3226"/>
      <c r="C21" s="3226"/>
      <c r="D21" s="3226"/>
      <c r="E21" s="3226"/>
      <c r="F21" s="3226"/>
      <c r="G21" s="3226"/>
      <c r="H21" s="1767">
        <v>0.1</v>
      </c>
      <c r="I21" s="1312">
        <f>ROUND(I10*H21,0)</f>
        <v>0</v>
      </c>
    </row>
    <row r="22" spans="1:9" ht="14.25">
      <c r="A22" s="3227" t="s">
        <v>1110</v>
      </c>
      <c r="B22" s="3228"/>
      <c r="C22" s="3229"/>
      <c r="D22" s="1319" t="s">
        <v>1111</v>
      </c>
      <c r="E22" s="1319" t="s">
        <v>1112</v>
      </c>
      <c r="F22" s="1320" t="s">
        <v>1113</v>
      </c>
      <c r="G22" s="1320" t="s">
        <v>1114</v>
      </c>
      <c r="H22" s="1313" t="s">
        <v>1115</v>
      </c>
      <c r="I22" s="1304" t="s">
        <v>1116</v>
      </c>
    </row>
    <row r="23" spans="1:9" ht="14.25" thickBot="1">
      <c r="A23" s="3230"/>
      <c r="B23" s="3231"/>
      <c r="C23" s="3232"/>
      <c r="D23" s="1321"/>
      <c r="E23" s="1321"/>
      <c r="F23" s="1321"/>
      <c r="G23" s="1322"/>
      <c r="H23" s="1323"/>
      <c r="I23" s="1324">
        <f>ROUND(E23*D23*F23*(1-G23)/10000,0)</f>
        <v>0</v>
      </c>
    </row>
    <row r="26" spans="1:9">
      <c r="A26" s="1325" t="s">
        <v>1117</v>
      </c>
      <c r="B26" s="1325"/>
      <c r="C26" s="1325"/>
      <c r="D26" s="1325"/>
      <c r="E26" s="3233">
        <f>C27-C30-C31-C32</f>
        <v>0</v>
      </c>
      <c r="F26" s="3233"/>
      <c r="G26" s="3233"/>
      <c r="H26" s="1739" t="s">
        <v>1340</v>
      </c>
    </row>
    <row r="27" spans="1:9">
      <c r="A27" s="1326">
        <v>1</v>
      </c>
      <c r="B27" s="1327" t="s">
        <v>1118</v>
      </c>
      <c r="C27" s="1327">
        <f>C28+C29</f>
        <v>0</v>
      </c>
      <c r="D27" s="1327"/>
      <c r="E27" s="3234"/>
      <c r="F27" s="3234"/>
      <c r="G27" s="3234"/>
    </row>
    <row r="28" spans="1:9">
      <c r="A28" s="1328" t="s">
        <v>1119</v>
      </c>
      <c r="B28" s="1327" t="s">
        <v>1120</v>
      </c>
      <c r="C28" s="1327"/>
      <c r="D28" s="1327"/>
      <c r="E28" s="3234"/>
      <c r="F28" s="3234"/>
      <c r="G28" s="323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5"/>
      <c r="F32" s="3225"/>
      <c r="G32" s="3225"/>
    </row>
    <row r="33" spans="1:7" hidden="1">
      <c r="A33" s="3235" t="s">
        <v>1129</v>
      </c>
      <c r="B33" s="3236"/>
      <c r="C33" s="3236"/>
      <c r="D33" s="3237"/>
      <c r="E33" s="3233"/>
      <c r="F33" s="3233"/>
      <c r="G33" s="3233"/>
    </row>
    <row r="34" spans="1:7" hidden="1">
      <c r="A34" s="1330">
        <v>1</v>
      </c>
      <c r="B34" s="1327" t="s">
        <v>1130</v>
      </c>
      <c r="C34" s="1327"/>
      <c r="D34" s="1327"/>
      <c r="E34" s="3234"/>
      <c r="F34" s="3234"/>
      <c r="G34" s="3234"/>
    </row>
    <row r="35" spans="1:7" hidden="1">
      <c r="A35" s="1330">
        <v>2</v>
      </c>
      <c r="B35" s="1327" t="s">
        <v>1131</v>
      </c>
      <c r="C35" s="1327"/>
      <c r="D35" s="1327"/>
      <c r="E35" s="3234"/>
      <c r="F35" s="3234"/>
      <c r="G35" s="3234"/>
    </row>
    <row r="36" spans="1:7" hidden="1">
      <c r="A36" s="1330">
        <v>3</v>
      </c>
      <c r="B36" s="1327" t="s">
        <v>1132</v>
      </c>
      <c r="C36" s="1327"/>
      <c r="D36" s="1327"/>
      <c r="E36" s="3234"/>
      <c r="F36" s="3234"/>
      <c r="G36" s="3234"/>
    </row>
    <row r="37" spans="1:7" hidden="1">
      <c r="A37" s="1330">
        <v>4</v>
      </c>
      <c r="B37" s="1327" t="s">
        <v>1133</v>
      </c>
      <c r="C37" s="1327"/>
      <c r="D37" s="1327"/>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582" t="s">
        <v>2517</v>
      </c>
      <c r="C1" s="1636" t="s">
        <v>2518</v>
      </c>
      <c r="D1" s="1623"/>
      <c r="E1" s="2583"/>
      <c r="F1" s="2584" t="s">
        <v>2519</v>
      </c>
      <c r="G1" s="1633" t="s">
        <v>2520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2521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2522</v>
      </c>
      <c r="D3" s="398">
        <f>IF(D1="",'数据-汇总表'!E3,SUMIF('数据-汇总表'!$C19:$C33,D1,'数据-汇总表'!$E19:$E33))</f>
        <v>17933.88</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2523</v>
      </c>
      <c r="B4" s="401"/>
      <c r="C4" s="3178" t="s">
        <v>2524</v>
      </c>
      <c r="D4" s="3179"/>
      <c r="E4" s="3180" t="s">
        <v>2525</v>
      </c>
      <c r="F4" s="3181"/>
      <c r="G4" s="3178" t="s">
        <v>2526</v>
      </c>
      <c r="H4" s="3179"/>
      <c r="I4" s="3178" t="s">
        <v>2527</v>
      </c>
      <c r="J4" s="3179"/>
      <c r="K4" s="2596" t="s">
        <v>2528</v>
      </c>
      <c r="L4" s="1132"/>
      <c r="M4" s="1133"/>
      <c r="N4" s="1133"/>
      <c r="O4" s="1133"/>
      <c r="P4" s="3182" t="s">
        <v>2529</v>
      </c>
      <c r="Q4" s="3183"/>
      <c r="R4" s="3195" t="s">
        <v>2525</v>
      </c>
      <c r="S4" s="3196"/>
      <c r="T4" s="3195" t="s">
        <v>2526</v>
      </c>
      <c r="U4" s="3196"/>
      <c r="V4" s="3170" t="s">
        <v>2527</v>
      </c>
      <c r="W4" s="3170"/>
      <c r="X4" s="1815"/>
      <c r="Y4" s="3195" t="s">
        <v>2529</v>
      </c>
      <c r="Z4" s="3196"/>
      <c r="AA4" s="3175" t="s">
        <v>2525</v>
      </c>
      <c r="AB4" s="3175" t="s">
        <v>2526</v>
      </c>
      <c r="AC4" s="3175" t="s">
        <v>2527</v>
      </c>
    </row>
    <row r="5" spans="1:29" ht="15">
      <c r="A5" s="403"/>
      <c r="B5" s="404"/>
      <c r="C5" s="3199" t="s">
        <v>2530</v>
      </c>
      <c r="D5" s="3200"/>
      <c r="E5" s="3188" t="s">
        <v>2531</v>
      </c>
      <c r="F5" s="3189"/>
      <c r="G5" s="3199" t="s">
        <v>2532</v>
      </c>
      <c r="H5" s="3200"/>
      <c r="I5" s="3199" t="s">
        <v>2533</v>
      </c>
      <c r="J5" s="3200"/>
      <c r="K5" s="2597"/>
      <c r="L5" s="1132"/>
      <c r="M5" s="1133"/>
      <c r="N5" s="1133"/>
      <c r="O5" s="1133"/>
      <c r="P5" s="3184"/>
      <c r="Q5" s="3185"/>
      <c r="R5" s="3197"/>
      <c r="S5" s="3198"/>
      <c r="T5" s="3197"/>
      <c r="U5" s="3198"/>
      <c r="V5" s="3170"/>
      <c r="W5" s="3170"/>
      <c r="X5" s="1815"/>
      <c r="Y5" s="3197"/>
      <c r="Z5" s="3198"/>
      <c r="AA5" s="3176"/>
      <c r="AB5" s="3176"/>
      <c r="AC5" s="3176"/>
    </row>
    <row r="6" spans="1:29" ht="15.75" thickBot="1">
      <c r="A6" s="405"/>
      <c r="B6" s="406"/>
      <c r="C6" s="3238" t="s">
        <v>2534</v>
      </c>
      <c r="D6" s="3239"/>
      <c r="E6" s="3240" t="s">
        <v>2534</v>
      </c>
      <c r="F6" s="3241"/>
      <c r="G6" s="3238" t="s">
        <v>2534</v>
      </c>
      <c r="H6" s="3239"/>
      <c r="I6" s="3238" t="s">
        <v>2534</v>
      </c>
      <c r="J6" s="3239"/>
      <c r="K6" s="2597" t="s">
        <v>2535</v>
      </c>
      <c r="L6" s="1132"/>
      <c r="M6" s="1133"/>
      <c r="N6" s="1133"/>
      <c r="O6" s="1133"/>
      <c r="P6" s="3186"/>
      <c r="Q6" s="3187"/>
      <c r="R6" s="3197"/>
      <c r="S6" s="3198"/>
      <c r="T6" s="3206"/>
      <c r="U6" s="3207"/>
      <c r="V6" s="3170"/>
      <c r="W6" s="3170"/>
      <c r="X6" s="1815"/>
      <c r="Y6" s="3206"/>
      <c r="Z6" s="3207"/>
      <c r="AA6" s="3177"/>
      <c r="AB6" s="3177"/>
      <c r="AC6" s="3177"/>
    </row>
    <row r="7" spans="1:29" s="117" customFormat="1" ht="15.75" thickBot="1">
      <c r="A7" s="407" t="s">
        <v>2536</v>
      </c>
      <c r="B7" s="408"/>
      <c r="C7" s="409">
        <f>'数据-取费表'!B2</f>
        <v>43223</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190" t="s">
        <v>2537</v>
      </c>
      <c r="Q7" s="3203"/>
      <c r="R7" s="769" t="s">
        <v>23</v>
      </c>
      <c r="S7" s="770">
        <f t="shared" ref="S7:S15" si="0">F7</f>
        <v>0</v>
      </c>
      <c r="T7" s="769" t="s">
        <v>23</v>
      </c>
      <c r="U7" s="770">
        <f t="shared" ref="U7:U15" si="1">H7</f>
        <v>0</v>
      </c>
      <c r="V7" s="769" t="s">
        <v>23</v>
      </c>
      <c r="W7" s="770">
        <f t="shared" ref="W7:W15" si="2">J7</f>
        <v>0</v>
      </c>
      <c r="X7" s="771"/>
      <c r="Y7" s="3190" t="s">
        <v>2537</v>
      </c>
      <c r="Z7" s="3191"/>
      <c r="AA7" s="772" t="e">
        <f>D7/F7</f>
        <v>#DIV/0!</v>
      </c>
      <c r="AB7" s="772" t="e">
        <f>D7/H7</f>
        <v>#DIV/0!</v>
      </c>
      <c r="AC7" s="772" t="e">
        <f>D7/J7</f>
        <v>#DIV/0!</v>
      </c>
    </row>
    <row r="8" spans="1:29" s="117" customFormat="1" ht="15.75" thickBot="1">
      <c r="A8" s="407" t="s">
        <v>2538</v>
      </c>
      <c r="B8" s="408"/>
      <c r="C8" s="413" t="s">
        <v>2539</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190" t="s">
        <v>2540</v>
      </c>
      <c r="Q8" s="3191"/>
      <c r="R8" s="769" t="s">
        <v>23</v>
      </c>
      <c r="S8" s="770">
        <f t="shared" si="0"/>
        <v>0</v>
      </c>
      <c r="T8" s="769" t="s">
        <v>23</v>
      </c>
      <c r="U8" s="770">
        <f t="shared" si="1"/>
        <v>0</v>
      </c>
      <c r="V8" s="769" t="s">
        <v>23</v>
      </c>
      <c r="W8" s="770">
        <f t="shared" si="2"/>
        <v>0</v>
      </c>
      <c r="X8" s="771"/>
      <c r="Y8" s="3190" t="s">
        <v>2540</v>
      </c>
      <c r="Z8" s="3191"/>
      <c r="AA8" s="772" t="e">
        <f t="shared" ref="AA8:AA19" si="3">D8/F8</f>
        <v>#DIV/0!</v>
      </c>
      <c r="AB8" s="772" t="e">
        <f t="shared" ref="AB8:AB19" si="4">D8/H8</f>
        <v>#DIV/0!</v>
      </c>
      <c r="AC8" s="772" t="e">
        <f t="shared" ref="AC8:AC19" si="5">D8/J8</f>
        <v>#DIV/0!</v>
      </c>
    </row>
    <row r="9" spans="1:29" s="117" customFormat="1">
      <c r="A9" s="414" t="s">
        <v>2541</v>
      </c>
      <c r="B9" s="71" t="s">
        <v>2542</v>
      </c>
      <c r="C9" s="415"/>
      <c r="D9" s="134">
        <v>100</v>
      </c>
      <c r="E9" s="416"/>
      <c r="F9" s="417">
        <f>SUMIF(63:63,E9,64:64)-SUMIF(63:63,C9,64:64)+100</f>
        <v>100</v>
      </c>
      <c r="G9" s="418"/>
      <c r="H9" s="134">
        <f>SUMIF(63:63,G9,64:64)-SUMIF(63:63,C9,64:64)+100</f>
        <v>100</v>
      </c>
      <c r="I9" s="418"/>
      <c r="J9" s="134">
        <f>SUMIF(63:63,I9,64:64)-SUMIF(63:63,C9,64:64)+100</f>
        <v>100</v>
      </c>
      <c r="K9" s="2598"/>
      <c r="L9" s="1134"/>
      <c r="M9" s="1135"/>
      <c r="N9" s="1135"/>
      <c r="O9" s="1135"/>
      <c r="P9" s="3193" t="s">
        <v>2543</v>
      </c>
      <c r="Q9" s="1797"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3"/>
      <c r="Q10" s="1797"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3"/>
      <c r="Q11" s="1797" t="str">
        <f t="shared" si="6"/>
        <v>容积率</v>
      </c>
      <c r="R11" s="769" t="s">
        <v>21</v>
      </c>
      <c r="S11" s="770" t="e">
        <f t="shared" si="0"/>
        <v>#N/A</v>
      </c>
      <c r="T11" s="769" t="s">
        <v>21</v>
      </c>
      <c r="U11" s="770" t="e">
        <f t="shared" si="1"/>
        <v>#N/A</v>
      </c>
      <c r="V11" s="769" t="s">
        <v>21</v>
      </c>
      <c r="W11" s="770" t="e">
        <f t="shared" si="2"/>
        <v>#N/A</v>
      </c>
      <c r="X11" s="771"/>
      <c r="Y11" s="3045"/>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93"/>
      <c r="Q12" s="1797">
        <f t="shared" si="6"/>
        <v>111</v>
      </c>
      <c r="R12" s="769" t="s">
        <v>21</v>
      </c>
      <c r="S12" s="770">
        <f t="shared" si="0"/>
        <v>100</v>
      </c>
      <c r="T12" s="769" t="s">
        <v>21</v>
      </c>
      <c r="U12" s="770">
        <f t="shared" si="1"/>
        <v>100</v>
      </c>
      <c r="V12" s="769" t="s">
        <v>21</v>
      </c>
      <c r="W12" s="770">
        <f t="shared" si="2"/>
        <v>100</v>
      </c>
      <c r="X12" s="771"/>
      <c r="Y12" s="304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3"/>
      <c r="Q13" s="1797">
        <f t="shared" si="6"/>
        <v>111</v>
      </c>
      <c r="R13" s="769" t="s">
        <v>21</v>
      </c>
      <c r="S13" s="770">
        <f t="shared" si="0"/>
        <v>100</v>
      </c>
      <c r="T13" s="769" t="s">
        <v>21</v>
      </c>
      <c r="U13" s="770">
        <f t="shared" si="1"/>
        <v>100</v>
      </c>
      <c r="V13" s="769" t="s">
        <v>21</v>
      </c>
      <c r="W13" s="770">
        <f t="shared" si="2"/>
        <v>100</v>
      </c>
      <c r="X13" s="771"/>
      <c r="Y13" s="3045"/>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3"/>
      <c r="Q14" s="1797">
        <f t="shared" si="6"/>
        <v>111</v>
      </c>
      <c r="R14" s="769" t="s">
        <v>21</v>
      </c>
      <c r="S14" s="770">
        <f t="shared" si="0"/>
        <v>100</v>
      </c>
      <c r="T14" s="769" t="s">
        <v>21</v>
      </c>
      <c r="U14" s="770">
        <f t="shared" si="1"/>
        <v>100</v>
      </c>
      <c r="V14" s="769" t="s">
        <v>21</v>
      </c>
      <c r="W14" s="770">
        <f t="shared" si="2"/>
        <v>100</v>
      </c>
      <c r="X14" s="771"/>
      <c r="Y14" s="3045"/>
      <c r="Z14" s="55">
        <f t="shared" si="7"/>
        <v>111</v>
      </c>
      <c r="AA14" s="772">
        <f t="shared" si="3"/>
        <v>1</v>
      </c>
      <c r="AB14" s="772">
        <f t="shared" si="4"/>
        <v>1</v>
      </c>
      <c r="AC14" s="772">
        <f t="shared" si="5"/>
        <v>1</v>
      </c>
    </row>
    <row r="15" spans="1:29" ht="15">
      <c r="A15" s="439" t="s">
        <v>2547</v>
      </c>
      <c r="B15" s="69" t="s">
        <v>2082</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8" t="s">
        <v>2548</v>
      </c>
      <c r="Q15" s="1812" t="str">
        <f t="shared" si="6"/>
        <v>居住社区成熟度</v>
      </c>
      <c r="R15" s="773" t="s">
        <v>21</v>
      </c>
      <c r="S15" s="774">
        <f t="shared" si="0"/>
        <v>100</v>
      </c>
      <c r="T15" s="773" t="s">
        <v>21</v>
      </c>
      <c r="U15" s="774">
        <f t="shared" si="1"/>
        <v>100</v>
      </c>
      <c r="V15" s="773" t="s">
        <v>21</v>
      </c>
      <c r="W15" s="774">
        <f t="shared" si="2"/>
        <v>100</v>
      </c>
      <c r="X15" s="1815"/>
      <c r="Y15" s="3171" t="s">
        <v>2548</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249"/>
      <c r="Q16" s="1812"/>
      <c r="R16" s="773"/>
      <c r="S16" s="774"/>
      <c r="T16" s="773"/>
      <c r="U16" s="774"/>
      <c r="V16" s="773"/>
      <c r="W16" s="774"/>
      <c r="X16" s="1815"/>
      <c r="Y16" s="3172"/>
      <c r="Z16" s="1816"/>
      <c r="AA16" s="1813">
        <v>1</v>
      </c>
      <c r="AB16" s="1813">
        <v>1</v>
      </c>
      <c r="AC16" s="1813">
        <v>1</v>
      </c>
    </row>
    <row r="17" spans="1:29" ht="15">
      <c r="A17" s="427"/>
      <c r="B17" s="450" t="s">
        <v>2088</v>
      </c>
      <c r="C17" s="2607">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9"/>
      <c r="Q17" s="1812" t="str">
        <f>B17</f>
        <v>交通便捷度</v>
      </c>
      <c r="R17" s="773" t="s">
        <v>21</v>
      </c>
      <c r="S17" s="774">
        <f>F17</f>
        <v>100</v>
      </c>
      <c r="T17" s="773" t="s">
        <v>21</v>
      </c>
      <c r="U17" s="774">
        <f>H17</f>
        <v>100</v>
      </c>
      <c r="V17" s="773" t="s">
        <v>21</v>
      </c>
      <c r="W17" s="774">
        <f>J17</f>
        <v>100</v>
      </c>
      <c r="X17" s="1815"/>
      <c r="Y17" s="3172"/>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249"/>
      <c r="Q18" s="1812"/>
      <c r="R18" s="773"/>
      <c r="S18" s="774"/>
      <c r="T18" s="773"/>
      <c r="U18" s="774"/>
      <c r="V18" s="773"/>
      <c r="W18" s="774"/>
      <c r="X18" s="1815"/>
      <c r="Y18" s="3172"/>
      <c r="Z18" s="1816"/>
      <c r="AA18" s="1813">
        <v>1</v>
      </c>
      <c r="AB18" s="1813">
        <v>1</v>
      </c>
      <c r="AC18" s="1813">
        <v>1</v>
      </c>
    </row>
    <row r="19" spans="1:29" ht="15">
      <c r="A19" s="427"/>
      <c r="B19" s="450" t="s">
        <v>2087</v>
      </c>
      <c r="C19" s="2607">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9"/>
      <c r="Q19" s="1812" t="str">
        <f>B19</f>
        <v>公共配套设施</v>
      </c>
      <c r="R19" s="773" t="s">
        <v>21</v>
      </c>
      <c r="S19" s="774">
        <f>F19</f>
        <v>100</v>
      </c>
      <c r="T19" s="773" t="s">
        <v>21</v>
      </c>
      <c r="U19" s="774">
        <f>H19</f>
        <v>100</v>
      </c>
      <c r="V19" s="773" t="s">
        <v>21</v>
      </c>
      <c r="W19" s="774">
        <f>J19</f>
        <v>100</v>
      </c>
      <c r="X19" s="1815"/>
      <c r="Y19" s="3172"/>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249"/>
      <c r="Q20" s="1812"/>
      <c r="R20" s="773"/>
      <c r="S20" s="774"/>
      <c r="T20" s="773"/>
      <c r="U20" s="774"/>
      <c r="V20" s="773"/>
      <c r="W20" s="774"/>
      <c r="X20" s="1815"/>
      <c r="Y20" s="3172"/>
      <c r="Z20" s="1816"/>
      <c r="AA20" s="1813">
        <v>1</v>
      </c>
      <c r="AB20" s="1813">
        <v>1</v>
      </c>
      <c r="AC20" s="1813">
        <v>1</v>
      </c>
    </row>
    <row r="21" spans="1:29" ht="15">
      <c r="A21" s="427"/>
      <c r="B21" s="1386" t="s">
        <v>2089</v>
      </c>
      <c r="C21" s="2607">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9"/>
      <c r="Q21" s="1812" t="str">
        <f>B21</f>
        <v>基础设施水平</v>
      </c>
      <c r="R21" s="773" t="s">
        <v>17</v>
      </c>
      <c r="S21" s="774">
        <f>F21</f>
        <v>100</v>
      </c>
      <c r="T21" s="773" t="s">
        <v>17</v>
      </c>
      <c r="U21" s="774">
        <f>H21</f>
        <v>100</v>
      </c>
      <c r="V21" s="773" t="s">
        <v>17</v>
      </c>
      <c r="W21" s="774">
        <f>J21</f>
        <v>100</v>
      </c>
      <c r="X21" s="1815"/>
      <c r="Y21" s="3172"/>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249"/>
      <c r="Q22" s="1812"/>
      <c r="R22" s="773"/>
      <c r="S22" s="774"/>
      <c r="T22" s="773"/>
      <c r="U22" s="774"/>
      <c r="V22" s="773"/>
      <c r="W22" s="774"/>
      <c r="X22" s="1815"/>
      <c r="Y22" s="3172"/>
      <c r="Z22" s="1816"/>
      <c r="AA22" s="1813">
        <v>1</v>
      </c>
      <c r="AB22" s="1813">
        <v>1</v>
      </c>
      <c r="AC22" s="1813">
        <v>1</v>
      </c>
    </row>
    <row r="23" spans="1:29" ht="15">
      <c r="A23" s="427"/>
      <c r="B23" s="450" t="s">
        <v>2091</v>
      </c>
      <c r="C23" s="2607">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9"/>
      <c r="Q23" s="1812" t="str">
        <f>B23</f>
        <v>自然及人文环境</v>
      </c>
      <c r="R23" s="773" t="s">
        <v>21</v>
      </c>
      <c r="S23" s="774">
        <f>F23</f>
        <v>100</v>
      </c>
      <c r="T23" s="773" t="s">
        <v>21</v>
      </c>
      <c r="U23" s="774">
        <f>H23</f>
        <v>100</v>
      </c>
      <c r="V23" s="773" t="s">
        <v>21</v>
      </c>
      <c r="W23" s="774">
        <f>J23</f>
        <v>100</v>
      </c>
      <c r="X23" s="1815"/>
      <c r="Y23" s="3172"/>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249"/>
      <c r="Q24" s="1812"/>
      <c r="R24" s="773"/>
      <c r="S24" s="774"/>
      <c r="T24" s="773"/>
      <c r="U24" s="774"/>
      <c r="V24" s="773"/>
      <c r="W24" s="774"/>
      <c r="X24" s="1815"/>
      <c r="Y24" s="3172"/>
      <c r="Z24" s="1816"/>
      <c r="AA24" s="1813">
        <v>1</v>
      </c>
      <c r="AB24" s="1813">
        <v>1</v>
      </c>
      <c r="AC24" s="1813">
        <v>1</v>
      </c>
    </row>
    <row r="25" spans="1:29" ht="15">
      <c r="A25" s="427"/>
      <c r="B25" s="421" t="s">
        <v>2549</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4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2"/>
      <c r="Z25" s="1816" t="str">
        <f>Q25</f>
        <v>楼层-1</v>
      </c>
      <c r="AA25" s="1813">
        <f t="shared" ref="AA25:AA46" si="15">D25/F25</f>
        <v>1</v>
      </c>
      <c r="AB25" s="1813">
        <f t="shared" ref="AB25:AB46" si="16">D25/H25</f>
        <v>1</v>
      </c>
      <c r="AC25" s="1813">
        <f t="shared" ref="AC25:AC46" si="17">D25/J25</f>
        <v>1</v>
      </c>
    </row>
    <row r="26" spans="1:29" ht="15">
      <c r="A26" s="427"/>
      <c r="B26" s="421" t="s">
        <v>2550</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49"/>
      <c r="Q26" s="1812" t="str">
        <f t="shared" si="11"/>
        <v>朝向</v>
      </c>
      <c r="R26" s="773" t="s">
        <v>21</v>
      </c>
      <c r="S26" s="774">
        <f t="shared" si="12"/>
        <v>100</v>
      </c>
      <c r="T26" s="773" t="s">
        <v>21</v>
      </c>
      <c r="U26" s="774">
        <f t="shared" si="13"/>
        <v>100</v>
      </c>
      <c r="V26" s="773" t="s">
        <v>21</v>
      </c>
      <c r="W26" s="774">
        <f t="shared" si="14"/>
        <v>100</v>
      </c>
      <c r="X26" s="1815"/>
      <c r="Y26" s="3172"/>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49"/>
      <c r="Q27" s="1797">
        <f t="shared" si="11"/>
        <v>111</v>
      </c>
      <c r="R27" s="769" t="s">
        <v>21</v>
      </c>
      <c r="S27" s="770">
        <f t="shared" si="12"/>
        <v>100</v>
      </c>
      <c r="T27" s="769" t="s">
        <v>21</v>
      </c>
      <c r="U27" s="770">
        <f t="shared" si="13"/>
        <v>100</v>
      </c>
      <c r="V27" s="769" t="s">
        <v>21</v>
      </c>
      <c r="W27" s="770">
        <f t="shared" si="14"/>
        <v>100</v>
      </c>
      <c r="X27" s="771"/>
      <c r="Y27" s="3172"/>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49"/>
      <c r="Q28" s="1812">
        <f t="shared" si="11"/>
        <v>111</v>
      </c>
      <c r="R28" s="773" t="s">
        <v>21</v>
      </c>
      <c r="S28" s="774">
        <f t="shared" si="12"/>
        <v>100</v>
      </c>
      <c r="T28" s="773" t="s">
        <v>21</v>
      </c>
      <c r="U28" s="774">
        <f t="shared" si="13"/>
        <v>100</v>
      </c>
      <c r="V28" s="773" t="s">
        <v>21</v>
      </c>
      <c r="W28" s="774">
        <f t="shared" si="14"/>
        <v>100</v>
      </c>
      <c r="X28" s="1815"/>
      <c r="Y28" s="317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49"/>
      <c r="Q29" s="1812">
        <f t="shared" si="11"/>
        <v>111</v>
      </c>
      <c r="R29" s="773" t="s">
        <v>21</v>
      </c>
      <c r="S29" s="774">
        <f t="shared" si="12"/>
        <v>100</v>
      </c>
      <c r="T29" s="773" t="s">
        <v>21</v>
      </c>
      <c r="U29" s="774">
        <f t="shared" si="13"/>
        <v>100</v>
      </c>
      <c r="V29" s="773" t="s">
        <v>21</v>
      </c>
      <c r="W29" s="774">
        <f t="shared" si="14"/>
        <v>100</v>
      </c>
      <c r="X29" s="1815"/>
      <c r="Y29" s="317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49"/>
      <c r="Q30" s="1812">
        <f t="shared" si="11"/>
        <v>111</v>
      </c>
      <c r="R30" s="773" t="s">
        <v>21</v>
      </c>
      <c r="S30" s="774">
        <f t="shared" si="12"/>
        <v>100</v>
      </c>
      <c r="T30" s="773" t="s">
        <v>21</v>
      </c>
      <c r="U30" s="774">
        <f t="shared" si="13"/>
        <v>100</v>
      </c>
      <c r="V30" s="773" t="s">
        <v>21</v>
      </c>
      <c r="W30" s="774">
        <f t="shared" si="14"/>
        <v>100</v>
      </c>
      <c r="X30" s="1815"/>
      <c r="Y30" s="317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49"/>
      <c r="Q31" s="1812">
        <f t="shared" si="11"/>
        <v>111</v>
      </c>
      <c r="R31" s="773" t="s">
        <v>21</v>
      </c>
      <c r="S31" s="774">
        <f t="shared" si="12"/>
        <v>100</v>
      </c>
      <c r="T31" s="773" t="s">
        <v>21</v>
      </c>
      <c r="U31" s="774">
        <f t="shared" si="13"/>
        <v>100</v>
      </c>
      <c r="V31" s="773" t="s">
        <v>21</v>
      </c>
      <c r="W31" s="774">
        <f t="shared" si="14"/>
        <v>100</v>
      </c>
      <c r="X31" s="1815"/>
      <c r="Y31" s="3172"/>
      <c r="Z31" s="1816">
        <f t="shared" si="18"/>
        <v>111</v>
      </c>
      <c r="AA31" s="1813">
        <f t="shared" si="15"/>
        <v>1</v>
      </c>
      <c r="AB31" s="1813">
        <f t="shared" si="16"/>
        <v>1</v>
      </c>
      <c r="AC31" s="1813">
        <f t="shared" si="17"/>
        <v>1</v>
      </c>
    </row>
    <row r="32" spans="1:29" ht="15">
      <c r="A32" s="439" t="s">
        <v>2551</v>
      </c>
      <c r="B32" s="71" t="s">
        <v>2552</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244" t="s">
        <v>2553</v>
      </c>
      <c r="Q32" s="1812" t="str">
        <f t="shared" si="11"/>
        <v>建筑类型</v>
      </c>
      <c r="R32" s="773" t="s">
        <v>21</v>
      </c>
      <c r="S32" s="774">
        <f t="shared" si="12"/>
        <v>100</v>
      </c>
      <c r="T32" s="773" t="s">
        <v>21</v>
      </c>
      <c r="U32" s="774">
        <f t="shared" si="13"/>
        <v>100</v>
      </c>
      <c r="V32" s="773" t="s">
        <v>21</v>
      </c>
      <c r="W32" s="774">
        <f t="shared" si="14"/>
        <v>100</v>
      </c>
      <c r="X32" s="1815"/>
      <c r="Y32" s="3174" t="s">
        <v>2553</v>
      </c>
      <c r="Z32" s="1816" t="str">
        <f t="shared" si="18"/>
        <v>建筑类型</v>
      </c>
      <c r="AA32" s="1813">
        <f t="shared" si="15"/>
        <v>1</v>
      </c>
      <c r="AB32" s="1813">
        <f t="shared" si="16"/>
        <v>1</v>
      </c>
      <c r="AC32" s="1813">
        <f t="shared" si="17"/>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40"/>
      <c r="M33" s="1143"/>
      <c r="N33" s="1143"/>
      <c r="O33" s="1143"/>
      <c r="P33" s="3245"/>
      <c r="Q33" s="775" t="str">
        <f t="shared" si="11"/>
        <v>项目建筑规模</v>
      </c>
      <c r="R33" s="776" t="s">
        <v>21</v>
      </c>
      <c r="S33" s="777" t="e">
        <f t="shared" si="12"/>
        <v>#N/A</v>
      </c>
      <c r="T33" s="776" t="s">
        <v>21</v>
      </c>
      <c r="U33" s="777" t="e">
        <f t="shared" si="13"/>
        <v>#N/A</v>
      </c>
      <c r="V33" s="776" t="s">
        <v>21</v>
      </c>
      <c r="W33" s="777" t="e">
        <f t="shared" si="14"/>
        <v>#N/A</v>
      </c>
      <c r="X33" s="778"/>
      <c r="Y33" s="3174"/>
      <c r="Z33" s="779" t="str">
        <f t="shared" si="18"/>
        <v>项目建筑规模</v>
      </c>
      <c r="AA33" s="1813" t="e">
        <f t="shared" si="15"/>
        <v>#N/A</v>
      </c>
      <c r="AB33" s="1813" t="e">
        <f t="shared" si="16"/>
        <v>#N/A</v>
      </c>
      <c r="AC33" s="1813" t="e">
        <f t="shared" si="17"/>
        <v>#N/A</v>
      </c>
    </row>
    <row r="34" spans="1:29" ht="15">
      <c r="A34" s="471"/>
      <c r="B34" s="421" t="s">
        <v>2555</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245"/>
      <c r="Q34" s="1812" t="str">
        <f t="shared" si="11"/>
        <v>建筑结构</v>
      </c>
      <c r="R34" s="773" t="s">
        <v>21</v>
      </c>
      <c r="S34" s="774">
        <f t="shared" si="12"/>
        <v>100</v>
      </c>
      <c r="T34" s="773" t="s">
        <v>21</v>
      </c>
      <c r="U34" s="774">
        <f t="shared" si="13"/>
        <v>100</v>
      </c>
      <c r="V34" s="773" t="s">
        <v>21</v>
      </c>
      <c r="W34" s="774">
        <f t="shared" si="14"/>
        <v>100</v>
      </c>
      <c r="X34" s="1815"/>
      <c r="Y34" s="3174"/>
      <c r="Z34" s="1816" t="str">
        <f t="shared" si="18"/>
        <v>建筑结构</v>
      </c>
      <c r="AA34" s="1813">
        <f t="shared" si="15"/>
        <v>1</v>
      </c>
      <c r="AB34" s="1813">
        <f t="shared" si="16"/>
        <v>1</v>
      </c>
      <c r="AC34" s="1813">
        <f t="shared" si="17"/>
        <v>1</v>
      </c>
    </row>
    <row r="35" spans="1:29" ht="15">
      <c r="A35" s="471"/>
      <c r="B35" s="421" t="s">
        <v>2556</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245"/>
      <c r="Q35" s="1812" t="str">
        <f t="shared" si="11"/>
        <v>建筑品质</v>
      </c>
      <c r="R35" s="773" t="s">
        <v>21</v>
      </c>
      <c r="S35" s="774">
        <f t="shared" si="12"/>
        <v>100</v>
      </c>
      <c r="T35" s="773" t="s">
        <v>21</v>
      </c>
      <c r="U35" s="774">
        <f t="shared" si="13"/>
        <v>100</v>
      </c>
      <c r="V35" s="773" t="s">
        <v>21</v>
      </c>
      <c r="W35" s="774">
        <f t="shared" si="14"/>
        <v>100</v>
      </c>
      <c r="X35" s="1815"/>
      <c r="Y35" s="3174"/>
      <c r="Z35" s="1816" t="str">
        <f t="shared" si="18"/>
        <v>建筑品质</v>
      </c>
      <c r="AA35" s="1813">
        <f t="shared" si="15"/>
        <v>1</v>
      </c>
      <c r="AB35" s="1813">
        <f t="shared" si="16"/>
        <v>1</v>
      </c>
      <c r="AC35" s="1813">
        <f t="shared" si="17"/>
        <v>1</v>
      </c>
    </row>
    <row r="36" spans="1:29" ht="15">
      <c r="A36" s="471"/>
      <c r="B36" s="421" t="s">
        <v>2557</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245"/>
      <c r="Q36" s="1812" t="str">
        <f t="shared" si="11"/>
        <v>公共部分装修</v>
      </c>
      <c r="R36" s="773" t="s">
        <v>21</v>
      </c>
      <c r="S36" s="774">
        <f t="shared" si="12"/>
        <v>100</v>
      </c>
      <c r="T36" s="773" t="s">
        <v>21</v>
      </c>
      <c r="U36" s="774">
        <f t="shared" si="13"/>
        <v>100</v>
      </c>
      <c r="V36" s="773" t="s">
        <v>21</v>
      </c>
      <c r="W36" s="774">
        <f t="shared" si="14"/>
        <v>100</v>
      </c>
      <c r="X36" s="1815"/>
      <c r="Y36" s="3174"/>
      <c r="Z36" s="1816" t="str">
        <f t="shared" si="18"/>
        <v>公共部分装修</v>
      </c>
      <c r="AA36" s="1813">
        <f t="shared" si="15"/>
        <v>1</v>
      </c>
      <c r="AB36" s="1813">
        <f t="shared" si="16"/>
        <v>1</v>
      </c>
      <c r="AC36" s="1813">
        <f t="shared" si="17"/>
        <v>1</v>
      </c>
    </row>
    <row r="37" spans="1:29" s="117" customFormat="1" ht="15">
      <c r="A37" s="472"/>
      <c r="B37" s="421" t="s">
        <v>2558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45"/>
      <c r="Q37" s="1797" t="str">
        <f t="shared" si="11"/>
        <v>成新度</v>
      </c>
      <c r="R37" s="769" t="s">
        <v>21</v>
      </c>
      <c r="S37" s="770" t="e">
        <f t="shared" si="12"/>
        <v>#N/A</v>
      </c>
      <c r="T37" s="769" t="s">
        <v>21</v>
      </c>
      <c r="U37" s="770" t="e">
        <f t="shared" si="13"/>
        <v>#N/A</v>
      </c>
      <c r="V37" s="769" t="s">
        <v>21</v>
      </c>
      <c r="W37" s="770" t="e">
        <f t="shared" si="14"/>
        <v>#N/A</v>
      </c>
      <c r="X37" s="771"/>
      <c r="Y37" s="3174"/>
      <c r="Z37" s="55" t="str">
        <f t="shared" si="18"/>
        <v>成新度</v>
      </c>
      <c r="AA37" s="772" t="e">
        <f t="shared" si="15"/>
        <v>#N/A</v>
      </c>
      <c r="AB37" s="772" t="e">
        <f t="shared" si="16"/>
        <v>#N/A</v>
      </c>
      <c r="AC37" s="772" t="e">
        <f t="shared" si="17"/>
        <v>#N/A</v>
      </c>
    </row>
    <row r="38" spans="1:29" ht="15">
      <c r="A38" s="471"/>
      <c r="B38" s="421" t="s">
        <v>2559</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245" t="s">
        <v>2553</v>
      </c>
      <c r="Q38" s="1812" t="str">
        <f t="shared" si="11"/>
        <v>物业管理</v>
      </c>
      <c r="R38" s="773" t="s">
        <v>21</v>
      </c>
      <c r="S38" s="774">
        <f t="shared" si="12"/>
        <v>100</v>
      </c>
      <c r="T38" s="773" t="s">
        <v>21</v>
      </c>
      <c r="U38" s="774">
        <f t="shared" si="13"/>
        <v>100</v>
      </c>
      <c r="V38" s="773" t="s">
        <v>21</v>
      </c>
      <c r="W38" s="774">
        <f t="shared" si="14"/>
        <v>100</v>
      </c>
      <c r="X38" s="1815"/>
      <c r="Y38" s="3174" t="s">
        <v>2553</v>
      </c>
      <c r="Z38" s="1816" t="str">
        <f t="shared" si="18"/>
        <v>物业管理</v>
      </c>
      <c r="AA38" s="1813">
        <f t="shared" si="15"/>
        <v>1</v>
      </c>
      <c r="AB38" s="1813">
        <f t="shared" si="16"/>
        <v>1</v>
      </c>
      <c r="AC38" s="1813">
        <f t="shared" si="17"/>
        <v>1</v>
      </c>
    </row>
    <row r="39" spans="1:29" ht="15">
      <c r="A39" s="471"/>
      <c r="B39" s="421" t="s">
        <v>2560</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245"/>
      <c r="Q39" s="1812" t="str">
        <f t="shared" si="11"/>
        <v>市政基础设施</v>
      </c>
      <c r="R39" s="773" t="s">
        <v>21</v>
      </c>
      <c r="S39" s="774">
        <f t="shared" si="12"/>
        <v>100</v>
      </c>
      <c r="T39" s="773" t="s">
        <v>21</v>
      </c>
      <c r="U39" s="774">
        <f t="shared" si="13"/>
        <v>100</v>
      </c>
      <c r="V39" s="773" t="s">
        <v>21</v>
      </c>
      <c r="W39" s="774">
        <f t="shared" si="14"/>
        <v>100</v>
      </c>
      <c r="X39" s="1815"/>
      <c r="Y39" s="3174"/>
      <c r="Z39" s="1816" t="str">
        <f t="shared" si="18"/>
        <v>市政基础设施</v>
      </c>
      <c r="AA39" s="1813">
        <f t="shared" si="15"/>
        <v>1</v>
      </c>
      <c r="AB39" s="1813">
        <f t="shared" si="16"/>
        <v>1</v>
      </c>
      <c r="AC39" s="1813">
        <f t="shared" si="17"/>
        <v>1</v>
      </c>
    </row>
    <row r="40" spans="1:29" ht="15">
      <c r="A40" s="471"/>
      <c r="B40" s="421" t="s">
        <v>2561</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245"/>
      <c r="Q40" s="1812" t="str">
        <f t="shared" si="11"/>
        <v>房型</v>
      </c>
      <c r="R40" s="773" t="s">
        <v>21</v>
      </c>
      <c r="S40" s="774">
        <f t="shared" si="12"/>
        <v>100</v>
      </c>
      <c r="T40" s="773" t="s">
        <v>21</v>
      </c>
      <c r="U40" s="774">
        <f t="shared" si="13"/>
        <v>100</v>
      </c>
      <c r="V40" s="773" t="s">
        <v>21</v>
      </c>
      <c r="W40" s="774">
        <f t="shared" si="14"/>
        <v>100</v>
      </c>
      <c r="X40" s="1815"/>
      <c r="Y40" s="3174"/>
      <c r="Z40" s="1816" t="str">
        <f t="shared" si="18"/>
        <v>房型</v>
      </c>
      <c r="AA40" s="1813">
        <f t="shared" si="15"/>
        <v>1</v>
      </c>
      <c r="AB40" s="1813">
        <f t="shared" si="16"/>
        <v>1</v>
      </c>
      <c r="AC40" s="1813">
        <f t="shared" si="17"/>
        <v>1</v>
      </c>
    </row>
    <row r="41" spans="1:29" s="470" customFormat="1" ht="28.5">
      <c r="A41" s="467"/>
      <c r="B41" s="421" t="s">
        <v>2562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40"/>
      <c r="M41" s="1143"/>
      <c r="N41" s="1143"/>
      <c r="O41" s="1143"/>
      <c r="P41" s="3245"/>
      <c r="Q41" s="775" t="str">
        <f t="shared" si="11"/>
        <v>单套/主力户型建筑面积</v>
      </c>
      <c r="R41" s="776" t="s">
        <v>21</v>
      </c>
      <c r="S41" s="777">
        <f t="shared" si="12"/>
        <v>100</v>
      </c>
      <c r="T41" s="776" t="s">
        <v>21</v>
      </c>
      <c r="U41" s="777">
        <f t="shared" si="13"/>
        <v>100</v>
      </c>
      <c r="V41" s="776" t="s">
        <v>21</v>
      </c>
      <c r="W41" s="777">
        <f t="shared" si="14"/>
        <v>100</v>
      </c>
      <c r="X41" s="778"/>
      <c r="Y41" s="3174"/>
      <c r="Z41" s="779" t="str">
        <f t="shared" si="18"/>
        <v>单套/主力户型建筑面积</v>
      </c>
      <c r="AA41" s="1813">
        <f t="shared" si="15"/>
        <v>1</v>
      </c>
      <c r="AB41" s="1813">
        <f t="shared" si="16"/>
        <v>1</v>
      </c>
      <c r="AC41" s="1813">
        <f t="shared" si="17"/>
        <v>1</v>
      </c>
    </row>
    <row r="42" spans="1:29" ht="15">
      <c r="A42" s="471"/>
      <c r="B42" s="421" t="s">
        <v>2563</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245"/>
      <c r="Q42" s="1812" t="str">
        <f t="shared" si="11"/>
        <v>内部装修</v>
      </c>
      <c r="R42" s="773" t="s">
        <v>21</v>
      </c>
      <c r="S42" s="774">
        <f t="shared" si="12"/>
        <v>100</v>
      </c>
      <c r="T42" s="773" t="s">
        <v>21</v>
      </c>
      <c r="U42" s="774">
        <f t="shared" si="13"/>
        <v>100</v>
      </c>
      <c r="V42" s="773" t="s">
        <v>21</v>
      </c>
      <c r="W42" s="774">
        <f t="shared" si="14"/>
        <v>100</v>
      </c>
      <c r="X42" s="1815"/>
      <c r="Y42" s="3174"/>
      <c r="Z42" s="1816" t="str">
        <f t="shared" si="18"/>
        <v>内部装修</v>
      </c>
      <c r="AA42" s="1813">
        <f t="shared" si="15"/>
        <v>1</v>
      </c>
      <c r="AB42" s="1813">
        <f t="shared" si="16"/>
        <v>1</v>
      </c>
      <c r="AC42" s="1813">
        <f t="shared" si="17"/>
        <v>1</v>
      </c>
    </row>
    <row r="43" spans="1:29" ht="15">
      <c r="A43" s="471"/>
      <c r="B43" s="421" t="s">
        <v>2564</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245"/>
      <c r="Q43" s="1812" t="str">
        <f t="shared" si="11"/>
        <v>内部装修维护情况</v>
      </c>
      <c r="R43" s="773" t="s">
        <v>21</v>
      </c>
      <c r="S43" s="774">
        <f t="shared" si="12"/>
        <v>100</v>
      </c>
      <c r="T43" s="773" t="s">
        <v>21</v>
      </c>
      <c r="U43" s="774">
        <f t="shared" si="13"/>
        <v>100</v>
      </c>
      <c r="V43" s="773" t="s">
        <v>21</v>
      </c>
      <c r="W43" s="774">
        <f t="shared" si="14"/>
        <v>100</v>
      </c>
      <c r="X43" s="1815"/>
      <c r="Y43" s="3174"/>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45"/>
      <c r="Q44" s="1797">
        <f t="shared" si="11"/>
        <v>111</v>
      </c>
      <c r="R44" s="769" t="s">
        <v>21</v>
      </c>
      <c r="S44" s="770">
        <f t="shared" si="12"/>
        <v>100</v>
      </c>
      <c r="T44" s="769" t="s">
        <v>21</v>
      </c>
      <c r="U44" s="770">
        <f t="shared" si="13"/>
        <v>100</v>
      </c>
      <c r="V44" s="769" t="s">
        <v>21</v>
      </c>
      <c r="W44" s="770">
        <f t="shared" si="14"/>
        <v>100</v>
      </c>
      <c r="X44" s="771"/>
      <c r="Y44" s="317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45"/>
      <c r="Q45" s="1812">
        <f t="shared" si="11"/>
        <v>111</v>
      </c>
      <c r="R45" s="773" t="s">
        <v>21</v>
      </c>
      <c r="S45" s="774">
        <f t="shared" si="12"/>
        <v>100</v>
      </c>
      <c r="T45" s="773" t="s">
        <v>21</v>
      </c>
      <c r="U45" s="774">
        <f t="shared" si="13"/>
        <v>100</v>
      </c>
      <c r="V45" s="773" t="s">
        <v>21</v>
      </c>
      <c r="W45" s="774">
        <f t="shared" si="14"/>
        <v>100</v>
      </c>
      <c r="X45" s="1815"/>
      <c r="Y45" s="3174"/>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46"/>
      <c r="Q46" s="1812">
        <f t="shared" si="11"/>
        <v>111</v>
      </c>
      <c r="R46" s="773" t="s">
        <v>20</v>
      </c>
      <c r="S46" s="774">
        <f t="shared" si="12"/>
        <v>100</v>
      </c>
      <c r="T46" s="773" t="s">
        <v>20</v>
      </c>
      <c r="U46" s="774">
        <f t="shared" si="13"/>
        <v>100</v>
      </c>
      <c r="V46" s="773" t="s">
        <v>20</v>
      </c>
      <c r="W46" s="774">
        <f t="shared" si="14"/>
        <v>100</v>
      </c>
      <c r="X46" s="1815"/>
      <c r="Y46" s="3247"/>
      <c r="Z46" s="1816">
        <f t="shared" si="18"/>
        <v>111</v>
      </c>
      <c r="AA46" s="1813">
        <f t="shared" si="15"/>
        <v>1</v>
      </c>
      <c r="AB46" s="1813">
        <f t="shared" si="16"/>
        <v>1</v>
      </c>
      <c r="AC46" s="1813">
        <f t="shared" si="17"/>
        <v>1</v>
      </c>
    </row>
    <row r="47" spans="1:29" ht="15">
      <c r="A47" s="478" t="s">
        <v>2565</v>
      </c>
      <c r="B47" s="479"/>
      <c r="C47" s="1409" t="s">
        <v>19</v>
      </c>
      <c r="D47" s="1410"/>
      <c r="E47" s="1411"/>
      <c r="F47" s="1412"/>
      <c r="G47" s="1413"/>
      <c r="H47" s="1414"/>
      <c r="I47" s="1411"/>
      <c r="J47" s="1414"/>
      <c r="K47" s="2621"/>
      <c r="L47" s="1145"/>
      <c r="M47" s="1146"/>
      <c r="N47" s="1133"/>
      <c r="O47" s="1146"/>
      <c r="P47" s="3168" t="str">
        <f>A47</f>
        <v>成交单价（元/平方米）</v>
      </c>
      <c r="Q47" s="3168"/>
      <c r="R47" s="3243">
        <f>E47</f>
        <v>0</v>
      </c>
      <c r="S47" s="3243"/>
      <c r="T47" s="3243">
        <f>G47</f>
        <v>0</v>
      </c>
      <c r="U47" s="3243"/>
      <c r="V47" s="3243">
        <f>I47</f>
        <v>0</v>
      </c>
      <c r="W47" s="3243"/>
      <c r="X47" s="758"/>
      <c r="Y47" s="780"/>
      <c r="Z47" s="758"/>
      <c r="AA47" s="758"/>
      <c r="AB47" s="758"/>
      <c r="AC47" s="758"/>
    </row>
    <row r="48" spans="1:29" ht="15.75" thickBot="1">
      <c r="A48" s="485" t="s">
        <v>2566</v>
      </c>
      <c r="B48" s="486"/>
      <c r="C48" s="1415" t="e">
        <f>R49</f>
        <v>#DIV/0!</v>
      </c>
      <c r="D48" s="1416"/>
      <c r="E48" s="1417" t="e">
        <f>R48</f>
        <v>#DIV/0!</v>
      </c>
      <c r="F48" s="1417"/>
      <c r="G48" s="1415" t="e">
        <f>T48</f>
        <v>#DIV/0!</v>
      </c>
      <c r="H48" s="1416"/>
      <c r="I48" s="1417" t="e">
        <f>V48</f>
        <v>#DIV/0!</v>
      </c>
      <c r="J48" s="1416"/>
      <c r="K48" s="2622"/>
      <c r="L48" s="1145"/>
      <c r="M48" s="1146"/>
      <c r="N48" s="1146"/>
      <c r="O48" s="1146"/>
      <c r="P48" s="3168" t="str">
        <f>A48</f>
        <v>比较价值（元/平方米）</v>
      </c>
      <c r="Q48" s="3168"/>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5.75" thickBot="1">
      <c r="A49" s="491" t="s">
        <v>2567</v>
      </c>
      <c r="B49" s="492"/>
      <c r="C49" s="1418" t="e">
        <f>R49</f>
        <v>#DIV/0!</v>
      </c>
      <c r="D49" s="1419"/>
      <c r="E49" s="1419"/>
      <c r="F49" s="1419"/>
      <c r="G49" s="1419"/>
      <c r="H49" s="1419"/>
      <c r="I49" s="1419"/>
      <c r="J49" s="1419"/>
      <c r="K49" s="2623"/>
      <c r="L49" s="1145"/>
      <c r="M49" s="1146"/>
      <c r="N49" s="1146"/>
      <c r="O49" s="1146"/>
      <c r="P49" s="3165" t="str">
        <f>A49</f>
        <v>估价对象XX用房的比较价值（楼面单价，元/平方米）</v>
      </c>
      <c r="Q49" s="3166"/>
      <c r="R49" s="3242" t="e">
        <f>IF(F1="售价",ROUND(AVERAGE(R48:V48),0),ROUND(AVERAGE(R48:V48),1))</f>
        <v>#DIV/0!</v>
      </c>
      <c r="S49" s="3242"/>
      <c r="T49" s="3242"/>
      <c r="U49" s="3242"/>
      <c r="V49" s="3242"/>
      <c r="W49" s="324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2571</v>
      </c>
      <c r="B57" s="758"/>
      <c r="C57" s="763"/>
      <c r="D57" s="763"/>
      <c r="E57" s="763"/>
      <c r="F57" s="764"/>
      <c r="G57" s="764"/>
      <c r="H57" s="763"/>
      <c r="I57" s="763"/>
      <c r="J57" s="763"/>
      <c r="K57" s="1162"/>
      <c r="L57" s="1163"/>
      <c r="M57" s="1161"/>
      <c r="N57" s="1161"/>
      <c r="O57" s="1161"/>
      <c r="P57" s="2626"/>
      <c r="Q57" s="503"/>
    </row>
    <row r="58" spans="1:29" s="507" customFormat="1" ht="15">
      <c r="A58" s="504" t="s">
        <v>2572</v>
      </c>
      <c r="B58" s="505"/>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2573</v>
      </c>
      <c r="B60" s="515"/>
      <c r="C60" s="516"/>
      <c r="D60" s="517"/>
      <c r="E60" s="517"/>
      <c r="F60" s="517"/>
      <c r="G60" s="517"/>
      <c r="H60" s="517"/>
      <c r="I60" s="517"/>
      <c r="J60" s="517"/>
      <c r="K60" s="517"/>
      <c r="L60" s="517"/>
      <c r="M60" s="518"/>
      <c r="N60" s="517"/>
      <c r="O60" s="518"/>
      <c r="P60" s="2628"/>
      <c r="Q60" s="503"/>
    </row>
    <row r="61" spans="1:29" s="117" customFormat="1" ht="15">
      <c r="A61" s="520" t="s">
        <v>2574</v>
      </c>
      <c r="B61" s="509"/>
      <c r="C61" s="521" t="s">
        <v>2575</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2576</v>
      </c>
      <c r="B63" s="527" t="s">
        <v>2542</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2089</v>
      </c>
      <c r="C82" s="538" t="s">
        <v>2592</v>
      </c>
      <c r="D82" s="538" t="s">
        <v>2593</v>
      </c>
      <c r="E82" s="538" t="s">
        <v>2594</v>
      </c>
      <c r="F82" s="538" t="s">
        <v>2595</v>
      </c>
      <c r="G82" s="538" t="s">
        <v>2596</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2598</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2599</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2551</v>
      </c>
      <c r="B100" s="527" t="s">
        <v>2600</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2602</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2603</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2604</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2605</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2606</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2607</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2562</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2608</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2610</v>
      </c>
    </row>
    <row r="137" spans="1:17" ht="15">
      <c r="B137" s="2638" t="s">
        <v>2611</v>
      </c>
      <c r="C137" s="2639"/>
      <c r="D137" s="2639"/>
      <c r="E137" s="2639"/>
      <c r="F137" s="2639"/>
      <c r="G137" s="2640"/>
      <c r="H137" s="2641"/>
      <c r="I137" s="2642" t="s">
        <v>2612</v>
      </c>
      <c r="J137" s="2639"/>
      <c r="K137" s="2643"/>
    </row>
    <row r="138" spans="1:17" ht="15">
      <c r="B138" s="2644"/>
      <c r="C138" s="145" t="s">
        <v>2613</v>
      </c>
      <c r="D138" s="145" t="s">
        <v>2614</v>
      </c>
      <c r="E138" s="2645" t="s">
        <v>2615</v>
      </c>
      <c r="F138" s="2646" t="s">
        <v>2616</v>
      </c>
      <c r="G138" s="145" t="s">
        <v>2614</v>
      </c>
      <c r="H138" s="146" t="s">
        <v>2615</v>
      </c>
      <c r="I138" s="2647"/>
      <c r="J138" s="145" t="s">
        <v>2617</v>
      </c>
      <c r="K138" s="146" t="s">
        <v>2618</v>
      </c>
    </row>
    <row r="139" spans="1:17" ht="15">
      <c r="B139" s="1086">
        <v>6</v>
      </c>
      <c r="C139" s="1087">
        <v>96</v>
      </c>
      <c r="D139" s="2648" t="s">
        <v>2619</v>
      </c>
      <c r="E139" s="1088">
        <v>100</v>
      </c>
      <c r="F139" s="1089">
        <v>102.5</v>
      </c>
      <c r="G139" s="2648" t="s">
        <v>2619</v>
      </c>
      <c r="H139" s="1090">
        <v>105</v>
      </c>
      <c r="I139" s="2649" t="s">
        <v>2620</v>
      </c>
      <c r="J139" s="1087">
        <v>20</v>
      </c>
      <c r="K139" s="1091">
        <f>C145/(J139-2)</f>
        <v>4.0555555555555553E-3</v>
      </c>
    </row>
    <row r="140" spans="1:17" ht="15">
      <c r="B140" s="1092">
        <v>5</v>
      </c>
      <c r="C140" s="1093">
        <v>100</v>
      </c>
      <c r="D140" s="1093"/>
      <c r="E140" s="1094"/>
      <c r="F140" s="1095">
        <v>102</v>
      </c>
      <c r="G140" s="1093"/>
      <c r="H140" s="1096"/>
      <c r="I140" s="2650" t="s">
        <v>2621</v>
      </c>
      <c r="J140" s="314">
        <f>ROUNDUP((J139-1)/2,0)</f>
        <v>10</v>
      </c>
      <c r="K140" s="1097">
        <v>100</v>
      </c>
    </row>
    <row r="141" spans="1:17" ht="15">
      <c r="B141" s="1092">
        <v>4</v>
      </c>
      <c r="C141" s="1093">
        <v>102</v>
      </c>
      <c r="D141" s="1093"/>
      <c r="E141" s="1094"/>
      <c r="F141" s="1095">
        <v>101.5</v>
      </c>
      <c r="G141" s="1093"/>
      <c r="H141" s="1096"/>
      <c r="I141" s="2650" t="s">
        <v>2622</v>
      </c>
      <c r="J141" s="314">
        <v>1</v>
      </c>
      <c r="K141" s="1098">
        <f>ROUND(100+(J141-J140)*K139*100,1)</f>
        <v>96.4</v>
      </c>
    </row>
    <row r="142" spans="1:17" ht="15">
      <c r="B142" s="1092">
        <v>3</v>
      </c>
      <c r="C142" s="1093">
        <v>103</v>
      </c>
      <c r="D142" s="1093"/>
      <c r="E142" s="1094"/>
      <c r="F142" s="1095">
        <v>101</v>
      </c>
      <c r="G142" s="1093"/>
      <c r="H142" s="1096"/>
      <c r="I142" s="2650" t="s">
        <v>2623</v>
      </c>
      <c r="J142" s="314">
        <f>J139</f>
        <v>20</v>
      </c>
      <c r="K142" s="1099">
        <v>95</v>
      </c>
    </row>
    <row r="143" spans="1:17" ht="15">
      <c r="B143" s="1092">
        <v>2</v>
      </c>
      <c r="C143" s="1093">
        <v>100</v>
      </c>
      <c r="D143" s="1093"/>
      <c r="E143" s="1094"/>
      <c r="F143" s="1095">
        <v>100.5</v>
      </c>
      <c r="G143" s="1093"/>
      <c r="H143" s="1096"/>
      <c r="I143" s="2650" t="s">
        <v>2624</v>
      </c>
      <c r="J143" s="1093">
        <v>15</v>
      </c>
      <c r="K143" s="1098">
        <f>ROUND(100+(J143-J140)*K139*100,1)</f>
        <v>102</v>
      </c>
    </row>
    <row r="144" spans="1:17" ht="15">
      <c r="B144" s="1092">
        <v>1</v>
      </c>
      <c r="C144" s="1093">
        <v>98</v>
      </c>
      <c r="D144" s="2651" t="s">
        <v>2625</v>
      </c>
      <c r="E144" s="1094">
        <v>102</v>
      </c>
      <c r="F144" s="1100">
        <v>100</v>
      </c>
      <c r="G144" s="2651" t="s">
        <v>2625</v>
      </c>
      <c r="H144" s="1096">
        <v>105</v>
      </c>
      <c r="I144" s="2650" t="s">
        <v>2624</v>
      </c>
      <c r="J144" s="1093">
        <v>18</v>
      </c>
      <c r="K144" s="1098">
        <f>ROUND(100+(J144-J140)*K139*100,1)</f>
        <v>103.2</v>
      </c>
    </row>
    <row r="145" spans="2:11" ht="15.75" thickBot="1">
      <c r="B145" s="2652" t="s">
        <v>2626</v>
      </c>
      <c r="C145" s="1101">
        <f>ROUND(MAX(C139:C144)/MIN(C139:C144)-1,3)</f>
        <v>7.2999999999999995E-2</v>
      </c>
      <c r="D145" s="1102"/>
      <c r="E145" s="1102"/>
      <c r="F145" s="2653" t="s">
        <v>2627</v>
      </c>
      <c r="G145" s="2654"/>
      <c r="H145" s="2655"/>
      <c r="I145" s="2656" t="s">
        <v>2624</v>
      </c>
      <c r="J145" s="1103">
        <v>8</v>
      </c>
      <c r="K145" s="1104">
        <f>ROUND(100+(J145-J140)*K139*100,1)</f>
        <v>99.2</v>
      </c>
    </row>
    <row r="147" spans="2:11">
      <c r="B147" s="2637" t="s">
        <v>2628</v>
      </c>
    </row>
    <row r="148" spans="2:11">
      <c r="B148" s="2637"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582" t="s">
        <v>2630</v>
      </c>
      <c r="C1" s="1636" t="s">
        <v>2518</v>
      </c>
      <c r="D1" s="1623"/>
      <c r="E1" s="2657"/>
      <c r="F1" s="2584"/>
      <c r="G1" s="1633" t="s">
        <v>2631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2315</v>
      </c>
      <c r="B2" s="1420" t="e">
        <f ca="1">IF(C2="——",ROUND(C49*D3/10000,0),ROUND(C49*D3/10000,0)-D2)</f>
        <v>#DIV/0!</v>
      </c>
      <c r="C2" s="2586"/>
      <c r="D2" s="1367" t="e">
        <f ca="1">SUMIF(INDIRECT("'"&amp;F2&amp;"'"&amp;"!A:A"),"承租人权益价值",INDIRECT("'"&amp;F2&amp;"'"&amp;"!c:c"))</f>
        <v>#REF!</v>
      </c>
      <c r="E2" s="2587" t="s">
        <v>2316</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2317</v>
      </c>
      <c r="B3" s="608" t="e">
        <f ca="1">IF(C2="——",C49,ROUND(B2*10000/D3,0))</f>
        <v>#DIV/0!</v>
      </c>
      <c r="C3" s="399" t="s">
        <v>2632</v>
      </c>
      <c r="D3" s="398">
        <f>IF(D1="",'数据-汇总表'!E3,SUMIF('数据-汇总表'!$C19:$C33,D1,'数据-汇总表'!$E19:$E33))</f>
        <v>17933.88</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2633</v>
      </c>
      <c r="B4" s="401"/>
      <c r="C4" s="3178" t="s">
        <v>2634</v>
      </c>
      <c r="D4" s="3179"/>
      <c r="E4" s="3180" t="s">
        <v>2635</v>
      </c>
      <c r="F4" s="3181"/>
      <c r="G4" s="3178" t="s">
        <v>2636</v>
      </c>
      <c r="H4" s="3179"/>
      <c r="I4" s="3178" t="s">
        <v>2637</v>
      </c>
      <c r="J4" s="3179"/>
      <c r="K4" s="609" t="s">
        <v>2638</v>
      </c>
      <c r="L4" s="1132"/>
      <c r="M4" s="1133"/>
      <c r="N4" s="1133"/>
      <c r="O4" s="1133"/>
      <c r="P4" s="3182" t="s">
        <v>2639</v>
      </c>
      <c r="Q4" s="3183"/>
      <c r="R4" s="3195" t="s">
        <v>2635</v>
      </c>
      <c r="S4" s="3196"/>
      <c r="T4" s="3195" t="s">
        <v>2636</v>
      </c>
      <c r="U4" s="3196"/>
      <c r="V4" s="3170" t="s">
        <v>2637</v>
      </c>
      <c r="W4" s="3170"/>
      <c r="X4" s="1815"/>
      <c r="Y4" s="3195" t="s">
        <v>2639</v>
      </c>
      <c r="Z4" s="3196"/>
      <c r="AA4" s="3175" t="s">
        <v>2635</v>
      </c>
      <c r="AB4" s="3170" t="s">
        <v>2636</v>
      </c>
      <c r="AC4" s="3175" t="s">
        <v>2637</v>
      </c>
    </row>
    <row r="5" spans="1:29" ht="15">
      <c r="A5" s="403"/>
      <c r="B5" s="404"/>
      <c r="C5" s="3199" t="s">
        <v>2530</v>
      </c>
      <c r="D5" s="3200"/>
      <c r="E5" s="3188" t="s">
        <v>2531</v>
      </c>
      <c r="F5" s="3189"/>
      <c r="G5" s="3199" t="s">
        <v>2532</v>
      </c>
      <c r="H5" s="3200"/>
      <c r="I5" s="3199" t="s">
        <v>2533</v>
      </c>
      <c r="J5" s="3200"/>
      <c r="K5" s="609"/>
      <c r="L5" s="1132"/>
      <c r="M5" s="1133"/>
      <c r="N5" s="1133"/>
      <c r="O5" s="1133"/>
      <c r="P5" s="3184"/>
      <c r="Q5" s="3185"/>
      <c r="R5" s="3197"/>
      <c r="S5" s="3198"/>
      <c r="T5" s="3197"/>
      <c r="U5" s="3198"/>
      <c r="V5" s="3170"/>
      <c r="W5" s="3170"/>
      <c r="X5" s="1815"/>
      <c r="Y5" s="3197"/>
      <c r="Z5" s="3198"/>
      <c r="AA5" s="3176"/>
      <c r="AB5" s="3170"/>
      <c r="AC5" s="3176"/>
    </row>
    <row r="6" spans="1:29" ht="15.75" thickBot="1">
      <c r="A6" s="405"/>
      <c r="B6" s="406"/>
      <c r="C6" s="3238" t="s">
        <v>2534</v>
      </c>
      <c r="D6" s="3239"/>
      <c r="E6" s="3240" t="s">
        <v>2534</v>
      </c>
      <c r="F6" s="3241"/>
      <c r="G6" s="3238" t="s">
        <v>2534</v>
      </c>
      <c r="H6" s="3239"/>
      <c r="I6" s="3238" t="s">
        <v>2534</v>
      </c>
      <c r="J6" s="3239"/>
      <c r="K6" s="609" t="s">
        <v>2535</v>
      </c>
      <c r="L6" s="1132"/>
      <c r="M6" s="1133"/>
      <c r="N6" s="1133"/>
      <c r="O6" s="1133"/>
      <c r="P6" s="3186"/>
      <c r="Q6" s="3187"/>
      <c r="R6" s="3197"/>
      <c r="S6" s="3198"/>
      <c r="T6" s="3206"/>
      <c r="U6" s="3207"/>
      <c r="V6" s="3170"/>
      <c r="W6" s="3170"/>
      <c r="X6" s="1815"/>
      <c r="Y6" s="3206"/>
      <c r="Z6" s="3207"/>
      <c r="AA6" s="3177"/>
      <c r="AB6" s="3170"/>
      <c r="AC6" s="3177"/>
    </row>
    <row r="7" spans="1:29" s="117" customFormat="1" ht="15.75" thickBot="1">
      <c r="A7" s="407" t="s">
        <v>2536</v>
      </c>
      <c r="B7" s="408"/>
      <c r="C7" s="409">
        <f>'数据-取费表'!B2</f>
        <v>43223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0" t="s">
        <v>2537</v>
      </c>
      <c r="Q7" s="3203"/>
      <c r="R7" s="769" t="s">
        <v>17</v>
      </c>
      <c r="S7" s="770">
        <f t="shared" ref="S7:S15" si="0">F7</f>
        <v>0</v>
      </c>
      <c r="T7" s="769" t="s">
        <v>17</v>
      </c>
      <c r="U7" s="770">
        <f t="shared" ref="U7:U15" si="1">H7</f>
        <v>0</v>
      </c>
      <c r="V7" s="769" t="s">
        <v>17</v>
      </c>
      <c r="W7" s="770">
        <f t="shared" ref="W7:W15" si="2">J7</f>
        <v>0</v>
      </c>
      <c r="X7" s="771"/>
      <c r="Y7" s="3190" t="s">
        <v>2537</v>
      </c>
      <c r="Z7" s="3191"/>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0" t="s">
        <v>2540</v>
      </c>
      <c r="Q8" s="3191"/>
      <c r="R8" s="769" t="s">
        <v>17</v>
      </c>
      <c r="S8" s="770">
        <f t="shared" si="0"/>
        <v>0</v>
      </c>
      <c r="T8" s="769" t="s">
        <v>17</v>
      </c>
      <c r="U8" s="770">
        <f t="shared" si="1"/>
        <v>0</v>
      </c>
      <c r="V8" s="769" t="s">
        <v>17</v>
      </c>
      <c r="W8" s="770">
        <f t="shared" si="2"/>
        <v>0</v>
      </c>
      <c r="X8" s="771"/>
      <c r="Y8" s="3190" t="s">
        <v>2540</v>
      </c>
      <c r="Z8" s="3191"/>
      <c r="AA8" s="772" t="e">
        <f t="shared" ref="AA8:AA46" si="3">D8/F8</f>
        <v>#DIV/0!</v>
      </c>
      <c r="AB8" s="772" t="e">
        <f t="shared" ref="AB8:AB46" si="4">D8/H8</f>
        <v>#DIV/0!</v>
      </c>
      <c r="AC8" s="772" t="e">
        <f t="shared" ref="AC8:AC46" si="5">D8/J8</f>
        <v>#DIV/0!</v>
      </c>
    </row>
    <row r="9" spans="1:29" s="117" customFormat="1">
      <c r="A9" s="414" t="s">
        <v>2541</v>
      </c>
      <c r="B9" s="71" t="s">
        <v>2542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3" t="s">
        <v>2543</v>
      </c>
      <c r="Q9" s="1797"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3"/>
      <c r="Q10" s="1797"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3"/>
      <c r="Q11" s="1797"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3"/>
      <c r="Q12" s="1797">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3"/>
      <c r="Q13" s="1797">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3"/>
      <c r="Q14" s="1797">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15">
      <c r="A15" s="439" t="s">
        <v>2547</v>
      </c>
      <c r="B15" s="69" t="s">
        <v>2641</v>
      </c>
      <c r="C15" s="2603">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8" t="s">
        <v>2548</v>
      </c>
      <c r="Q15" s="1812" t="str">
        <f t="shared" si="6"/>
        <v>商业繁华度</v>
      </c>
      <c r="R15" s="773" t="s">
        <v>17</v>
      </c>
      <c r="S15" s="774">
        <f t="shared" si="0"/>
        <v>100</v>
      </c>
      <c r="T15" s="773" t="s">
        <v>17</v>
      </c>
      <c r="U15" s="774">
        <f t="shared" si="1"/>
        <v>100</v>
      </c>
      <c r="V15" s="773" t="s">
        <v>17</v>
      </c>
      <c r="W15" s="774">
        <f t="shared" si="2"/>
        <v>100</v>
      </c>
      <c r="X15" s="1815"/>
      <c r="Y15" s="3171" t="s">
        <v>2548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49"/>
      <c r="Q16" s="1812"/>
      <c r="R16" s="773"/>
      <c r="S16" s="774"/>
      <c r="T16" s="773"/>
      <c r="U16" s="774"/>
      <c r="V16" s="773"/>
      <c r="W16" s="774"/>
      <c r="X16" s="1815"/>
      <c r="Y16" s="3172"/>
      <c r="Z16" s="1816"/>
      <c r="AA16" s="1813">
        <v>1</v>
      </c>
      <c r="AB16" s="1813">
        <v>1</v>
      </c>
      <c r="AC16" s="1813">
        <v>1</v>
      </c>
    </row>
    <row r="17" spans="1:29" ht="15">
      <c r="A17" s="427"/>
      <c r="B17" s="450" t="s">
        <v>2088</v>
      </c>
      <c r="C17" s="2607">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9"/>
      <c r="Q17" s="1812" t="str">
        <f>B17</f>
        <v>交通便捷度</v>
      </c>
      <c r="R17" s="773" t="s">
        <v>17</v>
      </c>
      <c r="S17" s="774">
        <f>F17</f>
        <v>100</v>
      </c>
      <c r="T17" s="773" t="s">
        <v>17</v>
      </c>
      <c r="U17" s="774">
        <f>H17</f>
        <v>100</v>
      </c>
      <c r="V17" s="773" t="s">
        <v>17</v>
      </c>
      <c r="W17" s="774">
        <f>J17</f>
        <v>100</v>
      </c>
      <c r="X17" s="1815"/>
      <c r="Y17" s="3172"/>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49"/>
      <c r="Q18" s="1812"/>
      <c r="R18" s="773"/>
      <c r="S18" s="774"/>
      <c r="T18" s="773"/>
      <c r="U18" s="774"/>
      <c r="V18" s="773"/>
      <c r="W18" s="774"/>
      <c r="X18" s="1815"/>
      <c r="Y18" s="3172"/>
      <c r="Z18" s="1816"/>
      <c r="AA18" s="1813">
        <v>1</v>
      </c>
      <c r="AB18" s="1813">
        <v>1</v>
      </c>
      <c r="AC18" s="1813">
        <v>1</v>
      </c>
    </row>
    <row r="19" spans="1:29" ht="15">
      <c r="A19" s="427"/>
      <c r="B19" s="450" t="s">
        <v>2642</v>
      </c>
      <c r="C19" s="2607">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9"/>
      <c r="Q19" s="1812" t="str">
        <f>B19</f>
        <v>公共配套设施</v>
      </c>
      <c r="R19" s="773" t="s">
        <v>17</v>
      </c>
      <c r="S19" s="774">
        <f>F19</f>
        <v>100</v>
      </c>
      <c r="T19" s="773" t="s">
        <v>17</v>
      </c>
      <c r="U19" s="774">
        <f>H19</f>
        <v>100</v>
      </c>
      <c r="V19" s="773" t="s">
        <v>17</v>
      </c>
      <c r="W19" s="774">
        <f>J19</f>
        <v>100</v>
      </c>
      <c r="X19" s="1815"/>
      <c r="Y19" s="3172"/>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49"/>
      <c r="Q20" s="1812"/>
      <c r="R20" s="773"/>
      <c r="S20" s="774"/>
      <c r="T20" s="773"/>
      <c r="U20" s="774"/>
      <c r="V20" s="773"/>
      <c r="W20" s="774"/>
      <c r="X20" s="1815"/>
      <c r="Y20" s="3172"/>
      <c r="Z20" s="1816"/>
      <c r="AA20" s="1813">
        <v>1</v>
      </c>
      <c r="AB20" s="1813">
        <v>1</v>
      </c>
      <c r="AC20" s="1813">
        <v>1</v>
      </c>
    </row>
    <row r="21" spans="1:29" ht="15">
      <c r="A21" s="427"/>
      <c r="B21" s="1386" t="s">
        <v>2643</v>
      </c>
      <c r="C21" s="2607">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9"/>
      <c r="Q21" s="1812" t="str">
        <f>B21</f>
        <v>基础设施水平</v>
      </c>
      <c r="R21" s="773" t="s">
        <v>17</v>
      </c>
      <c r="S21" s="774">
        <f>F21</f>
        <v>100</v>
      </c>
      <c r="T21" s="773" t="s">
        <v>17</v>
      </c>
      <c r="U21" s="774">
        <f>H21</f>
        <v>100</v>
      </c>
      <c r="V21" s="773" t="s">
        <v>17</v>
      </c>
      <c r="W21" s="774">
        <f>J21</f>
        <v>100</v>
      </c>
      <c r="X21" s="1815"/>
      <c r="Y21" s="3172"/>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49"/>
      <c r="Q22" s="1812"/>
      <c r="R22" s="773"/>
      <c r="S22" s="774"/>
      <c r="T22" s="773"/>
      <c r="U22" s="774"/>
      <c r="V22" s="773"/>
      <c r="W22" s="774"/>
      <c r="X22" s="1815"/>
      <c r="Y22" s="3172"/>
      <c r="Z22" s="1816"/>
      <c r="AA22" s="1813">
        <v>1</v>
      </c>
      <c r="AB22" s="1813">
        <v>1</v>
      </c>
      <c r="AC22" s="1813">
        <v>1</v>
      </c>
    </row>
    <row r="23" spans="1:29" ht="15">
      <c r="A23" s="427"/>
      <c r="B23" s="450" t="s">
        <v>2091</v>
      </c>
      <c r="C23" s="2664">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9"/>
      <c r="Q23" s="1812" t="str">
        <f>B23</f>
        <v>自然及人文环境</v>
      </c>
      <c r="R23" s="773" t="s">
        <v>17</v>
      </c>
      <c r="S23" s="774">
        <f>F23</f>
        <v>100</v>
      </c>
      <c r="T23" s="773" t="s">
        <v>17</v>
      </c>
      <c r="U23" s="774">
        <f>H23</f>
        <v>100</v>
      </c>
      <c r="V23" s="773" t="s">
        <v>17</v>
      </c>
      <c r="W23" s="774">
        <f>J23</f>
        <v>100</v>
      </c>
      <c r="X23" s="1815"/>
      <c r="Y23" s="3172"/>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49"/>
      <c r="Q24" s="1812"/>
      <c r="R24" s="773"/>
      <c r="S24" s="774"/>
      <c r="T24" s="773"/>
      <c r="U24" s="774"/>
      <c r="V24" s="773"/>
      <c r="W24" s="774"/>
      <c r="X24" s="1815"/>
      <c r="Y24" s="3172"/>
      <c r="Z24" s="1816"/>
      <c r="AA24" s="1813">
        <v>1</v>
      </c>
      <c r="AB24" s="1813">
        <v>1</v>
      </c>
      <c r="AC24" s="1813">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9"/>
      <c r="Q25" s="1812" t="str">
        <f t="shared" ref="Q25:Q46" si="11">B25</f>
        <v>临街状况</v>
      </c>
      <c r="R25" s="773" t="s">
        <v>17</v>
      </c>
      <c r="S25" s="774">
        <f>F25</f>
        <v>100</v>
      </c>
      <c r="T25" s="773" t="s">
        <v>17</v>
      </c>
      <c r="U25" s="774">
        <f>H25</f>
        <v>100</v>
      </c>
      <c r="V25" s="773" t="s">
        <v>17</v>
      </c>
      <c r="W25" s="774">
        <f>J25</f>
        <v>100</v>
      </c>
      <c r="X25" s="1815"/>
      <c r="Y25" s="3172"/>
      <c r="Z25" s="1816" t="str">
        <f>Q25</f>
        <v>临街状况</v>
      </c>
      <c r="AA25" s="1813">
        <f t="shared" si="3"/>
        <v>1</v>
      </c>
      <c r="AB25" s="1813">
        <f t="shared" si="4"/>
        <v>1</v>
      </c>
      <c r="AC25" s="1813">
        <f t="shared" si="5"/>
        <v>1</v>
      </c>
    </row>
    <row r="26" spans="1:29" ht="15">
      <c r="A26" s="427"/>
      <c r="B26" s="1388" t="s">
        <v>2645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9"/>
      <c r="Q26" s="1812" t="str">
        <f t="shared" si="11"/>
        <v>平面位置/可视性</v>
      </c>
      <c r="R26" s="773" t="s">
        <v>17</v>
      </c>
      <c r="S26" s="774">
        <f>F26</f>
        <v>100</v>
      </c>
      <c r="T26" s="773" t="s">
        <v>17</v>
      </c>
      <c r="U26" s="774">
        <f>H26</f>
        <v>100</v>
      </c>
      <c r="V26" s="773" t="s">
        <v>17</v>
      </c>
      <c r="W26" s="774">
        <f>J26</f>
        <v>100</v>
      </c>
      <c r="X26" s="1815"/>
      <c r="Y26" s="3172"/>
      <c r="Z26" s="1816" t="str">
        <f>Q26</f>
        <v>平面位置/可视性</v>
      </c>
      <c r="AA26" s="1813">
        <f t="shared" si="3"/>
        <v>1</v>
      </c>
      <c r="AB26" s="1813">
        <f t="shared" si="4"/>
        <v>1</v>
      </c>
      <c r="AC26" s="1813">
        <f t="shared" si="5"/>
        <v>1</v>
      </c>
    </row>
    <row r="27" spans="1:29" s="117" customFormat="1" ht="15">
      <c r="A27" s="430"/>
      <c r="B27" s="450" t="s">
        <v>2646</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49"/>
      <c r="Q27" s="1797" t="str">
        <f t="shared" si="11"/>
        <v>人流量</v>
      </c>
      <c r="R27" s="769" t="s">
        <v>17</v>
      </c>
      <c r="S27" s="770">
        <f>F27</f>
        <v>100</v>
      </c>
      <c r="T27" s="769" t="s">
        <v>17</v>
      </c>
      <c r="U27" s="770">
        <f>H27</f>
        <v>100</v>
      </c>
      <c r="V27" s="769" t="s">
        <v>17</v>
      </c>
      <c r="W27" s="770">
        <f>J27</f>
        <v>100</v>
      </c>
      <c r="X27" s="771"/>
      <c r="Y27" s="3172"/>
      <c r="Z27" s="55" t="str">
        <f>Q27</f>
        <v>人流量</v>
      </c>
      <c r="AA27" s="1813">
        <f>D27/F27</f>
        <v>1</v>
      </c>
      <c r="AB27" s="1813">
        <f>D27/H27</f>
        <v>1</v>
      </c>
      <c r="AC27" s="1813">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9"/>
      <c r="Q29" s="1812">
        <f t="shared" si="11"/>
        <v>111</v>
      </c>
      <c r="R29" s="773" t="s">
        <v>17</v>
      </c>
      <c r="S29" s="774">
        <f t="shared" si="12"/>
        <v>100</v>
      </c>
      <c r="T29" s="773" t="s">
        <v>17</v>
      </c>
      <c r="U29" s="774">
        <f t="shared" si="13"/>
        <v>100</v>
      </c>
      <c r="V29" s="773" t="s">
        <v>17</v>
      </c>
      <c r="W29" s="774">
        <f t="shared" si="14"/>
        <v>100</v>
      </c>
      <c r="X29" s="1815"/>
      <c r="Y29" s="317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9"/>
      <c r="Q30" s="1812">
        <f t="shared" si="11"/>
        <v>111</v>
      </c>
      <c r="R30" s="773" t="s">
        <v>17</v>
      </c>
      <c r="S30" s="774">
        <f t="shared" si="12"/>
        <v>100</v>
      </c>
      <c r="T30" s="773" t="s">
        <v>17</v>
      </c>
      <c r="U30" s="774">
        <f t="shared" si="13"/>
        <v>100</v>
      </c>
      <c r="V30" s="773" t="s">
        <v>17</v>
      </c>
      <c r="W30" s="774">
        <f t="shared" si="14"/>
        <v>100</v>
      </c>
      <c r="X30" s="1815"/>
      <c r="Y30" s="317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9"/>
      <c r="Q31" s="1812">
        <f t="shared" si="11"/>
        <v>111</v>
      </c>
      <c r="R31" s="773" t="s">
        <v>17</v>
      </c>
      <c r="S31" s="774">
        <f t="shared" si="12"/>
        <v>100</v>
      </c>
      <c r="T31" s="773" t="s">
        <v>17</v>
      </c>
      <c r="U31" s="774">
        <f t="shared" si="13"/>
        <v>100</v>
      </c>
      <c r="V31" s="773" t="s">
        <v>17</v>
      </c>
      <c r="W31" s="774">
        <f t="shared" si="14"/>
        <v>100</v>
      </c>
      <c r="X31" s="1815"/>
      <c r="Y31" s="3172"/>
      <c r="Z31" s="1816">
        <f t="shared" si="15"/>
        <v>111</v>
      </c>
      <c r="AA31" s="1813">
        <f t="shared" si="3"/>
        <v>1</v>
      </c>
      <c r="AB31" s="1813">
        <f t="shared" si="4"/>
        <v>1</v>
      </c>
      <c r="AC31" s="1813">
        <f t="shared" si="5"/>
        <v>1</v>
      </c>
    </row>
    <row r="32" spans="1:29" ht="15">
      <c r="A32" s="439" t="s">
        <v>2551</v>
      </c>
      <c r="B32" s="71" t="s">
        <v>2648</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44" t="s">
        <v>2553</v>
      </c>
      <c r="Q32" s="1812" t="str">
        <f t="shared" si="11"/>
        <v>商业类型</v>
      </c>
      <c r="R32" s="773" t="s">
        <v>17</v>
      </c>
      <c r="S32" s="774">
        <f t="shared" si="12"/>
        <v>100</v>
      </c>
      <c r="T32" s="773" t="s">
        <v>17</v>
      </c>
      <c r="U32" s="774">
        <f t="shared" si="13"/>
        <v>100</v>
      </c>
      <c r="V32" s="773" t="s">
        <v>17</v>
      </c>
      <c r="W32" s="774">
        <f t="shared" si="14"/>
        <v>100</v>
      </c>
      <c r="X32" s="1815"/>
      <c r="Y32" s="3174" t="s">
        <v>2553</v>
      </c>
      <c r="Z32" s="1816" t="str">
        <f t="shared" si="15"/>
        <v>商业类型</v>
      </c>
      <c r="AA32" s="1813">
        <f t="shared" si="3"/>
        <v>1</v>
      </c>
      <c r="AB32" s="1813">
        <f t="shared" si="4"/>
        <v>1</v>
      </c>
      <c r="AC32" s="1813">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45"/>
      <c r="Q33" s="775" t="str">
        <f t="shared" si="11"/>
        <v>项目建筑规模</v>
      </c>
      <c r="R33" s="776" t="s">
        <v>17</v>
      </c>
      <c r="S33" s="777" t="e">
        <f t="shared" si="12"/>
        <v>#N/A</v>
      </c>
      <c r="T33" s="776" t="s">
        <v>17</v>
      </c>
      <c r="U33" s="777" t="e">
        <f t="shared" si="13"/>
        <v>#N/A</v>
      </c>
      <c r="V33" s="776" t="s">
        <v>17</v>
      </c>
      <c r="W33" s="777" t="e">
        <f t="shared" si="14"/>
        <v>#N/A</v>
      </c>
      <c r="X33" s="778"/>
      <c r="Y33" s="3174"/>
      <c r="Z33" s="779" t="str">
        <f t="shared" si="15"/>
        <v>项目建筑规模</v>
      </c>
      <c r="AA33" s="1813" t="e">
        <f t="shared" si="3"/>
        <v>#N/A</v>
      </c>
      <c r="AB33" s="1813" t="e">
        <f t="shared" si="4"/>
        <v>#N/A</v>
      </c>
      <c r="AC33" s="1813" t="e">
        <f t="shared" si="5"/>
        <v>#N/A</v>
      </c>
    </row>
    <row r="34" spans="1:29" ht="15">
      <c r="A34" s="471"/>
      <c r="B34" s="421" t="s">
        <v>2555</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45"/>
      <c r="Q34" s="1812" t="str">
        <f t="shared" si="11"/>
        <v>建筑结构</v>
      </c>
      <c r="R34" s="773" t="s">
        <v>17</v>
      </c>
      <c r="S34" s="774">
        <f t="shared" si="12"/>
        <v>100</v>
      </c>
      <c r="T34" s="773" t="s">
        <v>17</v>
      </c>
      <c r="U34" s="774">
        <f t="shared" si="13"/>
        <v>100</v>
      </c>
      <c r="V34" s="773" t="s">
        <v>17</v>
      </c>
      <c r="W34" s="774">
        <f t="shared" si="14"/>
        <v>100</v>
      </c>
      <c r="X34" s="1815"/>
      <c r="Y34" s="3174"/>
      <c r="Z34" s="1816" t="str">
        <f t="shared" si="15"/>
        <v>建筑结构</v>
      </c>
      <c r="AA34" s="1813">
        <f t="shared" si="3"/>
        <v>1</v>
      </c>
      <c r="AB34" s="1813">
        <f t="shared" si="4"/>
        <v>1</v>
      </c>
      <c r="AC34" s="1813">
        <f t="shared" si="5"/>
        <v>1</v>
      </c>
    </row>
    <row r="35" spans="1:29" ht="15">
      <c r="A35" s="471"/>
      <c r="B35" s="421" t="s">
        <v>2649</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45"/>
      <c r="Q35" s="1812" t="str">
        <f t="shared" si="11"/>
        <v>公共部分装修</v>
      </c>
      <c r="R35" s="773" t="s">
        <v>17</v>
      </c>
      <c r="S35" s="774">
        <f t="shared" si="12"/>
        <v>100</v>
      </c>
      <c r="T35" s="773" t="s">
        <v>17</v>
      </c>
      <c r="U35" s="774">
        <f t="shared" si="13"/>
        <v>100</v>
      </c>
      <c r="V35" s="773" t="s">
        <v>17</v>
      </c>
      <c r="W35" s="774">
        <f t="shared" si="14"/>
        <v>100</v>
      </c>
      <c r="X35" s="1815"/>
      <c r="Y35" s="3174"/>
      <c r="Z35" s="1816" t="str">
        <f t="shared" si="15"/>
        <v>公共部分装修</v>
      </c>
      <c r="AA35" s="1813">
        <f t="shared" si="3"/>
        <v>1</v>
      </c>
      <c r="AB35" s="1813">
        <f t="shared" si="4"/>
        <v>1</v>
      </c>
      <c r="AC35" s="1813">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45"/>
      <c r="Q36" s="1812" t="str">
        <f t="shared" si="11"/>
        <v>成新度</v>
      </c>
      <c r="R36" s="773" t="s">
        <v>17</v>
      </c>
      <c r="S36" s="774" t="e">
        <f t="shared" si="12"/>
        <v>#N/A</v>
      </c>
      <c r="T36" s="773" t="s">
        <v>17</v>
      </c>
      <c r="U36" s="774" t="e">
        <f t="shared" si="13"/>
        <v>#N/A</v>
      </c>
      <c r="V36" s="773" t="s">
        <v>17</v>
      </c>
      <c r="W36" s="774" t="e">
        <f t="shared" si="14"/>
        <v>#N/A</v>
      </c>
      <c r="X36" s="1815"/>
      <c r="Y36" s="3174"/>
      <c r="Z36" s="1816" t="str">
        <f t="shared" si="15"/>
        <v>成新度</v>
      </c>
      <c r="AA36" s="1813" t="e">
        <f t="shared" si="3"/>
        <v>#N/A</v>
      </c>
      <c r="AB36" s="1813" t="e">
        <f t="shared" si="4"/>
        <v>#N/A</v>
      </c>
      <c r="AC36" s="1813" t="e">
        <f t="shared" si="5"/>
        <v>#N/A</v>
      </c>
    </row>
    <row r="37" spans="1:29" s="117" customFormat="1" ht="15">
      <c r="A37" s="472"/>
      <c r="B37" s="421" t="s">
        <v>2651</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45"/>
      <c r="Q37" s="1797" t="str">
        <f t="shared" si="11"/>
        <v>市政基础设施</v>
      </c>
      <c r="R37" s="769" t="s">
        <v>17</v>
      </c>
      <c r="S37" s="770">
        <f t="shared" si="12"/>
        <v>100</v>
      </c>
      <c r="T37" s="769" t="s">
        <v>17</v>
      </c>
      <c r="U37" s="770">
        <f t="shared" si="13"/>
        <v>100</v>
      </c>
      <c r="V37" s="769" t="s">
        <v>17</v>
      </c>
      <c r="W37" s="770">
        <f t="shared" si="14"/>
        <v>100</v>
      </c>
      <c r="X37" s="771"/>
      <c r="Y37" s="3174"/>
      <c r="Z37" s="55" t="str">
        <f t="shared" si="15"/>
        <v>市政基础设施</v>
      </c>
      <c r="AA37" s="772">
        <f t="shared" si="3"/>
        <v>1</v>
      </c>
      <c r="AB37" s="772">
        <f t="shared" si="4"/>
        <v>1</v>
      </c>
      <c r="AC37" s="772">
        <f t="shared" si="5"/>
        <v>1</v>
      </c>
    </row>
    <row r="38" spans="1:29" ht="15">
      <c r="A38" s="471"/>
      <c r="B38" s="421" t="s">
        <v>2652</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45" t="s">
        <v>2553</v>
      </c>
      <c r="Q38" s="1812" t="str">
        <f t="shared" si="11"/>
        <v>业态</v>
      </c>
      <c r="R38" s="773" t="s">
        <v>17</v>
      </c>
      <c r="S38" s="774">
        <f t="shared" si="12"/>
        <v>100</v>
      </c>
      <c r="T38" s="773" t="s">
        <v>17</v>
      </c>
      <c r="U38" s="774">
        <f t="shared" si="13"/>
        <v>100</v>
      </c>
      <c r="V38" s="773" t="s">
        <v>17</v>
      </c>
      <c r="W38" s="774">
        <f t="shared" si="14"/>
        <v>100</v>
      </c>
      <c r="X38" s="1815"/>
      <c r="Y38" s="3174" t="s">
        <v>2553</v>
      </c>
      <c r="Z38" s="1816" t="str">
        <f t="shared" si="15"/>
        <v>业态</v>
      </c>
      <c r="AA38" s="1813">
        <f t="shared" si="3"/>
        <v>1</v>
      </c>
      <c r="AB38" s="1813">
        <f t="shared" si="4"/>
        <v>1</v>
      </c>
      <c r="AC38" s="1813">
        <f t="shared" si="5"/>
        <v>1</v>
      </c>
    </row>
    <row r="39" spans="1:29" ht="15">
      <c r="A39" s="471"/>
      <c r="B39" s="421" t="s">
        <v>2653</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45"/>
      <c r="Q39" s="1812" t="str">
        <f t="shared" si="11"/>
        <v>层高</v>
      </c>
      <c r="R39" s="773" t="s">
        <v>17</v>
      </c>
      <c r="S39" s="774">
        <f t="shared" si="12"/>
        <v>100</v>
      </c>
      <c r="T39" s="773" t="s">
        <v>17</v>
      </c>
      <c r="U39" s="774">
        <f t="shared" si="13"/>
        <v>100</v>
      </c>
      <c r="V39" s="773" t="s">
        <v>17</v>
      </c>
      <c r="W39" s="774">
        <f t="shared" si="14"/>
        <v>100</v>
      </c>
      <c r="X39" s="1815"/>
      <c r="Y39" s="3174"/>
      <c r="Z39" s="1816" t="str">
        <f t="shared" si="15"/>
        <v>层高</v>
      </c>
      <c r="AA39" s="1813">
        <f t="shared" si="3"/>
        <v>1</v>
      </c>
      <c r="AB39" s="1813">
        <f t="shared" si="4"/>
        <v>1</v>
      </c>
      <c r="AC39" s="1813">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45"/>
      <c r="Q40" s="1812" t="str">
        <f t="shared" si="11"/>
        <v>单套建筑面积</v>
      </c>
      <c r="R40" s="773" t="s">
        <v>17</v>
      </c>
      <c r="S40" s="774">
        <f t="shared" si="12"/>
        <v>100</v>
      </c>
      <c r="T40" s="773" t="s">
        <v>17</v>
      </c>
      <c r="U40" s="774">
        <f t="shared" si="13"/>
        <v>100</v>
      </c>
      <c r="V40" s="773" t="s">
        <v>17</v>
      </c>
      <c r="W40" s="774">
        <f t="shared" si="14"/>
        <v>100</v>
      </c>
      <c r="X40" s="1815"/>
      <c r="Y40" s="3174"/>
      <c r="Z40" s="1816" t="str">
        <f t="shared" si="15"/>
        <v>单套建筑面积</v>
      </c>
      <c r="AA40" s="1813">
        <f t="shared" si="3"/>
        <v>1</v>
      </c>
      <c r="AB40" s="1813">
        <f t="shared" si="4"/>
        <v>1</v>
      </c>
      <c r="AC40" s="1813">
        <f t="shared" si="5"/>
        <v>1</v>
      </c>
    </row>
    <row r="41" spans="1:29" s="470" customFormat="1" ht="15">
      <c r="A41" s="467"/>
      <c r="B41" s="1814"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45"/>
      <c r="Q41" s="775" t="str">
        <f t="shared" si="11"/>
        <v>进深比</v>
      </c>
      <c r="R41" s="776" t="s">
        <v>17</v>
      </c>
      <c r="S41" s="777">
        <f t="shared" si="12"/>
        <v>100</v>
      </c>
      <c r="T41" s="776" t="s">
        <v>17</v>
      </c>
      <c r="U41" s="777">
        <f t="shared" si="13"/>
        <v>100</v>
      </c>
      <c r="V41" s="776" t="s">
        <v>17</v>
      </c>
      <c r="W41" s="777">
        <f t="shared" si="14"/>
        <v>100</v>
      </c>
      <c r="X41" s="778"/>
      <c r="Y41" s="3174"/>
      <c r="Z41" s="779" t="str">
        <f t="shared" si="15"/>
        <v>进深比</v>
      </c>
      <c r="AA41" s="1813">
        <f t="shared" si="3"/>
        <v>1</v>
      </c>
      <c r="AB41" s="1813">
        <f t="shared" si="4"/>
        <v>1</v>
      </c>
      <c r="AC41" s="1813">
        <f t="shared" si="5"/>
        <v>1</v>
      </c>
    </row>
    <row r="42" spans="1:29" ht="15">
      <c r="A42" s="471"/>
      <c r="B42" s="421" t="s">
        <v>2656</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45"/>
      <c r="Q42" s="1812" t="str">
        <f t="shared" si="11"/>
        <v>内部装修</v>
      </c>
      <c r="R42" s="773" t="s">
        <v>17</v>
      </c>
      <c r="S42" s="774">
        <f t="shared" si="12"/>
        <v>100</v>
      </c>
      <c r="T42" s="773" t="s">
        <v>17</v>
      </c>
      <c r="U42" s="774">
        <f t="shared" si="13"/>
        <v>100</v>
      </c>
      <c r="V42" s="773" t="s">
        <v>17</v>
      </c>
      <c r="W42" s="774">
        <f t="shared" si="14"/>
        <v>100</v>
      </c>
      <c r="X42" s="1815"/>
      <c r="Y42" s="3174"/>
      <c r="Z42" s="1816" t="str">
        <f t="shared" si="15"/>
        <v>内部装修</v>
      </c>
      <c r="AA42" s="1813">
        <f t="shared" si="3"/>
        <v>1</v>
      </c>
      <c r="AB42" s="1813">
        <f t="shared" si="4"/>
        <v>1</v>
      </c>
      <c r="AC42" s="1813">
        <f t="shared" si="5"/>
        <v>1</v>
      </c>
    </row>
    <row r="43" spans="1:29" ht="15">
      <c r="A43" s="471"/>
      <c r="B43" s="421" t="s">
        <v>2564</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45"/>
      <c r="Q43" s="1812" t="str">
        <f t="shared" si="11"/>
        <v>内部装修维护情况</v>
      </c>
      <c r="R43" s="773" t="s">
        <v>17</v>
      </c>
      <c r="S43" s="774">
        <f t="shared" si="12"/>
        <v>100</v>
      </c>
      <c r="T43" s="773" t="s">
        <v>17</v>
      </c>
      <c r="U43" s="774">
        <f t="shared" si="13"/>
        <v>100</v>
      </c>
      <c r="V43" s="773" t="s">
        <v>17</v>
      </c>
      <c r="W43" s="774">
        <f t="shared" si="14"/>
        <v>100</v>
      </c>
      <c r="X43" s="1815"/>
      <c r="Y43" s="3174"/>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45"/>
      <c r="Q44" s="1797">
        <f t="shared" si="11"/>
        <v>111</v>
      </c>
      <c r="R44" s="769" t="s">
        <v>17</v>
      </c>
      <c r="S44" s="770">
        <f t="shared" si="12"/>
        <v>100</v>
      </c>
      <c r="T44" s="769" t="s">
        <v>17</v>
      </c>
      <c r="U44" s="770">
        <f t="shared" si="13"/>
        <v>100</v>
      </c>
      <c r="V44" s="769" t="s">
        <v>17</v>
      </c>
      <c r="W44" s="770">
        <f t="shared" si="14"/>
        <v>100</v>
      </c>
      <c r="X44" s="771"/>
      <c r="Y44" s="317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45"/>
      <c r="Q45" s="1812">
        <f t="shared" si="11"/>
        <v>111</v>
      </c>
      <c r="R45" s="773" t="s">
        <v>17</v>
      </c>
      <c r="S45" s="774">
        <f t="shared" si="12"/>
        <v>100</v>
      </c>
      <c r="T45" s="773" t="s">
        <v>17</v>
      </c>
      <c r="U45" s="774">
        <f t="shared" si="13"/>
        <v>100</v>
      </c>
      <c r="V45" s="773" t="s">
        <v>17</v>
      </c>
      <c r="W45" s="774">
        <f t="shared" si="14"/>
        <v>100</v>
      </c>
      <c r="X45" s="1815"/>
      <c r="Y45" s="3174"/>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46"/>
      <c r="Q46" s="1812">
        <f t="shared" si="11"/>
        <v>111</v>
      </c>
      <c r="R46" s="773" t="s">
        <v>17</v>
      </c>
      <c r="S46" s="774">
        <f t="shared" si="12"/>
        <v>100</v>
      </c>
      <c r="T46" s="773" t="s">
        <v>17</v>
      </c>
      <c r="U46" s="774">
        <f t="shared" si="13"/>
        <v>100</v>
      </c>
      <c r="V46" s="773" t="s">
        <v>17</v>
      </c>
      <c r="W46" s="774">
        <f t="shared" si="14"/>
        <v>100</v>
      </c>
      <c r="X46" s="1815"/>
      <c r="Y46" s="3247"/>
      <c r="Z46" s="1816">
        <f t="shared" si="15"/>
        <v>111</v>
      </c>
      <c r="AA46" s="1813">
        <f t="shared" si="3"/>
        <v>1</v>
      </c>
      <c r="AB46" s="1813">
        <f t="shared" si="4"/>
        <v>1</v>
      </c>
      <c r="AC46" s="1813">
        <f t="shared" si="5"/>
        <v>1</v>
      </c>
    </row>
    <row r="47" spans="1:29" ht="15">
      <c r="A47" s="478" t="s">
        <v>2565</v>
      </c>
      <c r="B47" s="479"/>
      <c r="C47" s="1409" t="s">
        <v>1</v>
      </c>
      <c r="D47" s="1410"/>
      <c r="E47" s="1411"/>
      <c r="F47" s="1412"/>
      <c r="G47" s="1413"/>
      <c r="H47" s="1414"/>
      <c r="I47" s="1411"/>
      <c r="J47" s="1414"/>
      <c r="K47" s="782"/>
      <c r="L47" s="1145"/>
      <c r="M47" s="1146"/>
      <c r="N47" s="1133"/>
      <c r="O47" s="1146"/>
      <c r="P47" s="3168" t="str">
        <f>A47</f>
        <v>成交单价（元/平方米）</v>
      </c>
      <c r="Q47" s="3168"/>
      <c r="R47" s="3170">
        <f>E47</f>
        <v>0</v>
      </c>
      <c r="S47" s="3170"/>
      <c r="T47" s="3170">
        <f>G47</f>
        <v>0</v>
      </c>
      <c r="U47" s="3170"/>
      <c r="V47" s="3170">
        <f>I47</f>
        <v>0</v>
      </c>
      <c r="W47" s="3170"/>
      <c r="X47" s="758"/>
      <c r="Y47" s="780"/>
      <c r="Z47" s="758"/>
      <c r="AA47" s="758"/>
      <c r="AB47" s="758"/>
      <c r="AC47" s="758"/>
    </row>
    <row r="48" spans="1:29" ht="15.75" thickBot="1">
      <c r="A48" s="485" t="s">
        <v>2657</v>
      </c>
      <c r="B48" s="486"/>
      <c r="C48" s="1415" t="e">
        <f>R49</f>
        <v>#DIV/0!</v>
      </c>
      <c r="D48" s="1416"/>
      <c r="E48" s="1417" t="e">
        <f>R48</f>
        <v>#DIV/0!</v>
      </c>
      <c r="F48" s="1417"/>
      <c r="G48" s="1415" t="e">
        <f>T48</f>
        <v>#DIV/0!</v>
      </c>
      <c r="H48" s="1416"/>
      <c r="I48" s="1417" t="e">
        <f>V48</f>
        <v>#DIV/0!</v>
      </c>
      <c r="J48" s="1416"/>
      <c r="K48" s="783"/>
      <c r="L48" s="1145"/>
      <c r="M48" s="1146"/>
      <c r="N48" s="1133"/>
      <c r="O48" s="1146"/>
      <c r="P48" s="3168" t="str">
        <f>A48</f>
        <v>比较价值（元/平方米）</v>
      </c>
      <c r="Q48" s="3168"/>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5.75" thickBot="1">
      <c r="A49" s="491" t="s">
        <v>2658</v>
      </c>
      <c r="B49" s="492"/>
      <c r="C49" s="1419" t="e">
        <f>R49</f>
        <v>#DIV/0!</v>
      </c>
      <c r="D49" s="1419"/>
      <c r="E49" s="1419"/>
      <c r="F49" s="1419"/>
      <c r="G49" s="1419"/>
      <c r="H49" s="1419"/>
      <c r="I49" s="1419"/>
      <c r="J49" s="1419"/>
      <c r="K49" s="784"/>
      <c r="L49" s="1145"/>
      <c r="M49" s="1146"/>
      <c r="N49" s="1133"/>
      <c r="O49" s="1146"/>
      <c r="P49" s="3165" t="str">
        <f>A49</f>
        <v>估价对象XX用房的比较价值（楼面单价，元/平方米）</v>
      </c>
      <c r="Q49" s="3166"/>
      <c r="R49" s="3242" t="e">
        <f>IF(F1="售价",ROUND(AVERAGE(R48:V48),0),ROUND(AVERAGE(R48:V48),1))</f>
        <v>#DIV/0!</v>
      </c>
      <c r="S49" s="3242"/>
      <c r="T49" s="3242"/>
      <c r="U49" s="3242"/>
      <c r="V49" s="3242"/>
      <c r="W49" s="324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2536</v>
      </c>
      <c r="B58" s="505"/>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2573</v>
      </c>
      <c r="B60" s="515"/>
      <c r="C60" s="516"/>
      <c r="D60" s="517"/>
      <c r="E60" s="517"/>
      <c r="F60" s="517"/>
      <c r="G60" s="517"/>
      <c r="H60" s="517"/>
      <c r="I60" s="517"/>
      <c r="J60" s="517"/>
      <c r="K60" s="517"/>
      <c r="L60" s="517"/>
      <c r="M60" s="518"/>
      <c r="N60" s="517"/>
      <c r="O60" s="518"/>
      <c r="P60" s="2628"/>
      <c r="Q60" s="503"/>
    </row>
    <row r="61" spans="1:29" s="117" customFormat="1" ht="15">
      <c r="A61" s="520" t="s">
        <v>2538</v>
      </c>
      <c r="B61" s="509"/>
      <c r="C61" s="521" t="s">
        <v>2640</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2576</v>
      </c>
      <c r="B63" s="527" t="s">
        <v>2542</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2643</v>
      </c>
      <c r="C82" s="659" t="s">
        <v>2663</v>
      </c>
      <c r="D82" s="659" t="s">
        <v>2664</v>
      </c>
      <c r="E82" s="659" t="s">
        <v>2665</v>
      </c>
      <c r="F82" s="659" t="s">
        <v>2666</v>
      </c>
      <c r="G82" s="659" t="s">
        <v>2667</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2668</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2551</v>
      </c>
      <c r="B100" s="527" t="s">
        <v>2669</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2602</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2604</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2606</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2670</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2671</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2672</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2673</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2608</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669" t="s">
        <v>2674</v>
      </c>
      <c r="C1" s="1622" t="s">
        <v>2518</v>
      </c>
      <c r="D1" s="1623"/>
      <c r="E1" s="1632"/>
      <c r="F1" s="2584"/>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2315</v>
      </c>
      <c r="B2" s="1420" t="e">
        <f ca="1">IF(C2="——",ROUND(C50*D3/10000,0),ROUND(C50*D3/10000,0)-D2)</f>
        <v>#DIV/0!</v>
      </c>
      <c r="C2" s="2586"/>
      <c r="D2" s="1367" t="e">
        <f ca="1">SUMIF(INDIRECT("'"&amp;F2&amp;"'"&amp;"!A:A"),"承租人权益价值",INDIRECT("'"&amp;F2&amp;"'"&amp;"!c:c"))</f>
        <v>#REF!</v>
      </c>
      <c r="E2" s="2587" t="s">
        <v>2316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2317</v>
      </c>
      <c r="B3" s="608" t="e">
        <f ca="1">IF(C2="——",C50,ROUND(B2*10000/D3,0))</f>
        <v>#DIV/0!</v>
      </c>
      <c r="C3" s="399" t="s">
        <v>2632</v>
      </c>
      <c r="D3" s="398">
        <f>IF(D1="",'数据-汇总表'!E3,SUMIF('数据-汇总表'!$C19:$C33,D1,'数据-汇总表'!$E19:$E33))</f>
        <v>17933.88</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2633</v>
      </c>
      <c r="B4" s="401"/>
      <c r="C4" s="3178" t="s">
        <v>2634</v>
      </c>
      <c r="D4" s="3179"/>
      <c r="E4" s="3180" t="s">
        <v>2635</v>
      </c>
      <c r="F4" s="3181"/>
      <c r="G4" s="3178" t="s">
        <v>2636</v>
      </c>
      <c r="H4" s="3179"/>
      <c r="I4" s="3178" t="s">
        <v>2637</v>
      </c>
      <c r="J4" s="3179"/>
      <c r="K4" s="609" t="s">
        <v>2638</v>
      </c>
      <c r="L4" s="1132"/>
      <c r="M4" s="1133"/>
      <c r="N4" s="1133"/>
      <c r="O4" s="1133"/>
      <c r="P4" s="3256" t="s">
        <v>2639</v>
      </c>
      <c r="Q4" s="3257"/>
      <c r="R4" s="3251" t="s">
        <v>2635</v>
      </c>
      <c r="S4" s="3252"/>
      <c r="T4" s="3251" t="s">
        <v>2636</v>
      </c>
      <c r="U4" s="3252"/>
      <c r="V4" s="3260" t="s">
        <v>2637</v>
      </c>
      <c r="W4" s="3260"/>
      <c r="X4" s="2670"/>
      <c r="Y4" s="3251" t="s">
        <v>2639</v>
      </c>
      <c r="Z4" s="3252"/>
      <c r="AA4" s="3250" t="s">
        <v>2635</v>
      </c>
      <c r="AB4" s="3250" t="s">
        <v>2636</v>
      </c>
      <c r="AC4" s="3253" t="s">
        <v>2637</v>
      </c>
    </row>
    <row r="5" spans="1:29" ht="15">
      <c r="A5" s="403"/>
      <c r="B5" s="404"/>
      <c r="C5" s="3199" t="s">
        <v>2530</v>
      </c>
      <c r="D5" s="3200"/>
      <c r="E5" s="3188" t="s">
        <v>2531</v>
      </c>
      <c r="F5" s="3189"/>
      <c r="G5" s="3199" t="s">
        <v>2532</v>
      </c>
      <c r="H5" s="3200"/>
      <c r="I5" s="3199" t="s">
        <v>2533</v>
      </c>
      <c r="J5" s="3200"/>
      <c r="K5" s="609"/>
      <c r="L5" s="1132"/>
      <c r="M5" s="1133"/>
      <c r="N5" s="1133"/>
      <c r="O5" s="1133"/>
      <c r="P5" s="3258"/>
      <c r="Q5" s="3185"/>
      <c r="R5" s="3197"/>
      <c r="S5" s="3198"/>
      <c r="T5" s="3197"/>
      <c r="U5" s="3198"/>
      <c r="V5" s="3170"/>
      <c r="W5" s="3170"/>
      <c r="X5" s="1815"/>
      <c r="Y5" s="3197"/>
      <c r="Z5" s="3198"/>
      <c r="AA5" s="3176"/>
      <c r="AB5" s="3176"/>
      <c r="AC5" s="3254"/>
    </row>
    <row r="6" spans="1:29" ht="15.75" thickBot="1">
      <c r="A6" s="405"/>
      <c r="B6" s="406"/>
      <c r="C6" s="3238" t="s">
        <v>2534</v>
      </c>
      <c r="D6" s="3239"/>
      <c r="E6" s="3240" t="s">
        <v>2534</v>
      </c>
      <c r="F6" s="3241"/>
      <c r="G6" s="3238" t="s">
        <v>2534</v>
      </c>
      <c r="H6" s="3239"/>
      <c r="I6" s="3238" t="s">
        <v>2534</v>
      </c>
      <c r="J6" s="3239"/>
      <c r="K6" s="609" t="s">
        <v>2535</v>
      </c>
      <c r="L6" s="1132"/>
      <c r="M6" s="1133"/>
      <c r="N6" s="1133"/>
      <c r="O6" s="1133"/>
      <c r="P6" s="3259"/>
      <c r="Q6" s="3187"/>
      <c r="R6" s="3197"/>
      <c r="S6" s="3198"/>
      <c r="T6" s="3206"/>
      <c r="U6" s="3207"/>
      <c r="V6" s="3170"/>
      <c r="W6" s="3170"/>
      <c r="X6" s="1815"/>
      <c r="Y6" s="3206"/>
      <c r="Z6" s="3207"/>
      <c r="AA6" s="3177"/>
      <c r="AB6" s="3177"/>
      <c r="AC6" s="3255"/>
    </row>
    <row r="7" spans="1:29" s="117" customFormat="1" ht="15.75" thickBot="1">
      <c r="A7" s="407" t="s">
        <v>2536</v>
      </c>
      <c r="B7" s="408"/>
      <c r="C7" s="409">
        <f>'数据-取费表'!B2</f>
        <v>43223</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1" t="s">
        <v>2537</v>
      </c>
      <c r="Q7" s="3203"/>
      <c r="R7" s="769" t="s">
        <v>17</v>
      </c>
      <c r="S7" s="770">
        <f t="shared" ref="S7:S15" si="0">F7</f>
        <v>0</v>
      </c>
      <c r="T7" s="769" t="s">
        <v>17</v>
      </c>
      <c r="U7" s="770">
        <f t="shared" ref="U7:U15" si="1">H7</f>
        <v>0</v>
      </c>
      <c r="V7" s="769" t="s">
        <v>17</v>
      </c>
      <c r="W7" s="770">
        <f t="shared" ref="W7:W15" si="2">J7</f>
        <v>0</v>
      </c>
      <c r="X7" s="771"/>
      <c r="Y7" s="3190" t="s">
        <v>2537</v>
      </c>
      <c r="Z7" s="3191"/>
      <c r="AA7" s="772" t="e">
        <f>D7/F7</f>
        <v>#DIV/0!</v>
      </c>
      <c r="AB7" s="772" t="e">
        <f>D7/H7</f>
        <v>#DIV/0!</v>
      </c>
      <c r="AC7" s="2671"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1" t="s">
        <v>2540</v>
      </c>
      <c r="Q8" s="3191"/>
      <c r="R8" s="769" t="s">
        <v>17</v>
      </c>
      <c r="S8" s="770">
        <f t="shared" si="0"/>
        <v>0</v>
      </c>
      <c r="T8" s="769" t="s">
        <v>17</v>
      </c>
      <c r="U8" s="770">
        <f t="shared" si="1"/>
        <v>0</v>
      </c>
      <c r="V8" s="769" t="s">
        <v>17</v>
      </c>
      <c r="W8" s="770">
        <f t="shared" si="2"/>
        <v>0</v>
      </c>
      <c r="X8" s="771"/>
      <c r="Y8" s="3190" t="s">
        <v>2540</v>
      </c>
      <c r="Z8" s="3191"/>
      <c r="AA8" s="772" t="e">
        <f t="shared" ref="AA8:AA47" si="3">D8/F8</f>
        <v>#DIV/0!</v>
      </c>
      <c r="AB8" s="772" t="e">
        <f t="shared" ref="AB8:AB47" si="4">D8/H8</f>
        <v>#DIV/0!</v>
      </c>
      <c r="AC8" s="2671" t="e">
        <f t="shared" ref="AC8:AC47" si="5">D8/J8</f>
        <v>#DIV/0!</v>
      </c>
    </row>
    <row r="9" spans="1:29" s="117" customFormat="1">
      <c r="A9" s="414" t="s">
        <v>2541</v>
      </c>
      <c r="B9" s="71" t="s">
        <v>2542</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3" t="s">
        <v>2543</v>
      </c>
      <c r="Q9" s="1797"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2671">
        <f t="shared" si="5"/>
        <v>1</v>
      </c>
    </row>
    <row r="10" spans="1:29" s="426" customFormat="1" ht="27">
      <c r="A10" s="420"/>
      <c r="B10" s="421" t="s">
        <v>2545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3"/>
      <c r="Q10" s="1797"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2671">
        <f t="shared" si="5"/>
        <v>1</v>
      </c>
    </row>
    <row r="11" spans="1:29" ht="15">
      <c r="A11" s="427"/>
      <c r="B11" s="421" t="s">
        <v>2546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3"/>
      <c r="Q11" s="1797"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193"/>
      <c r="Q12" s="1797">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193"/>
      <c r="Q13" s="1797">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93"/>
      <c r="Q14" s="1797">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2671">
        <f t="shared" si="5"/>
        <v>1</v>
      </c>
    </row>
    <row r="15" spans="1:29" ht="15">
      <c r="A15" s="439" t="s">
        <v>2547</v>
      </c>
      <c r="B15" s="628" t="s">
        <v>2675</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8" t="s">
        <v>2548</v>
      </c>
      <c r="Q15" s="1812" t="str">
        <f t="shared" si="6"/>
        <v>办公集聚程度</v>
      </c>
      <c r="R15" s="773" t="s">
        <v>17</v>
      </c>
      <c r="S15" s="774">
        <f t="shared" si="0"/>
        <v>100</v>
      </c>
      <c r="T15" s="773" t="s">
        <v>17</v>
      </c>
      <c r="U15" s="774">
        <f t="shared" si="1"/>
        <v>100</v>
      </c>
      <c r="V15" s="773" t="s">
        <v>17</v>
      </c>
      <c r="W15" s="774">
        <f t="shared" si="2"/>
        <v>100</v>
      </c>
      <c r="X15" s="1815"/>
      <c r="Y15" s="3171" t="s">
        <v>2548</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49"/>
      <c r="Q16" s="1812"/>
      <c r="R16" s="773"/>
      <c r="S16" s="774"/>
      <c r="T16" s="773"/>
      <c r="U16" s="774"/>
      <c r="V16" s="773"/>
      <c r="W16" s="774"/>
      <c r="X16" s="1815"/>
      <c r="Y16" s="3172"/>
      <c r="Z16" s="1816"/>
      <c r="AA16" s="1813">
        <v>1</v>
      </c>
      <c r="AB16" s="1813">
        <v>1</v>
      </c>
      <c r="AC16" s="2674">
        <v>1</v>
      </c>
    </row>
    <row r="17" spans="1:29" ht="15">
      <c r="A17" s="427"/>
      <c r="B17" s="630" t="s">
        <v>2088</v>
      </c>
      <c r="C17" s="267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9"/>
      <c r="Q17" s="1812" t="str">
        <f>B17</f>
        <v>交通便捷度</v>
      </c>
      <c r="R17" s="773" t="s">
        <v>17</v>
      </c>
      <c r="S17" s="774">
        <f>F17</f>
        <v>100</v>
      </c>
      <c r="T17" s="773" t="s">
        <v>17</v>
      </c>
      <c r="U17" s="774">
        <f>H17</f>
        <v>100</v>
      </c>
      <c r="V17" s="773" t="s">
        <v>17</v>
      </c>
      <c r="W17" s="774">
        <f>J17</f>
        <v>100</v>
      </c>
      <c r="X17" s="1815"/>
      <c r="Y17" s="3172"/>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49"/>
      <c r="Q18" s="1812"/>
      <c r="R18" s="773"/>
      <c r="S18" s="774"/>
      <c r="T18" s="773"/>
      <c r="U18" s="774"/>
      <c r="V18" s="773"/>
      <c r="W18" s="774"/>
      <c r="X18" s="1815"/>
      <c r="Y18" s="3172"/>
      <c r="Z18" s="1816"/>
      <c r="AA18" s="1813">
        <v>1</v>
      </c>
      <c r="AB18" s="1813">
        <v>1</v>
      </c>
      <c r="AC18" s="2674">
        <v>1</v>
      </c>
    </row>
    <row r="19" spans="1:29" ht="15">
      <c r="A19" s="427"/>
      <c r="B19" s="630" t="s">
        <v>2676</v>
      </c>
      <c r="C19" s="267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9"/>
      <c r="Q19" s="1812" t="str">
        <f>B19</f>
        <v>公共配套设施</v>
      </c>
      <c r="R19" s="773" t="s">
        <v>17</v>
      </c>
      <c r="S19" s="774">
        <f>F19</f>
        <v>100</v>
      </c>
      <c r="T19" s="773" t="s">
        <v>17</v>
      </c>
      <c r="U19" s="774">
        <f>H19</f>
        <v>100</v>
      </c>
      <c r="V19" s="773" t="s">
        <v>17</v>
      </c>
      <c r="W19" s="774">
        <f>J19</f>
        <v>100</v>
      </c>
      <c r="X19" s="1815"/>
      <c r="Y19" s="3172"/>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49"/>
      <c r="Q20" s="1812"/>
      <c r="R20" s="773"/>
      <c r="S20" s="774"/>
      <c r="T20" s="773"/>
      <c r="U20" s="774"/>
      <c r="V20" s="773"/>
      <c r="W20" s="774"/>
      <c r="X20" s="1815"/>
      <c r="Y20" s="3172"/>
      <c r="Z20" s="1816"/>
      <c r="AA20" s="1813">
        <v>1</v>
      </c>
      <c r="AB20" s="1813">
        <v>1</v>
      </c>
      <c r="AC20" s="2674">
        <v>1</v>
      </c>
    </row>
    <row r="21" spans="1:29" ht="15">
      <c r="A21" s="427"/>
      <c r="B21" s="632" t="s">
        <v>2677</v>
      </c>
      <c r="C21" s="267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9"/>
      <c r="Q21" s="1812" t="str">
        <f>B21</f>
        <v>基础设施水平</v>
      </c>
      <c r="R21" s="773" t="s">
        <v>17</v>
      </c>
      <c r="S21" s="774">
        <f>F21</f>
        <v>100</v>
      </c>
      <c r="T21" s="773" t="s">
        <v>17</v>
      </c>
      <c r="U21" s="774">
        <f>H21</f>
        <v>100</v>
      </c>
      <c r="V21" s="773" t="s">
        <v>17</v>
      </c>
      <c r="W21" s="774">
        <f>J21</f>
        <v>100</v>
      </c>
      <c r="X21" s="1815"/>
      <c r="Y21" s="3172"/>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49"/>
      <c r="Q22" s="1812"/>
      <c r="R22" s="773"/>
      <c r="S22" s="774"/>
      <c r="T22" s="773"/>
      <c r="U22" s="774"/>
      <c r="V22" s="773"/>
      <c r="W22" s="774"/>
      <c r="X22" s="1815"/>
      <c r="Y22" s="3172"/>
      <c r="Z22" s="1816"/>
      <c r="AA22" s="1813">
        <v>1</v>
      </c>
      <c r="AB22" s="1813">
        <v>1</v>
      </c>
      <c r="AC22" s="2674">
        <v>1</v>
      </c>
    </row>
    <row r="23" spans="1:29" ht="15">
      <c r="A23" s="427"/>
      <c r="B23" s="630" t="s">
        <v>2678</v>
      </c>
      <c r="C23" s="267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9"/>
      <c r="Q23" s="1812" t="str">
        <f>B23</f>
        <v>环境质量</v>
      </c>
      <c r="R23" s="773" t="s">
        <v>17</v>
      </c>
      <c r="S23" s="774">
        <f>F23</f>
        <v>100</v>
      </c>
      <c r="T23" s="773" t="s">
        <v>17</v>
      </c>
      <c r="U23" s="774">
        <f>H23</f>
        <v>100</v>
      </c>
      <c r="V23" s="773" t="s">
        <v>17</v>
      </c>
      <c r="W23" s="774">
        <f>J23</f>
        <v>100</v>
      </c>
      <c r="X23" s="1815"/>
      <c r="Y23" s="3172"/>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49"/>
      <c r="Q24" s="1812"/>
      <c r="R24" s="773"/>
      <c r="S24" s="774"/>
      <c r="T24" s="773"/>
      <c r="U24" s="774"/>
      <c r="V24" s="773"/>
      <c r="W24" s="774"/>
      <c r="X24" s="1815"/>
      <c r="Y24" s="3172"/>
      <c r="Z24" s="1816"/>
      <c r="AA24" s="1813">
        <v>1</v>
      </c>
      <c r="AB24" s="1813">
        <v>1</v>
      </c>
      <c r="AC24" s="2674">
        <v>1</v>
      </c>
    </row>
    <row r="25" spans="1:29" ht="27">
      <c r="A25" s="403"/>
      <c r="B25" s="630" t="s">
        <v>2679</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49"/>
      <c r="Q25" s="1812" t="str">
        <f>B25</f>
        <v>毗邻道路的类型与等级</v>
      </c>
      <c r="R25" s="773" t="s">
        <v>17</v>
      </c>
      <c r="S25" s="774">
        <f>F25</f>
        <v>100</v>
      </c>
      <c r="T25" s="773" t="s">
        <v>17</v>
      </c>
      <c r="U25" s="774">
        <f>H25</f>
        <v>100</v>
      </c>
      <c r="V25" s="773" t="s">
        <v>17</v>
      </c>
      <c r="W25" s="774">
        <f>J25</f>
        <v>100</v>
      </c>
      <c r="X25" s="1815"/>
      <c r="Y25" s="3172"/>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49"/>
      <c r="Q26" s="1812"/>
      <c r="R26" s="773"/>
      <c r="S26" s="774"/>
      <c r="T26" s="773"/>
      <c r="U26" s="774"/>
      <c r="V26" s="773"/>
      <c r="W26" s="774"/>
      <c r="X26" s="1815"/>
      <c r="Y26" s="3172"/>
      <c r="Z26" s="1816"/>
      <c r="AA26" s="1813">
        <v>1</v>
      </c>
      <c r="AB26" s="1813">
        <v>1</v>
      </c>
      <c r="AC26" s="2674">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9"/>
      <c r="Q27" s="1812" t="str">
        <f t="shared" ref="Q27:Q47" si="11">B27</f>
        <v>楼层</v>
      </c>
      <c r="R27" s="773" t="s">
        <v>17</v>
      </c>
      <c r="S27" s="774">
        <f>F27</f>
        <v>100</v>
      </c>
      <c r="T27" s="773" t="s">
        <v>17</v>
      </c>
      <c r="U27" s="774">
        <f>H27</f>
        <v>100</v>
      </c>
      <c r="V27" s="773" t="s">
        <v>17</v>
      </c>
      <c r="W27" s="774">
        <f>J27</f>
        <v>100</v>
      </c>
      <c r="X27" s="1815"/>
      <c r="Y27" s="3172"/>
      <c r="Z27" s="1816" t="str">
        <f>Q27</f>
        <v>楼层</v>
      </c>
      <c r="AA27" s="1813">
        <f t="shared" si="3"/>
        <v>1</v>
      </c>
      <c r="AB27" s="1813">
        <f t="shared" si="4"/>
        <v>1</v>
      </c>
      <c r="AC27" s="2674">
        <f t="shared" si="5"/>
        <v>1</v>
      </c>
    </row>
    <row r="28" spans="1:29" s="117" customFormat="1" ht="15">
      <c r="A28" s="430"/>
      <c r="B28" s="630" t="s">
        <v>2680</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49"/>
      <c r="Q28" s="1797" t="str">
        <f t="shared" si="11"/>
        <v>朝向</v>
      </c>
      <c r="R28" s="769" t="s">
        <v>17</v>
      </c>
      <c r="S28" s="770">
        <f>F28</f>
        <v>100</v>
      </c>
      <c r="T28" s="769" t="s">
        <v>17</v>
      </c>
      <c r="U28" s="770">
        <f>H28</f>
        <v>100</v>
      </c>
      <c r="V28" s="769" t="s">
        <v>17</v>
      </c>
      <c r="W28" s="770">
        <f>J28</f>
        <v>100</v>
      </c>
      <c r="X28" s="771"/>
      <c r="Y28" s="3172"/>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49"/>
      <c r="Q29" s="1812">
        <f t="shared" si="11"/>
        <v>111</v>
      </c>
      <c r="R29" s="773" t="s">
        <v>17</v>
      </c>
      <c r="S29" s="774">
        <f t="shared" ref="S29:S47" si="12">F29</f>
        <v>100</v>
      </c>
      <c r="T29" s="773" t="s">
        <v>17</v>
      </c>
      <c r="U29" s="774">
        <f t="shared" ref="U29:U47" si="13">H29</f>
        <v>100</v>
      </c>
      <c r="V29" s="773" t="s">
        <v>17</v>
      </c>
      <c r="W29" s="774">
        <f t="shared" ref="W29:W47" si="14">J29</f>
        <v>100</v>
      </c>
      <c r="X29" s="1815"/>
      <c r="Y29" s="3172"/>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49"/>
      <c r="Q30" s="1812">
        <f t="shared" si="11"/>
        <v>111</v>
      </c>
      <c r="R30" s="773" t="s">
        <v>17</v>
      </c>
      <c r="S30" s="774">
        <f t="shared" si="12"/>
        <v>100</v>
      </c>
      <c r="T30" s="773" t="s">
        <v>17</v>
      </c>
      <c r="U30" s="774">
        <f t="shared" si="13"/>
        <v>100</v>
      </c>
      <c r="V30" s="773" t="s">
        <v>17</v>
      </c>
      <c r="W30" s="774">
        <f t="shared" si="14"/>
        <v>100</v>
      </c>
      <c r="X30" s="1815"/>
      <c r="Y30" s="3172"/>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49"/>
      <c r="Q31" s="1812">
        <f t="shared" si="11"/>
        <v>111</v>
      </c>
      <c r="R31" s="773" t="s">
        <v>17</v>
      </c>
      <c r="S31" s="774">
        <f t="shared" si="12"/>
        <v>100</v>
      </c>
      <c r="T31" s="773" t="s">
        <v>17</v>
      </c>
      <c r="U31" s="774">
        <f t="shared" si="13"/>
        <v>100</v>
      </c>
      <c r="V31" s="773" t="s">
        <v>17</v>
      </c>
      <c r="W31" s="774">
        <f t="shared" si="14"/>
        <v>100</v>
      </c>
      <c r="X31" s="1815"/>
      <c r="Y31" s="3172"/>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49"/>
      <c r="Q32" s="1812">
        <f t="shared" si="11"/>
        <v>111</v>
      </c>
      <c r="R32" s="773" t="s">
        <v>17</v>
      </c>
      <c r="S32" s="774">
        <f t="shared" si="12"/>
        <v>100</v>
      </c>
      <c r="T32" s="773" t="s">
        <v>17</v>
      </c>
      <c r="U32" s="774">
        <f t="shared" si="13"/>
        <v>100</v>
      </c>
      <c r="V32" s="773" t="s">
        <v>17</v>
      </c>
      <c r="W32" s="774">
        <f t="shared" si="14"/>
        <v>100</v>
      </c>
      <c r="X32" s="1815"/>
      <c r="Y32" s="3172"/>
      <c r="Z32" s="1816">
        <f t="shared" si="15"/>
        <v>111</v>
      </c>
      <c r="AA32" s="1813">
        <f t="shared" si="3"/>
        <v>1</v>
      </c>
      <c r="AB32" s="1813">
        <f t="shared" si="4"/>
        <v>1</v>
      </c>
      <c r="AC32" s="2674">
        <f t="shared" si="5"/>
        <v>1</v>
      </c>
    </row>
    <row r="33" spans="1:29" ht="15">
      <c r="A33" s="439" t="s">
        <v>2551</v>
      </c>
      <c r="B33" s="71" t="s">
        <v>2681</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44" t="s">
        <v>2553</v>
      </c>
      <c r="Q33" s="1812" t="str">
        <f t="shared" si="11"/>
        <v>建筑类型</v>
      </c>
      <c r="R33" s="773" t="s">
        <v>17</v>
      </c>
      <c r="S33" s="774">
        <f t="shared" si="12"/>
        <v>100</v>
      </c>
      <c r="T33" s="773" t="s">
        <v>17</v>
      </c>
      <c r="U33" s="774">
        <f t="shared" si="13"/>
        <v>100</v>
      </c>
      <c r="V33" s="773" t="s">
        <v>17</v>
      </c>
      <c r="W33" s="774">
        <f t="shared" si="14"/>
        <v>100</v>
      </c>
      <c r="X33" s="1815"/>
      <c r="Y33" s="3174" t="s">
        <v>2553</v>
      </c>
      <c r="Z33" s="1816" t="str">
        <f t="shared" si="15"/>
        <v>建筑类型</v>
      </c>
      <c r="AA33" s="1813">
        <f t="shared" si="3"/>
        <v>1</v>
      </c>
      <c r="AB33" s="1813">
        <f t="shared" si="4"/>
        <v>1</v>
      </c>
      <c r="AC33" s="2674">
        <f t="shared" si="5"/>
        <v>1</v>
      </c>
    </row>
    <row r="34" spans="1:29" s="470" customFormat="1" ht="15">
      <c r="A34" s="467"/>
      <c r="B34" s="421" t="s">
        <v>2554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45"/>
      <c r="Q34" s="775" t="str">
        <f t="shared" si="11"/>
        <v>项目建筑规模</v>
      </c>
      <c r="R34" s="776" t="s">
        <v>17</v>
      </c>
      <c r="S34" s="777" t="e">
        <f t="shared" si="12"/>
        <v>#N/A</v>
      </c>
      <c r="T34" s="776" t="s">
        <v>17</v>
      </c>
      <c r="U34" s="777" t="e">
        <f t="shared" si="13"/>
        <v>#N/A</v>
      </c>
      <c r="V34" s="776" t="s">
        <v>17</v>
      </c>
      <c r="W34" s="777" t="e">
        <f t="shared" si="14"/>
        <v>#N/A</v>
      </c>
      <c r="X34" s="778"/>
      <c r="Y34" s="3174"/>
      <c r="Z34" s="779" t="str">
        <f t="shared" si="15"/>
        <v>项目建筑规模</v>
      </c>
      <c r="AA34" s="1813" t="e">
        <f t="shared" si="3"/>
        <v>#N/A</v>
      </c>
      <c r="AB34" s="1813" t="e">
        <f t="shared" si="4"/>
        <v>#N/A</v>
      </c>
      <c r="AC34" s="2674"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45"/>
      <c r="Q35" s="1812" t="str">
        <f t="shared" si="11"/>
        <v>建筑结构</v>
      </c>
      <c r="R35" s="773" t="s">
        <v>17</v>
      </c>
      <c r="S35" s="774">
        <f t="shared" si="12"/>
        <v>100</v>
      </c>
      <c r="T35" s="773" t="s">
        <v>17</v>
      </c>
      <c r="U35" s="774">
        <f t="shared" si="13"/>
        <v>100</v>
      </c>
      <c r="V35" s="773" t="s">
        <v>17</v>
      </c>
      <c r="W35" s="774">
        <f t="shared" si="14"/>
        <v>100</v>
      </c>
      <c r="X35" s="1815"/>
      <c r="Y35" s="3174"/>
      <c r="Z35" s="1816" t="str">
        <f t="shared" si="15"/>
        <v>建筑结构</v>
      </c>
      <c r="AA35" s="1813">
        <f t="shared" si="3"/>
        <v>1</v>
      </c>
      <c r="AB35" s="1813">
        <f t="shared" si="4"/>
        <v>1</v>
      </c>
      <c r="AC35" s="2674">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45"/>
      <c r="Q36" s="1812" t="str">
        <f t="shared" si="11"/>
        <v>公共部分装修</v>
      </c>
      <c r="R36" s="773" t="s">
        <v>17</v>
      </c>
      <c r="S36" s="774">
        <f t="shared" si="12"/>
        <v>100</v>
      </c>
      <c r="T36" s="773" t="s">
        <v>17</v>
      </c>
      <c r="U36" s="774">
        <f t="shared" si="13"/>
        <v>100</v>
      </c>
      <c r="V36" s="773" t="s">
        <v>17</v>
      </c>
      <c r="W36" s="774">
        <f t="shared" si="14"/>
        <v>100</v>
      </c>
      <c r="X36" s="1815"/>
      <c r="Y36" s="3174"/>
      <c r="Z36" s="1816" t="str">
        <f t="shared" si="15"/>
        <v>公共部分装修</v>
      </c>
      <c r="AA36" s="1813">
        <f t="shared" si="3"/>
        <v>1</v>
      </c>
      <c r="AB36" s="1813">
        <f t="shared" si="4"/>
        <v>1</v>
      </c>
      <c r="AC36" s="2674">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45"/>
      <c r="Q37" s="1812" t="str">
        <f t="shared" si="11"/>
        <v>成新度</v>
      </c>
      <c r="R37" s="773" t="s">
        <v>17</v>
      </c>
      <c r="S37" s="774" t="e">
        <f t="shared" si="12"/>
        <v>#N/A</v>
      </c>
      <c r="T37" s="773" t="s">
        <v>17</v>
      </c>
      <c r="U37" s="774" t="e">
        <f t="shared" si="13"/>
        <v>#N/A</v>
      </c>
      <c r="V37" s="773" t="s">
        <v>17</v>
      </c>
      <c r="W37" s="774" t="e">
        <f t="shared" si="14"/>
        <v>#N/A</v>
      </c>
      <c r="X37" s="1815"/>
      <c r="Y37" s="3174"/>
      <c r="Z37" s="1816" t="str">
        <f t="shared" si="15"/>
        <v>成新度</v>
      </c>
      <c r="AA37" s="1813" t="e">
        <f t="shared" si="3"/>
        <v>#N/A</v>
      </c>
      <c r="AB37" s="1813" t="e">
        <f t="shared" si="4"/>
        <v>#N/A</v>
      </c>
      <c r="AC37" s="2674" t="e">
        <f t="shared" si="5"/>
        <v>#N/A</v>
      </c>
    </row>
    <row r="38" spans="1:29" s="117"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45"/>
      <c r="Q38" s="1797" t="str">
        <f t="shared" si="11"/>
        <v>写字楼等级</v>
      </c>
      <c r="R38" s="769" t="s">
        <v>17</v>
      </c>
      <c r="S38" s="770">
        <f t="shared" si="12"/>
        <v>100</v>
      </c>
      <c r="T38" s="769" t="s">
        <v>17</v>
      </c>
      <c r="U38" s="770">
        <f t="shared" si="13"/>
        <v>100</v>
      </c>
      <c r="V38" s="769" t="s">
        <v>17</v>
      </c>
      <c r="W38" s="770">
        <f t="shared" si="14"/>
        <v>100</v>
      </c>
      <c r="X38" s="771"/>
      <c r="Y38" s="3174"/>
      <c r="Z38" s="55" t="str">
        <f t="shared" si="15"/>
        <v>写字楼等级</v>
      </c>
      <c r="AA38" s="772">
        <f t="shared" si="3"/>
        <v>1</v>
      </c>
      <c r="AB38" s="772">
        <f t="shared" si="4"/>
        <v>1</v>
      </c>
      <c r="AC38" s="2671">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45" t="s">
        <v>2553</v>
      </c>
      <c r="Q39" s="1812" t="str">
        <f t="shared" si="11"/>
        <v>物业管理</v>
      </c>
      <c r="R39" s="773" t="s">
        <v>17</v>
      </c>
      <c r="S39" s="774">
        <f t="shared" si="12"/>
        <v>100</v>
      </c>
      <c r="T39" s="773" t="s">
        <v>17</v>
      </c>
      <c r="U39" s="774">
        <f t="shared" si="13"/>
        <v>100</v>
      </c>
      <c r="V39" s="773" t="s">
        <v>17</v>
      </c>
      <c r="W39" s="774">
        <f t="shared" si="14"/>
        <v>100</v>
      </c>
      <c r="X39" s="1815"/>
      <c r="Y39" s="3174" t="s">
        <v>2553</v>
      </c>
      <c r="Z39" s="1816" t="str">
        <f t="shared" si="15"/>
        <v>物业管理</v>
      </c>
      <c r="AA39" s="1813">
        <f t="shared" si="3"/>
        <v>1</v>
      </c>
      <c r="AB39" s="1813">
        <f t="shared" si="4"/>
        <v>1</v>
      </c>
      <c r="AC39" s="2674">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45"/>
      <c r="Q40" s="1812" t="str">
        <f t="shared" si="11"/>
        <v>市政基础设施</v>
      </c>
      <c r="R40" s="773" t="s">
        <v>17</v>
      </c>
      <c r="S40" s="774">
        <f t="shared" si="12"/>
        <v>100</v>
      </c>
      <c r="T40" s="773" t="s">
        <v>17</v>
      </c>
      <c r="U40" s="774">
        <f t="shared" si="13"/>
        <v>100</v>
      </c>
      <c r="V40" s="773" t="s">
        <v>17</v>
      </c>
      <c r="W40" s="774">
        <f t="shared" si="14"/>
        <v>100</v>
      </c>
      <c r="X40" s="1815"/>
      <c r="Y40" s="3174"/>
      <c r="Z40" s="1816" t="str">
        <f t="shared" si="15"/>
        <v>市政基础设施</v>
      </c>
      <c r="AA40" s="1813">
        <f t="shared" si="3"/>
        <v>1</v>
      </c>
      <c r="AB40" s="1813">
        <f t="shared" si="4"/>
        <v>1</v>
      </c>
      <c r="AC40" s="2674">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45"/>
      <c r="Q41" s="1812" t="str">
        <f t="shared" si="11"/>
        <v>层高</v>
      </c>
      <c r="R41" s="773" t="s">
        <v>17</v>
      </c>
      <c r="S41" s="774">
        <f t="shared" si="12"/>
        <v>100</v>
      </c>
      <c r="T41" s="773" t="s">
        <v>17</v>
      </c>
      <c r="U41" s="774">
        <f t="shared" si="13"/>
        <v>100</v>
      </c>
      <c r="V41" s="773" t="s">
        <v>17</v>
      </c>
      <c r="W41" s="774">
        <f t="shared" si="14"/>
        <v>100</v>
      </c>
      <c r="X41" s="1815"/>
      <c r="Y41" s="3174"/>
      <c r="Z41" s="1816" t="str">
        <f t="shared" si="15"/>
        <v>层高</v>
      </c>
      <c r="AA41" s="1813">
        <f t="shared" si="3"/>
        <v>1</v>
      </c>
      <c r="AB41" s="1813">
        <f t="shared" si="4"/>
        <v>1</v>
      </c>
      <c r="AC41" s="2674">
        <f t="shared" si="5"/>
        <v>1</v>
      </c>
    </row>
    <row r="42" spans="1:29" s="470" customFormat="1" ht="15">
      <c r="A42" s="467"/>
      <c r="B42" s="1814"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45"/>
      <c r="Q42" s="775" t="str">
        <f t="shared" si="11"/>
        <v>单套建筑面积</v>
      </c>
      <c r="R42" s="776" t="s">
        <v>17</v>
      </c>
      <c r="S42" s="777">
        <f t="shared" si="12"/>
        <v>100</v>
      </c>
      <c r="T42" s="776" t="s">
        <v>17</v>
      </c>
      <c r="U42" s="777">
        <f t="shared" si="13"/>
        <v>100</v>
      </c>
      <c r="V42" s="776" t="s">
        <v>17</v>
      </c>
      <c r="W42" s="777">
        <f t="shared" si="14"/>
        <v>100</v>
      </c>
      <c r="X42" s="778"/>
      <c r="Y42" s="3174"/>
      <c r="Z42" s="779" t="str">
        <f t="shared" si="15"/>
        <v>单套建筑面积</v>
      </c>
      <c r="AA42" s="1813">
        <f t="shared" si="3"/>
        <v>1</v>
      </c>
      <c r="AB42" s="1813">
        <f t="shared" si="4"/>
        <v>1</v>
      </c>
      <c r="AC42" s="2674">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45"/>
      <c r="Q43" s="1812" t="str">
        <f t="shared" si="11"/>
        <v>内部装修</v>
      </c>
      <c r="R43" s="773" t="s">
        <v>17</v>
      </c>
      <c r="S43" s="774">
        <f t="shared" si="12"/>
        <v>100</v>
      </c>
      <c r="T43" s="773" t="s">
        <v>17</v>
      </c>
      <c r="U43" s="774">
        <f t="shared" si="13"/>
        <v>100</v>
      </c>
      <c r="V43" s="773" t="s">
        <v>17</v>
      </c>
      <c r="W43" s="774">
        <f t="shared" si="14"/>
        <v>100</v>
      </c>
      <c r="X43" s="1815"/>
      <c r="Y43" s="3174"/>
      <c r="Z43" s="1816" t="str">
        <f t="shared" si="15"/>
        <v>内部装修</v>
      </c>
      <c r="AA43" s="1813">
        <f t="shared" si="3"/>
        <v>1</v>
      </c>
      <c r="AB43" s="1813">
        <f t="shared" si="4"/>
        <v>1</v>
      </c>
      <c r="AC43" s="2674">
        <f t="shared" si="5"/>
        <v>1</v>
      </c>
    </row>
    <row r="44" spans="1:29" ht="15">
      <c r="A44" s="471"/>
      <c r="B44" s="421" t="s">
        <v>2564</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45"/>
      <c r="Q44" s="1812" t="str">
        <f t="shared" si="11"/>
        <v>内部装修维护情况</v>
      </c>
      <c r="R44" s="773" t="s">
        <v>17</v>
      </c>
      <c r="S44" s="774">
        <f t="shared" si="12"/>
        <v>100</v>
      </c>
      <c r="T44" s="773" t="s">
        <v>17</v>
      </c>
      <c r="U44" s="774">
        <f t="shared" si="13"/>
        <v>100</v>
      </c>
      <c r="V44" s="773" t="s">
        <v>17</v>
      </c>
      <c r="W44" s="774">
        <f t="shared" si="14"/>
        <v>100</v>
      </c>
      <c r="X44" s="1815"/>
      <c r="Y44" s="3174"/>
      <c r="Z44" s="1816" t="str">
        <f t="shared" si="15"/>
        <v>内部装修维护情况</v>
      </c>
      <c r="AA44" s="1813">
        <f t="shared" si="3"/>
        <v>1</v>
      </c>
      <c r="AB44" s="1813">
        <f t="shared" si="4"/>
        <v>1</v>
      </c>
      <c r="AC44" s="2674">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45"/>
      <c r="Q45" s="1797">
        <f t="shared" si="11"/>
        <v>111</v>
      </c>
      <c r="R45" s="769" t="s">
        <v>17</v>
      </c>
      <c r="S45" s="770">
        <f t="shared" si="12"/>
        <v>100</v>
      </c>
      <c r="T45" s="769" t="s">
        <v>17</v>
      </c>
      <c r="U45" s="770">
        <f t="shared" si="13"/>
        <v>100</v>
      </c>
      <c r="V45" s="769" t="s">
        <v>17</v>
      </c>
      <c r="W45" s="770">
        <f t="shared" si="14"/>
        <v>100</v>
      </c>
      <c r="X45" s="771"/>
      <c r="Y45" s="3174"/>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45"/>
      <c r="Q46" s="1812">
        <f t="shared" si="11"/>
        <v>111</v>
      </c>
      <c r="R46" s="773" t="s">
        <v>17</v>
      </c>
      <c r="S46" s="774">
        <f t="shared" si="12"/>
        <v>100</v>
      </c>
      <c r="T46" s="773" t="s">
        <v>17</v>
      </c>
      <c r="U46" s="774">
        <f t="shared" si="13"/>
        <v>100</v>
      </c>
      <c r="V46" s="773" t="s">
        <v>17</v>
      </c>
      <c r="W46" s="774">
        <f t="shared" si="14"/>
        <v>100</v>
      </c>
      <c r="X46" s="1815"/>
      <c r="Y46" s="3174"/>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46"/>
      <c r="Q47" s="1812">
        <f t="shared" si="11"/>
        <v>111</v>
      </c>
      <c r="R47" s="773" t="s">
        <v>17</v>
      </c>
      <c r="S47" s="774">
        <f t="shared" si="12"/>
        <v>100</v>
      </c>
      <c r="T47" s="773" t="s">
        <v>17</v>
      </c>
      <c r="U47" s="774">
        <f t="shared" si="13"/>
        <v>100</v>
      </c>
      <c r="V47" s="773" t="s">
        <v>17</v>
      </c>
      <c r="W47" s="774">
        <f t="shared" si="14"/>
        <v>100</v>
      </c>
      <c r="X47" s="1815"/>
      <c r="Y47" s="3247"/>
      <c r="Z47" s="1816">
        <f t="shared" si="15"/>
        <v>111</v>
      </c>
      <c r="AA47" s="1813">
        <f t="shared" si="3"/>
        <v>1</v>
      </c>
      <c r="AB47" s="1813">
        <f t="shared" si="4"/>
        <v>1</v>
      </c>
      <c r="AC47" s="2674">
        <f t="shared" si="5"/>
        <v>1</v>
      </c>
    </row>
    <row r="48" spans="1:29" ht="15">
      <c r="A48" s="478" t="s">
        <v>2565</v>
      </c>
      <c r="B48" s="479"/>
      <c r="C48" s="1409" t="s">
        <v>1</v>
      </c>
      <c r="D48" s="1410"/>
      <c r="E48" s="1411"/>
      <c r="F48" s="1412"/>
      <c r="G48" s="1413"/>
      <c r="H48" s="1414"/>
      <c r="I48" s="1411"/>
      <c r="J48" s="484"/>
      <c r="K48" s="782"/>
      <c r="L48" s="1145"/>
      <c r="M48" s="1133"/>
      <c r="N48" s="1133"/>
      <c r="O48" s="1133"/>
      <c r="P48" s="3193" t="str">
        <f>A48</f>
        <v>成交单价（元/平方米）</v>
      </c>
      <c r="Q48" s="3168"/>
      <c r="R48" s="3243">
        <f>E48</f>
        <v>0</v>
      </c>
      <c r="S48" s="3243"/>
      <c r="T48" s="3243">
        <f>G48</f>
        <v>0</v>
      </c>
      <c r="U48" s="3243"/>
      <c r="V48" s="3243">
        <f>I48</f>
        <v>0</v>
      </c>
      <c r="W48" s="3243"/>
      <c r="X48" s="445"/>
      <c r="Y48" s="780"/>
      <c r="Z48" s="445"/>
      <c r="AA48" s="445"/>
      <c r="AB48" s="445"/>
      <c r="AC48" s="629"/>
    </row>
    <row r="49" spans="1:29" ht="15.75" thickBot="1">
      <c r="A49" s="485" t="s">
        <v>2657</v>
      </c>
      <c r="B49" s="486"/>
      <c r="C49" s="1415" t="e">
        <f>R50</f>
        <v>#DIV/0!</v>
      </c>
      <c r="D49" s="1416"/>
      <c r="E49" s="1417" t="e">
        <f>R49</f>
        <v>#DIV/0!</v>
      </c>
      <c r="F49" s="1417"/>
      <c r="G49" s="1415" t="e">
        <f>T49</f>
        <v>#DIV/0!</v>
      </c>
      <c r="H49" s="1416"/>
      <c r="I49" s="1417" t="e">
        <f>V49</f>
        <v>#DIV/0!</v>
      </c>
      <c r="J49" s="488"/>
      <c r="K49" s="783"/>
      <c r="L49" s="1145"/>
      <c r="M49" s="1133"/>
      <c r="N49" s="1133"/>
      <c r="O49" s="1133"/>
      <c r="P49" s="3193" t="str">
        <f>A49</f>
        <v>比较价值（元/平方米）</v>
      </c>
      <c r="Q49" s="3168"/>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5"/>
      <c r="Y49" s="445"/>
      <c r="Z49" s="445"/>
      <c r="AA49" s="445"/>
      <c r="AB49" s="445"/>
      <c r="AC49" s="629"/>
    </row>
    <row r="50" spans="1:29" ht="15.75" thickBot="1">
      <c r="A50" s="491" t="s">
        <v>2658</v>
      </c>
      <c r="B50" s="492"/>
      <c r="C50" s="1419" t="e">
        <f>R50</f>
        <v>#DIV/0!</v>
      </c>
      <c r="D50" s="1419"/>
      <c r="E50" s="1419"/>
      <c r="F50" s="1419"/>
      <c r="G50" s="1419"/>
      <c r="H50" s="1419"/>
      <c r="I50" s="1419"/>
      <c r="J50" s="493"/>
      <c r="K50" s="784"/>
      <c r="L50" s="1145"/>
      <c r="M50" s="1133"/>
      <c r="N50" s="1133"/>
      <c r="O50" s="1133"/>
      <c r="P50" s="3262" t="str">
        <f>A50</f>
        <v>估价对象XX用房的比较价值（楼面单价，元/平方米）</v>
      </c>
      <c r="Q50" s="3263"/>
      <c r="R50" s="3264" t="e">
        <f>IF(F1="售价",ROUND(AVERAGE(R49:V49),0),ROUND(AVERAGE(R49:V49),1))</f>
        <v>#DIV/0!</v>
      </c>
      <c r="S50" s="3264"/>
      <c r="T50" s="3264"/>
      <c r="U50" s="3264"/>
      <c r="V50" s="3264"/>
      <c r="W50" s="3264"/>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2662</v>
      </c>
      <c r="B58" s="758"/>
      <c r="C58" s="763"/>
      <c r="D58" s="763"/>
      <c r="E58" s="763"/>
      <c r="F58" s="764"/>
      <c r="G58" s="764"/>
      <c r="H58" s="763"/>
      <c r="I58" s="763"/>
      <c r="J58" s="763"/>
      <c r="K58" s="765"/>
      <c r="L58" s="1163"/>
      <c r="M58" s="1161"/>
      <c r="N58" s="1161"/>
      <c r="O58" s="1161"/>
      <c r="P58" s="2681"/>
      <c r="Q58" s="503"/>
    </row>
    <row r="59" spans="1:29" s="507" customFormat="1" ht="15">
      <c r="A59" s="504" t="s">
        <v>2536</v>
      </c>
      <c r="B59" s="505"/>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2573</v>
      </c>
      <c r="B61" s="515"/>
      <c r="C61" s="516"/>
      <c r="D61" s="517"/>
      <c r="E61" s="517"/>
      <c r="F61" s="517"/>
      <c r="G61" s="517"/>
      <c r="H61" s="517"/>
      <c r="I61" s="517"/>
      <c r="J61" s="517"/>
      <c r="K61" s="517"/>
      <c r="L61" s="517"/>
      <c r="M61" s="518"/>
      <c r="N61" s="517"/>
      <c r="O61" s="518"/>
      <c r="P61" s="2682"/>
      <c r="Q61" s="503"/>
    </row>
    <row r="62" spans="1:29" s="117" customFormat="1" ht="15">
      <c r="A62" s="520" t="s">
        <v>2538</v>
      </c>
      <c r="B62" s="509"/>
      <c r="C62" s="521" t="s">
        <v>2640</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2576</v>
      </c>
      <c r="B64" s="527" t="s">
        <v>2542</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2677</v>
      </c>
      <c r="C83" s="659" t="s">
        <v>2663</v>
      </c>
      <c r="D83" s="659" t="s">
        <v>2664</v>
      </c>
      <c r="E83" s="659" t="s">
        <v>2665</v>
      </c>
      <c r="F83" s="659" t="s">
        <v>2666</v>
      </c>
      <c r="G83" s="659" t="s">
        <v>2667</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2687</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2551</v>
      </c>
      <c r="B101" s="527" t="s">
        <v>2600</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2602</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2604</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2688</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2605</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2606</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2689</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2672</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2608</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上海同百智能门窗科技股份有限公司：</v>
      </c>
    </row>
    <row r="4" spans="1:1" ht="36">
      <c r="A4" s="1950" t="str">
        <f>"受贵公司委托，我公司对"&amp;项目基本情况!S1&amp;"进行了预评估。"</f>
        <v>受贵公司委托，我公司对上海市金山区山阳镇阳乐路188号6幢工业用房房地产房地产抵押价值进行了预评估。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金山区山阳镇阳乐路188号6幢工业用房房地产房地产，为上海同百投资管理有限公司所有。根据《上海市房地产权证》，估价对象（分摊）出让国有建设用地使用权面积为11729.24平方米，建筑面积为17933.88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金山区山阳镇阳乐路188号6幢工业用房房地产房地产,属上海同百投资管理有限公司开发建设的工业项目，该项目尚在开发建设中。根据《上海市房地产权证》，估价对象（分摊）出让国有建设用地使用权面积为11729.24平方米，规划建筑面积为17933.88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2018年5月3日（评估专业人员实地查勘之日）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日，估价对象规划用途为工业，土地取得方式为出让，出让国有建设用地使用权剩余土地使用年限为38.35，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38.35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669" t="s">
        <v>2690</v>
      </c>
      <c r="C1" s="1622" t="s">
        <v>2518</v>
      </c>
      <c r="D1" s="1623"/>
      <c r="E1" s="1632"/>
      <c r="F1" s="2584"/>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2315</v>
      </c>
      <c r="B2" s="1420" t="e">
        <f ca="1">IF(C2="——",ROUND(C43*D3/10000,0),ROUND(C43*D3/10000,0)-D2)</f>
        <v>#DIV/0!</v>
      </c>
      <c r="C2" s="2586"/>
      <c r="D2" s="1126" t="e">
        <f ca="1">SUMIF(INDIRECT("'"&amp;F2&amp;"'"&amp;"!A:A"),"承租人权益价值",INDIRECT("'"&amp;F2&amp;"'"&amp;"!c:c"))</f>
        <v>#REF!</v>
      </c>
      <c r="E2" s="2587" t="s">
        <v>2316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2317</v>
      </c>
      <c r="B3" s="608" t="e">
        <f ca="1">IF(C2="——",C43,ROUND(B2*10000/D3,0))</f>
        <v>#DIV/0!</v>
      </c>
      <c r="C3" s="399" t="s">
        <v>2632</v>
      </c>
      <c r="D3" s="398">
        <f>IF(D1="",'数据-汇总表'!E3,SUMIF('数据-汇总表'!$C19:$C33,D1,'数据-汇总表'!$E19:$E33))</f>
        <v>17933.88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178" t="s">
        <v>2634</v>
      </c>
      <c r="D4" s="3179"/>
      <c r="E4" s="3180" t="s">
        <v>2635</v>
      </c>
      <c r="F4" s="3181"/>
      <c r="G4" s="3178" t="s">
        <v>2636</v>
      </c>
      <c r="H4" s="3179"/>
      <c r="I4" s="3178" t="s">
        <v>2637</v>
      </c>
      <c r="J4" s="3179"/>
      <c r="K4" s="609" t="s">
        <v>2638</v>
      </c>
      <c r="L4" s="1132"/>
      <c r="M4" s="1133"/>
      <c r="N4" s="1133"/>
      <c r="O4" s="1133"/>
      <c r="P4" s="3182" t="s">
        <v>2639</v>
      </c>
      <c r="Q4" s="3183"/>
      <c r="R4" s="3195" t="s">
        <v>2635</v>
      </c>
      <c r="S4" s="3196"/>
      <c r="T4" s="3195" t="s">
        <v>2636</v>
      </c>
      <c r="U4" s="3196"/>
      <c r="V4" s="3170" t="s">
        <v>2637</v>
      </c>
      <c r="W4" s="3170"/>
      <c r="X4" s="1815"/>
      <c r="Y4" s="3195" t="s">
        <v>2639</v>
      </c>
      <c r="Z4" s="3196"/>
      <c r="AA4" s="3175" t="s">
        <v>2635</v>
      </c>
      <c r="AB4" s="3176" t="s">
        <v>2636</v>
      </c>
      <c r="AC4" s="3175" t="s">
        <v>2637</v>
      </c>
    </row>
    <row r="5" spans="1:29" ht="15">
      <c r="A5" s="403"/>
      <c r="B5" s="404"/>
      <c r="C5" s="3199" t="s">
        <v>2530</v>
      </c>
      <c r="D5" s="3200"/>
      <c r="E5" s="3188" t="s">
        <v>2531</v>
      </c>
      <c r="F5" s="3189"/>
      <c r="G5" s="3199" t="s">
        <v>2532</v>
      </c>
      <c r="H5" s="3200"/>
      <c r="I5" s="3199" t="s">
        <v>2533</v>
      </c>
      <c r="J5" s="3200"/>
      <c r="K5" s="609"/>
      <c r="L5" s="1132"/>
      <c r="M5" s="1133"/>
      <c r="N5" s="1133"/>
      <c r="O5" s="1133"/>
      <c r="P5" s="3184"/>
      <c r="Q5" s="3185"/>
      <c r="R5" s="3197"/>
      <c r="S5" s="3198"/>
      <c r="T5" s="3197"/>
      <c r="U5" s="3198"/>
      <c r="V5" s="3170"/>
      <c r="W5" s="3170"/>
      <c r="X5" s="1815"/>
      <c r="Y5" s="3197"/>
      <c r="Z5" s="3198"/>
      <c r="AA5" s="3176"/>
      <c r="AB5" s="3176"/>
      <c r="AC5" s="3176"/>
    </row>
    <row r="6" spans="1:29" ht="15.75" thickBot="1">
      <c r="A6" s="405"/>
      <c r="B6" s="406"/>
      <c r="C6" s="3238" t="s">
        <v>2534</v>
      </c>
      <c r="D6" s="3239"/>
      <c r="E6" s="3240" t="s">
        <v>2534</v>
      </c>
      <c r="F6" s="3241"/>
      <c r="G6" s="3238" t="s">
        <v>2534</v>
      </c>
      <c r="H6" s="3239"/>
      <c r="I6" s="3238" t="s">
        <v>2534</v>
      </c>
      <c r="J6" s="3239"/>
      <c r="K6" s="609" t="s">
        <v>2535</v>
      </c>
      <c r="L6" s="1132"/>
      <c r="M6" s="1133"/>
      <c r="N6" s="1133"/>
      <c r="O6" s="1133"/>
      <c r="P6" s="3186"/>
      <c r="Q6" s="3187"/>
      <c r="R6" s="3197"/>
      <c r="S6" s="3198"/>
      <c r="T6" s="3206"/>
      <c r="U6" s="3207"/>
      <c r="V6" s="3170"/>
      <c r="W6" s="3170"/>
      <c r="X6" s="1815"/>
      <c r="Y6" s="3206"/>
      <c r="Z6" s="3207"/>
      <c r="AA6" s="3177"/>
      <c r="AB6" s="3177"/>
      <c r="AC6" s="3177"/>
    </row>
    <row r="7" spans="1:29" s="117" customFormat="1" ht="15.75" thickBot="1">
      <c r="A7" s="407" t="s">
        <v>2536</v>
      </c>
      <c r="B7" s="408"/>
      <c r="C7" s="409">
        <f>'数据-取费表'!B2</f>
        <v>43223</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0" t="s">
        <v>2537</v>
      </c>
      <c r="Q7" s="3203"/>
      <c r="R7" s="769" t="s">
        <v>17</v>
      </c>
      <c r="S7" s="770">
        <f t="shared" ref="S7:S15" si="0">F7</f>
        <v>0</v>
      </c>
      <c r="T7" s="769" t="s">
        <v>17</v>
      </c>
      <c r="U7" s="770">
        <f t="shared" ref="U7:U15" si="1">H7</f>
        <v>0</v>
      </c>
      <c r="V7" s="769" t="s">
        <v>17</v>
      </c>
      <c r="W7" s="770">
        <f t="shared" ref="W7:W15" si="2">J7</f>
        <v>0</v>
      </c>
      <c r="X7" s="771"/>
      <c r="Y7" s="3190" t="s">
        <v>2537</v>
      </c>
      <c r="Z7" s="3191"/>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0" t="s">
        <v>2540</v>
      </c>
      <c r="Q8" s="3191"/>
      <c r="R8" s="769" t="s">
        <v>17</v>
      </c>
      <c r="S8" s="770">
        <f t="shared" si="0"/>
        <v>0</v>
      </c>
      <c r="T8" s="769" t="s">
        <v>17</v>
      </c>
      <c r="U8" s="770">
        <f t="shared" si="1"/>
        <v>0</v>
      </c>
      <c r="V8" s="769" t="s">
        <v>17</v>
      </c>
      <c r="W8" s="770">
        <f t="shared" si="2"/>
        <v>0</v>
      </c>
      <c r="X8" s="771"/>
      <c r="Y8" s="3190" t="s">
        <v>2540</v>
      </c>
      <c r="Z8" s="3191"/>
      <c r="AA8" s="772" t="e">
        <f t="shared" ref="AA8:AA40" si="3">D8/F8</f>
        <v>#DIV/0!</v>
      </c>
      <c r="AB8" s="772" t="e">
        <f t="shared" ref="AB8:AB40" si="4">D8/H8</f>
        <v>#DIV/0!</v>
      </c>
      <c r="AC8" s="772" t="e">
        <f t="shared" ref="AC8:AC40" si="5">D8/J8</f>
        <v>#DIV/0!</v>
      </c>
    </row>
    <row r="9" spans="1:29" s="117" customFormat="1">
      <c r="A9" s="414" t="s">
        <v>2541</v>
      </c>
      <c r="B9" s="71" t="s">
        <v>2542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8" t="s">
        <v>2543</v>
      </c>
      <c r="Q9" s="1797"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8"/>
      <c r="Q10" s="1797"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8"/>
      <c r="Q11" s="1797"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168"/>
      <c r="Q12" s="1797">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168"/>
      <c r="Q13" s="1797">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68"/>
      <c r="Q14" s="1797">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15">
      <c r="A15" s="439" t="s">
        <v>2547</v>
      </c>
      <c r="B15" s="69" t="s">
        <v>2691</v>
      </c>
      <c r="C15" s="2693"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1" t="s">
        <v>2548</v>
      </c>
      <c r="Q15" s="1812" t="str">
        <f t="shared" si="6"/>
        <v>产业集聚程度</v>
      </c>
      <c r="R15" s="773" t="s">
        <v>17</v>
      </c>
      <c r="S15" s="774">
        <f t="shared" si="0"/>
        <v>100</v>
      </c>
      <c r="T15" s="773" t="s">
        <v>17</v>
      </c>
      <c r="U15" s="774">
        <f t="shared" si="1"/>
        <v>100</v>
      </c>
      <c r="V15" s="773" t="s">
        <v>17</v>
      </c>
      <c r="W15" s="774">
        <f t="shared" si="2"/>
        <v>100</v>
      </c>
      <c r="X15" s="1815"/>
      <c r="Y15" s="3171" t="s">
        <v>2548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72"/>
      <c r="Q16" s="1812"/>
      <c r="R16" s="773"/>
      <c r="S16" s="774"/>
      <c r="T16" s="773"/>
      <c r="U16" s="774"/>
      <c r="V16" s="773"/>
      <c r="W16" s="774"/>
      <c r="X16" s="1815"/>
      <c r="Y16" s="3172"/>
      <c r="Z16" s="1816"/>
      <c r="AA16" s="1813">
        <v>1</v>
      </c>
      <c r="AB16" s="1813">
        <v>1</v>
      </c>
      <c r="AC16" s="1813">
        <v>1</v>
      </c>
    </row>
    <row r="17" spans="1:29" ht="15">
      <c r="A17" s="427"/>
      <c r="B17" s="450" t="s">
        <v>2088</v>
      </c>
      <c r="C17" s="2607"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2"/>
      <c r="Q17" s="1812" t="str">
        <f>B17</f>
        <v>交通便捷度</v>
      </c>
      <c r="R17" s="773" t="s">
        <v>17</v>
      </c>
      <c r="S17" s="774">
        <f>F17</f>
        <v>100</v>
      </c>
      <c r="T17" s="773" t="s">
        <v>17</v>
      </c>
      <c r="U17" s="774">
        <f>H17</f>
        <v>100</v>
      </c>
      <c r="V17" s="773" t="s">
        <v>17</v>
      </c>
      <c r="W17" s="774">
        <f>J17</f>
        <v>100</v>
      </c>
      <c r="X17" s="1815"/>
      <c r="Y17" s="3172"/>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72"/>
      <c r="Q18" s="1812"/>
      <c r="R18" s="773"/>
      <c r="S18" s="774"/>
      <c r="T18" s="773"/>
      <c r="U18" s="774"/>
      <c r="V18" s="773"/>
      <c r="W18" s="774"/>
      <c r="X18" s="1815"/>
      <c r="Y18" s="3172"/>
      <c r="Z18" s="1816"/>
      <c r="AA18" s="1813">
        <v>1</v>
      </c>
      <c r="AB18" s="1813">
        <v>1</v>
      </c>
      <c r="AC18" s="1813">
        <v>1</v>
      </c>
    </row>
    <row r="19" spans="1:29" ht="15">
      <c r="A19" s="427"/>
      <c r="B19" s="450" t="s">
        <v>2676</v>
      </c>
      <c r="C19" s="2607" t="str">
        <f>估价对象房地状况!G5</f>
        <v>一般</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2"/>
      <c r="Q19" s="1812" t="str">
        <f>B19</f>
        <v>公共配套设施</v>
      </c>
      <c r="R19" s="773" t="s">
        <v>17</v>
      </c>
      <c r="S19" s="774">
        <f>F19</f>
        <v>100</v>
      </c>
      <c r="T19" s="773" t="s">
        <v>17</v>
      </c>
      <c r="U19" s="774">
        <f>H19</f>
        <v>100</v>
      </c>
      <c r="V19" s="773" t="s">
        <v>17</v>
      </c>
      <c r="W19" s="774">
        <f>J19</f>
        <v>100</v>
      </c>
      <c r="X19" s="1815"/>
      <c r="Y19" s="3172"/>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72"/>
      <c r="Q20" s="1812"/>
      <c r="R20" s="773"/>
      <c r="S20" s="774"/>
      <c r="T20" s="773"/>
      <c r="U20" s="774"/>
      <c r="V20" s="773"/>
      <c r="W20" s="774"/>
      <c r="X20" s="1815"/>
      <c r="Y20" s="3172"/>
      <c r="Z20" s="1816"/>
      <c r="AA20" s="1813">
        <v>1</v>
      </c>
      <c r="AB20" s="1813">
        <v>1</v>
      </c>
      <c r="AC20" s="1813">
        <v>1</v>
      </c>
    </row>
    <row r="21" spans="1:29" ht="15">
      <c r="A21" s="427"/>
      <c r="B21" s="1386" t="s">
        <v>2677</v>
      </c>
      <c r="C21" s="2607" t="str">
        <f>估价对象房地状况!G6</f>
        <v>六通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2"/>
      <c r="Q21" s="1812" t="str">
        <f>B21</f>
        <v>基础设施水平</v>
      </c>
      <c r="R21" s="773" t="s">
        <v>17</v>
      </c>
      <c r="S21" s="774">
        <f>F21</f>
        <v>100</v>
      </c>
      <c r="T21" s="773" t="s">
        <v>17</v>
      </c>
      <c r="U21" s="774">
        <f>H21</f>
        <v>100</v>
      </c>
      <c r="V21" s="773" t="s">
        <v>17</v>
      </c>
      <c r="W21" s="774">
        <f>J21</f>
        <v>100</v>
      </c>
      <c r="X21" s="1815"/>
      <c r="Y21" s="3172"/>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72"/>
      <c r="Q22" s="1812"/>
      <c r="R22" s="773"/>
      <c r="S22" s="774"/>
      <c r="T22" s="773"/>
      <c r="U22" s="774"/>
      <c r="V22" s="773"/>
      <c r="W22" s="774"/>
      <c r="X22" s="1815"/>
      <c r="Y22" s="3172"/>
      <c r="Z22" s="1816"/>
      <c r="AA22" s="1813">
        <v>1</v>
      </c>
      <c r="AB22" s="1813">
        <v>1</v>
      </c>
      <c r="AC22" s="1813">
        <v>1</v>
      </c>
    </row>
    <row r="23" spans="1:29" ht="15">
      <c r="A23" s="427"/>
      <c r="B23" s="450" t="s">
        <v>2678</v>
      </c>
      <c r="C23" s="2607" t="str">
        <f>估价对象房地状况!G7</f>
        <v>较好</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2"/>
      <c r="Q23" s="1812" t="str">
        <f>B23</f>
        <v>环境质量</v>
      </c>
      <c r="R23" s="773" t="s">
        <v>17</v>
      </c>
      <c r="S23" s="774">
        <f>F23</f>
        <v>100</v>
      </c>
      <c r="T23" s="773" t="s">
        <v>17</v>
      </c>
      <c r="U23" s="774">
        <f>H23</f>
        <v>100</v>
      </c>
      <c r="V23" s="773" t="s">
        <v>17</v>
      </c>
      <c r="W23" s="774">
        <f>J23</f>
        <v>100</v>
      </c>
      <c r="X23" s="1815"/>
      <c r="Y23" s="3172"/>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72"/>
      <c r="Q24" s="1812"/>
      <c r="R24" s="773"/>
      <c r="S24" s="774"/>
      <c r="T24" s="773"/>
      <c r="U24" s="774"/>
      <c r="V24" s="773"/>
      <c r="W24" s="774"/>
      <c r="X24" s="1815"/>
      <c r="Y24" s="317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2"/>
      <c r="Q25" s="1812">
        <f>B25</f>
        <v>111</v>
      </c>
      <c r="R25" s="773" t="s">
        <v>17</v>
      </c>
      <c r="S25" s="774">
        <f>F25</f>
        <v>100</v>
      </c>
      <c r="T25" s="773" t="s">
        <v>17</v>
      </c>
      <c r="U25" s="774">
        <f>H25</f>
        <v>100</v>
      </c>
      <c r="V25" s="773" t="s">
        <v>17</v>
      </c>
      <c r="W25" s="774">
        <f>J25</f>
        <v>100</v>
      </c>
      <c r="X25" s="1815"/>
      <c r="Y25" s="317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2"/>
      <c r="Q26" s="1812">
        <f t="shared" ref="Q26:Q40" si="11">B26</f>
        <v>111</v>
      </c>
      <c r="R26" s="773" t="s">
        <v>17</v>
      </c>
      <c r="S26" s="774">
        <f>F26</f>
        <v>100</v>
      </c>
      <c r="T26" s="773" t="s">
        <v>17</v>
      </c>
      <c r="U26" s="774">
        <f>H26</f>
        <v>100</v>
      </c>
      <c r="V26" s="773" t="s">
        <v>17</v>
      </c>
      <c r="W26" s="774">
        <f>J26</f>
        <v>100</v>
      </c>
      <c r="X26" s="1815"/>
      <c r="Y26" s="3172"/>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2"/>
      <c r="Q27" s="1797">
        <f t="shared" si="11"/>
        <v>111</v>
      </c>
      <c r="R27" s="769" t="s">
        <v>17</v>
      </c>
      <c r="S27" s="770">
        <f>F27</f>
        <v>100</v>
      </c>
      <c r="T27" s="769" t="s">
        <v>17</v>
      </c>
      <c r="U27" s="770">
        <f>H27</f>
        <v>100</v>
      </c>
      <c r="V27" s="769" t="s">
        <v>17</v>
      </c>
      <c r="W27" s="770">
        <f>J27</f>
        <v>100</v>
      </c>
      <c r="X27" s="771"/>
      <c r="Y27" s="3172"/>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2"/>
      <c r="Q28" s="1812">
        <f t="shared" si="11"/>
        <v>111</v>
      </c>
      <c r="R28" s="773" t="s">
        <v>17</v>
      </c>
      <c r="S28" s="774">
        <f t="shared" ref="S28:S40" si="12">F28</f>
        <v>100</v>
      </c>
      <c r="T28" s="773" t="s">
        <v>17</v>
      </c>
      <c r="U28" s="774">
        <f t="shared" ref="U28:U40" si="13">H28</f>
        <v>100</v>
      </c>
      <c r="V28" s="773" t="s">
        <v>17</v>
      </c>
      <c r="W28" s="774">
        <f t="shared" ref="W28:W40" si="14">J28</f>
        <v>100</v>
      </c>
      <c r="X28" s="1815"/>
      <c r="Y28" s="3172"/>
      <c r="Z28" s="1816">
        <f t="shared" ref="Z28:Z40" si="15">Q28</f>
        <v>111</v>
      </c>
      <c r="AA28" s="1813">
        <f t="shared" si="3"/>
        <v>1</v>
      </c>
      <c r="AB28" s="1813">
        <f t="shared" si="4"/>
        <v>1</v>
      </c>
      <c r="AC28" s="1813">
        <f t="shared" si="5"/>
        <v>1</v>
      </c>
    </row>
    <row r="29" spans="1:29" ht="15">
      <c r="A29" s="465" t="s">
        <v>2551</v>
      </c>
      <c r="B29" s="71" t="s">
        <v>2681</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173" t="s">
        <v>2553</v>
      </c>
      <c r="Q29" s="1812" t="str">
        <f t="shared" si="11"/>
        <v>建筑类型</v>
      </c>
      <c r="R29" s="773" t="s">
        <v>17</v>
      </c>
      <c r="S29" s="774">
        <f t="shared" si="12"/>
        <v>100</v>
      </c>
      <c r="T29" s="773" t="s">
        <v>17</v>
      </c>
      <c r="U29" s="774">
        <f t="shared" si="13"/>
        <v>100</v>
      </c>
      <c r="V29" s="773" t="s">
        <v>17</v>
      </c>
      <c r="W29" s="774">
        <f t="shared" si="14"/>
        <v>100</v>
      </c>
      <c r="X29" s="1815"/>
      <c r="Y29" s="3174" t="s">
        <v>2553</v>
      </c>
      <c r="Z29" s="1816" t="str">
        <f t="shared" si="15"/>
        <v>建筑类型</v>
      </c>
      <c r="AA29" s="1813">
        <f t="shared" si="3"/>
        <v>1</v>
      </c>
      <c r="AB29" s="1813">
        <f t="shared" si="4"/>
        <v>1</v>
      </c>
      <c r="AC29" s="1813">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74"/>
      <c r="Q30" s="775" t="str">
        <f t="shared" si="11"/>
        <v>项目建筑规模</v>
      </c>
      <c r="R30" s="776" t="s">
        <v>17</v>
      </c>
      <c r="S30" s="777" t="e">
        <f t="shared" si="12"/>
        <v>#N/A</v>
      </c>
      <c r="T30" s="776" t="s">
        <v>17</v>
      </c>
      <c r="U30" s="777" t="e">
        <f t="shared" si="13"/>
        <v>#N/A</v>
      </c>
      <c r="V30" s="776" t="s">
        <v>17</v>
      </c>
      <c r="W30" s="777" t="e">
        <f t="shared" si="14"/>
        <v>#N/A</v>
      </c>
      <c r="X30" s="778"/>
      <c r="Y30" s="3174"/>
      <c r="Z30" s="779" t="str">
        <f t="shared" si="15"/>
        <v>项目建筑规模</v>
      </c>
      <c r="AA30" s="1813" t="e">
        <f t="shared" si="3"/>
        <v>#N/A</v>
      </c>
      <c r="AB30" s="1813" t="e">
        <f t="shared" si="4"/>
        <v>#N/A</v>
      </c>
      <c r="AC30" s="1813"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4"/>
      <c r="Q31" s="1812" t="str">
        <f t="shared" si="11"/>
        <v>建筑结构</v>
      </c>
      <c r="R31" s="773" t="s">
        <v>17</v>
      </c>
      <c r="S31" s="774">
        <f t="shared" si="12"/>
        <v>100</v>
      </c>
      <c r="T31" s="773" t="s">
        <v>17</v>
      </c>
      <c r="U31" s="774">
        <f t="shared" si="13"/>
        <v>100</v>
      </c>
      <c r="V31" s="773" t="s">
        <v>17</v>
      </c>
      <c r="W31" s="774">
        <f t="shared" si="14"/>
        <v>100</v>
      </c>
      <c r="X31" s="1815"/>
      <c r="Y31" s="3174"/>
      <c r="Z31" s="1816" t="str">
        <f t="shared" si="15"/>
        <v>建筑结构</v>
      </c>
      <c r="AA31" s="1813">
        <f t="shared" si="3"/>
        <v>1</v>
      </c>
      <c r="AB31" s="1813">
        <f t="shared" si="4"/>
        <v>1</v>
      </c>
      <c r="AC31" s="1813">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4"/>
      <c r="Q32" s="1812" t="str">
        <f t="shared" si="11"/>
        <v>公共部分装修</v>
      </c>
      <c r="R32" s="773" t="s">
        <v>17</v>
      </c>
      <c r="S32" s="774">
        <f t="shared" si="12"/>
        <v>100</v>
      </c>
      <c r="T32" s="773" t="s">
        <v>17</v>
      </c>
      <c r="U32" s="774">
        <f t="shared" si="13"/>
        <v>100</v>
      </c>
      <c r="V32" s="773" t="s">
        <v>17</v>
      </c>
      <c r="W32" s="774">
        <f t="shared" si="14"/>
        <v>100</v>
      </c>
      <c r="X32" s="1815"/>
      <c r="Y32" s="3174"/>
      <c r="Z32" s="1816" t="str">
        <f t="shared" si="15"/>
        <v>公共部分装修</v>
      </c>
      <c r="AA32" s="1813">
        <f t="shared" si="3"/>
        <v>1</v>
      </c>
      <c r="AB32" s="1813">
        <f t="shared" si="4"/>
        <v>1</v>
      </c>
      <c r="AC32" s="1813">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4"/>
      <c r="Q33" s="1812" t="str">
        <f t="shared" si="11"/>
        <v>成新度</v>
      </c>
      <c r="R33" s="773" t="s">
        <v>17</v>
      </c>
      <c r="S33" s="774" t="e">
        <f t="shared" si="12"/>
        <v>#N/A</v>
      </c>
      <c r="T33" s="773" t="s">
        <v>17</v>
      </c>
      <c r="U33" s="774" t="e">
        <f t="shared" si="13"/>
        <v>#N/A</v>
      </c>
      <c r="V33" s="773" t="s">
        <v>17</v>
      </c>
      <c r="W33" s="774" t="e">
        <f t="shared" si="14"/>
        <v>#N/A</v>
      </c>
      <c r="X33" s="1815"/>
      <c r="Y33" s="3174"/>
      <c r="Z33" s="1816" t="str">
        <f t="shared" si="15"/>
        <v>成新度</v>
      </c>
      <c r="AA33" s="1813" t="e">
        <f t="shared" si="3"/>
        <v>#N/A</v>
      </c>
      <c r="AB33" s="1813" t="e">
        <f t="shared" si="4"/>
        <v>#N/A</v>
      </c>
      <c r="AC33" s="1813" t="e">
        <f t="shared" si="5"/>
        <v>#N/A</v>
      </c>
    </row>
    <row r="34" spans="1:29" s="117"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4"/>
      <c r="Q34" s="1797" t="str">
        <f t="shared" si="11"/>
        <v>物业管理</v>
      </c>
      <c r="R34" s="769" t="s">
        <v>17</v>
      </c>
      <c r="S34" s="770">
        <f t="shared" si="12"/>
        <v>100</v>
      </c>
      <c r="T34" s="769" t="s">
        <v>17</v>
      </c>
      <c r="U34" s="770">
        <f t="shared" si="13"/>
        <v>100</v>
      </c>
      <c r="V34" s="769" t="s">
        <v>17</v>
      </c>
      <c r="W34" s="770">
        <f t="shared" si="14"/>
        <v>100</v>
      </c>
      <c r="X34" s="771"/>
      <c r="Y34" s="3174"/>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4" t="s">
        <v>2553</v>
      </c>
      <c r="Q35" s="1812" t="str">
        <f t="shared" si="11"/>
        <v>市政基础设施</v>
      </c>
      <c r="R35" s="773" t="s">
        <v>17</v>
      </c>
      <c r="S35" s="774">
        <f t="shared" si="12"/>
        <v>100</v>
      </c>
      <c r="T35" s="773" t="s">
        <v>17</v>
      </c>
      <c r="U35" s="774">
        <f t="shared" si="13"/>
        <v>100</v>
      </c>
      <c r="V35" s="773" t="s">
        <v>17</v>
      </c>
      <c r="W35" s="774">
        <f t="shared" si="14"/>
        <v>100</v>
      </c>
      <c r="X35" s="1815"/>
      <c r="Y35" s="3174" t="s">
        <v>2553</v>
      </c>
      <c r="Z35" s="1816" t="str">
        <f t="shared" si="15"/>
        <v>市政基础设施</v>
      </c>
      <c r="AA35" s="1813">
        <f t="shared" si="3"/>
        <v>1</v>
      </c>
      <c r="AB35" s="1813">
        <f t="shared" si="4"/>
        <v>1</v>
      </c>
      <c r="AC35" s="1813">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4"/>
      <c r="Q36" s="1812" t="str">
        <f t="shared" si="11"/>
        <v>内部装修</v>
      </c>
      <c r="R36" s="773" t="s">
        <v>17</v>
      </c>
      <c r="S36" s="774">
        <f t="shared" si="12"/>
        <v>100</v>
      </c>
      <c r="T36" s="773" t="s">
        <v>17</v>
      </c>
      <c r="U36" s="774">
        <f t="shared" si="13"/>
        <v>100</v>
      </c>
      <c r="V36" s="773" t="s">
        <v>17</v>
      </c>
      <c r="W36" s="774">
        <f t="shared" si="14"/>
        <v>100</v>
      </c>
      <c r="X36" s="1815"/>
      <c r="Y36" s="3174"/>
      <c r="Z36" s="1816" t="str">
        <f t="shared" si="15"/>
        <v>内部装修</v>
      </c>
      <c r="AA36" s="1813">
        <f t="shared" si="3"/>
        <v>1</v>
      </c>
      <c r="AB36" s="1813">
        <f t="shared" si="4"/>
        <v>1</v>
      </c>
      <c r="AC36" s="1813">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4"/>
      <c r="Q37" s="1812" t="str">
        <f t="shared" si="11"/>
        <v>内部装修状况</v>
      </c>
      <c r="R37" s="773" t="s">
        <v>17</v>
      </c>
      <c r="S37" s="774">
        <f t="shared" si="12"/>
        <v>100</v>
      </c>
      <c r="T37" s="773" t="s">
        <v>17</v>
      </c>
      <c r="U37" s="774">
        <f t="shared" si="13"/>
        <v>100</v>
      </c>
      <c r="V37" s="773" t="s">
        <v>17</v>
      </c>
      <c r="W37" s="774">
        <f t="shared" si="14"/>
        <v>100</v>
      </c>
      <c r="X37" s="1815"/>
      <c r="Y37" s="317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4"/>
      <c r="Q38" s="775">
        <f t="shared" si="11"/>
        <v>111</v>
      </c>
      <c r="R38" s="776" t="s">
        <v>17</v>
      </c>
      <c r="S38" s="777">
        <f t="shared" si="12"/>
        <v>100</v>
      </c>
      <c r="T38" s="776" t="s">
        <v>17</v>
      </c>
      <c r="U38" s="777">
        <f t="shared" si="13"/>
        <v>100</v>
      </c>
      <c r="V38" s="776" t="s">
        <v>17</v>
      </c>
      <c r="W38" s="777">
        <f t="shared" si="14"/>
        <v>100</v>
      </c>
      <c r="X38" s="778"/>
      <c r="Y38" s="317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4"/>
      <c r="Q39" s="1812">
        <f t="shared" si="11"/>
        <v>111</v>
      </c>
      <c r="R39" s="773" t="s">
        <v>17</v>
      </c>
      <c r="S39" s="774">
        <f t="shared" si="12"/>
        <v>100</v>
      </c>
      <c r="T39" s="773" t="s">
        <v>17</v>
      </c>
      <c r="U39" s="774">
        <f t="shared" si="13"/>
        <v>100</v>
      </c>
      <c r="V39" s="773" t="s">
        <v>17</v>
      </c>
      <c r="W39" s="774">
        <f t="shared" si="14"/>
        <v>100</v>
      </c>
      <c r="X39" s="1815"/>
      <c r="Y39" s="3174"/>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7"/>
      <c r="Q40" s="1812">
        <f t="shared" si="11"/>
        <v>111</v>
      </c>
      <c r="R40" s="773" t="s">
        <v>17</v>
      </c>
      <c r="S40" s="774">
        <f t="shared" si="12"/>
        <v>100</v>
      </c>
      <c r="T40" s="773" t="s">
        <v>17</v>
      </c>
      <c r="U40" s="774">
        <f t="shared" si="13"/>
        <v>100</v>
      </c>
      <c r="V40" s="773" t="s">
        <v>17</v>
      </c>
      <c r="W40" s="774">
        <f t="shared" si="14"/>
        <v>100</v>
      </c>
      <c r="X40" s="1815"/>
      <c r="Y40" s="3247"/>
      <c r="Z40" s="1816">
        <f t="shared" si="15"/>
        <v>111</v>
      </c>
      <c r="AA40" s="1813">
        <f t="shared" si="3"/>
        <v>1</v>
      </c>
      <c r="AB40" s="1813">
        <f t="shared" si="4"/>
        <v>1</v>
      </c>
      <c r="AC40" s="1813">
        <f t="shared" si="5"/>
        <v>1</v>
      </c>
    </row>
    <row r="41" spans="1:29" ht="15">
      <c r="A41" s="478" t="s">
        <v>2565</v>
      </c>
      <c r="B41" s="479"/>
      <c r="C41" s="1409" t="s">
        <v>1</v>
      </c>
      <c r="D41" s="1410"/>
      <c r="E41" s="1411"/>
      <c r="F41" s="1412"/>
      <c r="G41" s="1413"/>
      <c r="H41" s="1414"/>
      <c r="I41" s="1411"/>
      <c r="J41" s="1414"/>
      <c r="K41" s="782"/>
      <c r="L41" s="1145"/>
      <c r="M41" s="1146"/>
      <c r="N41" s="1133"/>
      <c r="O41" s="1146"/>
      <c r="P41" s="3168" t="str">
        <f>A41</f>
        <v>成交单价（元/平方米）</v>
      </c>
      <c r="Q41" s="3168"/>
      <c r="R41" s="3243">
        <f>E41</f>
        <v>0</v>
      </c>
      <c r="S41" s="3243"/>
      <c r="T41" s="3243">
        <f>G41</f>
        <v>0</v>
      </c>
      <c r="U41" s="3243"/>
      <c r="V41" s="3243">
        <f>I41</f>
        <v>0</v>
      </c>
      <c r="W41" s="3243"/>
      <c r="X41" s="758"/>
      <c r="Y41" s="780"/>
      <c r="Z41" s="758"/>
      <c r="AA41" s="758"/>
      <c r="AB41" s="758"/>
      <c r="AC41" s="758"/>
    </row>
    <row r="42" spans="1:29" ht="15.75" thickBot="1">
      <c r="A42" s="485" t="s">
        <v>2657</v>
      </c>
      <c r="B42" s="486"/>
      <c r="C42" s="1415" t="e">
        <f>R43</f>
        <v>#DIV/0!</v>
      </c>
      <c r="D42" s="1416"/>
      <c r="E42" s="1417" t="e">
        <f>R42</f>
        <v>#DIV/0!</v>
      </c>
      <c r="F42" s="1417"/>
      <c r="G42" s="1415" t="e">
        <f>T42</f>
        <v>#DIV/0!</v>
      </c>
      <c r="H42" s="1416"/>
      <c r="I42" s="1417" t="e">
        <f>V42</f>
        <v>#DIV/0!</v>
      </c>
      <c r="J42" s="1416"/>
      <c r="K42" s="783"/>
      <c r="L42" s="1145"/>
      <c r="M42" s="1146"/>
      <c r="N42" s="1133"/>
      <c r="O42" s="1146"/>
      <c r="P42" s="3168" t="str">
        <f>A42</f>
        <v>比较价值（元/平方米）</v>
      </c>
      <c r="Q42" s="3168"/>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8"/>
      <c r="Y42" s="758"/>
      <c r="Z42" s="758"/>
      <c r="AA42" s="758"/>
      <c r="AB42" s="758"/>
      <c r="AC42" s="758"/>
    </row>
    <row r="43" spans="1:29" ht="15.75" thickBot="1">
      <c r="A43" s="491" t="s">
        <v>2658</v>
      </c>
      <c r="B43" s="492"/>
      <c r="C43" s="1419" t="e">
        <f>R43</f>
        <v>#DIV/0!</v>
      </c>
      <c r="D43" s="1419"/>
      <c r="E43" s="1419"/>
      <c r="F43" s="1419"/>
      <c r="G43" s="1419"/>
      <c r="H43" s="1419"/>
      <c r="I43" s="1419"/>
      <c r="J43" s="1419"/>
      <c r="K43" s="784"/>
      <c r="L43" s="1145"/>
      <c r="M43" s="1146"/>
      <c r="N43" s="1146"/>
      <c r="O43" s="1146"/>
      <c r="P43" s="3165" t="str">
        <f>A43</f>
        <v>估价对象XX用房的比较价值（楼面单价，元/平方米）</v>
      </c>
      <c r="Q43" s="3166"/>
      <c r="R43" s="3242" t="e">
        <f>IF(F1="售价",ROUND(AVERAGE(R42:V42),0),ROUND(AVERAGE(R42:V42),1))</f>
        <v>#DIV/0!</v>
      </c>
      <c r="S43" s="3242"/>
      <c r="T43" s="3242"/>
      <c r="U43" s="3242"/>
      <c r="V43" s="3242"/>
      <c r="W43" s="324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2662</v>
      </c>
      <c r="B51" s="758"/>
      <c r="C51" s="763"/>
      <c r="D51" s="763"/>
      <c r="E51" s="763"/>
      <c r="F51" s="764"/>
      <c r="G51" s="764"/>
      <c r="H51" s="763"/>
      <c r="I51" s="763"/>
      <c r="J51" s="763"/>
      <c r="K51" s="1162"/>
      <c r="L51" s="1163"/>
      <c r="M51" s="1161"/>
      <c r="N51" s="1161"/>
      <c r="O51" s="1161"/>
      <c r="P51" s="502"/>
      <c r="Q51" s="503"/>
    </row>
    <row r="52" spans="1:17" s="507" customFormat="1" ht="15">
      <c r="A52" s="504" t="s">
        <v>2536</v>
      </c>
      <c r="B52" s="505"/>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2576</v>
      </c>
      <c r="B57" s="527" t="s">
        <v>2542</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2551</v>
      </c>
      <c r="B88" s="527" t="s">
        <v>2600</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2602</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2604</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2606</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2608</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2695</v>
      </c>
      <c r="B1" s="1621"/>
      <c r="C1" s="1622" t="s">
        <v>2518</v>
      </c>
      <c r="D1" s="1623"/>
      <c r="E1" s="1624"/>
      <c r="F1" s="2584"/>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2315</v>
      </c>
      <c r="B2" s="1420" t="e">
        <f ca="1">IF(C2="——",IF(B37="元/平方米",ROUND(C39*D3/10000,0),ROUND(F3*C39/10000,0)),IF(B37="元/平方米",ROUND(C39*D3/10000,0),ROUND(F3*C39/10000,0))-D2)</f>
        <v>#DIV/0!</v>
      </c>
      <c r="C2" s="2586"/>
      <c r="D2" s="1126" t="e">
        <f ca="1">SUMIF(INDIRECT("'"&amp;F2&amp;"'"&amp;"!A:A"),"承租人权益价值",INDIRECT("'"&amp;F2&amp;"'"&amp;"!c:c"))</f>
        <v>#REF!</v>
      </c>
      <c r="E2" s="2587" t="s">
        <v>2316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2317</v>
      </c>
      <c r="B3" s="608" t="e">
        <f ca="1">IF(AND(C2="——",B37="元/平方米"),C39,ROUND(B2*10000/D3,0))</f>
        <v>#DIV/0!</v>
      </c>
      <c r="C3" s="399" t="s">
        <v>2632</v>
      </c>
      <c r="D3" s="398">
        <f>SUMIF('数据-汇总表'!$C19:$C33,D1,'数据-汇总表'!$E19:$E33)</f>
        <v>0</v>
      </c>
      <c r="E3" s="399" t="s">
        <v>2696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2633</v>
      </c>
      <c r="B4" s="401"/>
      <c r="C4" s="3178" t="s">
        <v>2634</v>
      </c>
      <c r="D4" s="3179"/>
      <c r="E4" s="3180" t="s">
        <v>2635</v>
      </c>
      <c r="F4" s="3181"/>
      <c r="G4" s="3178" t="s">
        <v>2636</v>
      </c>
      <c r="H4" s="3179"/>
      <c r="I4" s="3178" t="s">
        <v>2637</v>
      </c>
      <c r="J4" s="3179"/>
      <c r="K4" s="609" t="s">
        <v>2638</v>
      </c>
      <c r="L4" s="1132"/>
      <c r="M4" s="1133"/>
      <c r="N4" s="1133"/>
      <c r="O4" s="1133"/>
      <c r="P4" s="3182" t="s">
        <v>2639</v>
      </c>
      <c r="Q4" s="3183"/>
      <c r="R4" s="3195" t="s">
        <v>2635</v>
      </c>
      <c r="S4" s="3196"/>
      <c r="T4" s="3195" t="s">
        <v>2636</v>
      </c>
      <c r="U4" s="3196"/>
      <c r="V4" s="3170" t="s">
        <v>2637</v>
      </c>
      <c r="W4" s="3170"/>
      <c r="X4" s="1815"/>
      <c r="Y4" s="3195" t="s">
        <v>2639</v>
      </c>
      <c r="Z4" s="3196"/>
      <c r="AA4" s="3175" t="s">
        <v>2635</v>
      </c>
      <c r="AB4" s="3176" t="s">
        <v>2636</v>
      </c>
      <c r="AC4" s="3175" t="s">
        <v>2637</v>
      </c>
    </row>
    <row r="5" spans="1:29" ht="15">
      <c r="A5" s="403"/>
      <c r="B5" s="404"/>
      <c r="C5" s="3199" t="s">
        <v>2530</v>
      </c>
      <c r="D5" s="3200"/>
      <c r="E5" s="3188" t="s">
        <v>2531</v>
      </c>
      <c r="F5" s="3189"/>
      <c r="G5" s="3199" t="s">
        <v>2532</v>
      </c>
      <c r="H5" s="3200"/>
      <c r="I5" s="3199" t="s">
        <v>2533</v>
      </c>
      <c r="J5" s="3200"/>
      <c r="K5" s="609"/>
      <c r="L5" s="1132"/>
      <c r="M5" s="1133"/>
      <c r="N5" s="1133"/>
      <c r="O5" s="1133"/>
      <c r="P5" s="3184"/>
      <c r="Q5" s="3185"/>
      <c r="R5" s="3197"/>
      <c r="S5" s="3198"/>
      <c r="T5" s="3197"/>
      <c r="U5" s="3198"/>
      <c r="V5" s="3170"/>
      <c r="W5" s="3170"/>
      <c r="X5" s="1815"/>
      <c r="Y5" s="3197"/>
      <c r="Z5" s="3198"/>
      <c r="AA5" s="3176"/>
      <c r="AB5" s="3176"/>
      <c r="AC5" s="3176"/>
    </row>
    <row r="6" spans="1:29" ht="15.75" thickBot="1">
      <c r="A6" s="405"/>
      <c r="B6" s="406"/>
      <c r="C6" s="3238" t="s">
        <v>2534</v>
      </c>
      <c r="D6" s="3239"/>
      <c r="E6" s="3240" t="s">
        <v>2534</v>
      </c>
      <c r="F6" s="3241"/>
      <c r="G6" s="3238" t="s">
        <v>2534</v>
      </c>
      <c r="H6" s="3239"/>
      <c r="I6" s="3238" t="s">
        <v>2534</v>
      </c>
      <c r="J6" s="3239"/>
      <c r="K6" s="609" t="s">
        <v>2535</v>
      </c>
      <c r="L6" s="1132"/>
      <c r="M6" s="1133"/>
      <c r="N6" s="1133"/>
      <c r="O6" s="1133"/>
      <c r="P6" s="3186"/>
      <c r="Q6" s="3187"/>
      <c r="R6" s="3197"/>
      <c r="S6" s="3198"/>
      <c r="T6" s="3206"/>
      <c r="U6" s="3207"/>
      <c r="V6" s="3170"/>
      <c r="W6" s="3170"/>
      <c r="X6" s="1815"/>
      <c r="Y6" s="3206"/>
      <c r="Z6" s="3207"/>
      <c r="AA6" s="3177"/>
      <c r="AB6" s="3177"/>
      <c r="AC6" s="3177"/>
    </row>
    <row r="7" spans="1:29" s="117" customFormat="1" ht="15.75" thickBot="1">
      <c r="A7" s="407" t="s">
        <v>2536</v>
      </c>
      <c r="B7" s="408"/>
      <c r="C7" s="409">
        <f>'数据-取费表'!B2</f>
        <v>43223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90" t="s">
        <v>2537</v>
      </c>
      <c r="Q7" s="3203"/>
      <c r="R7" s="769" t="s">
        <v>17</v>
      </c>
      <c r="S7" s="770">
        <f t="shared" ref="S7:S14" si="0">F7</f>
        <v>0</v>
      </c>
      <c r="T7" s="769" t="s">
        <v>17</v>
      </c>
      <c r="U7" s="770">
        <f t="shared" ref="U7:U14" si="1">H7</f>
        <v>0</v>
      </c>
      <c r="V7" s="769" t="s">
        <v>17</v>
      </c>
      <c r="W7" s="770">
        <f t="shared" ref="W7:W14" si="2">J7</f>
        <v>0</v>
      </c>
      <c r="X7" s="771"/>
      <c r="Y7" s="3190" t="s">
        <v>2537</v>
      </c>
      <c r="Z7" s="3191"/>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90" t="s">
        <v>2540</v>
      </c>
      <c r="Q8" s="3191"/>
      <c r="R8" s="769" t="s">
        <v>17</v>
      </c>
      <c r="S8" s="770">
        <f t="shared" si="0"/>
        <v>0</v>
      </c>
      <c r="T8" s="769" t="s">
        <v>17</v>
      </c>
      <c r="U8" s="770">
        <f t="shared" si="1"/>
        <v>0</v>
      </c>
      <c r="V8" s="769" t="s">
        <v>17</v>
      </c>
      <c r="W8" s="770">
        <f t="shared" si="2"/>
        <v>0</v>
      </c>
      <c r="X8" s="771"/>
      <c r="Y8" s="3190" t="s">
        <v>2540</v>
      </c>
      <c r="Z8" s="3191"/>
      <c r="AA8" s="772" t="e">
        <f t="shared" ref="AA8:AA36" si="3">D8/F8</f>
        <v>#DIV/0!</v>
      </c>
      <c r="AB8" s="772" t="e">
        <f t="shared" ref="AB8:AB36" si="4">D8/H8</f>
        <v>#DIV/0!</v>
      </c>
      <c r="AC8" s="772" t="e">
        <f t="shared" ref="AC8:AC36" si="5">D8/J8</f>
        <v>#DIV/0!</v>
      </c>
    </row>
    <row r="9" spans="1:29" s="117" customFormat="1">
      <c r="A9" s="68"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8" t="s">
        <v>2543</v>
      </c>
      <c r="Q9" s="1797" t="str">
        <f t="shared" ref="Q9:Q14" si="6">B9</f>
        <v>用途</v>
      </c>
      <c r="R9" s="769" t="s">
        <v>17</v>
      </c>
      <c r="S9" s="770">
        <f t="shared" si="0"/>
        <v>100</v>
      </c>
      <c r="T9" s="769" t="s">
        <v>17</v>
      </c>
      <c r="U9" s="770">
        <f t="shared" si="1"/>
        <v>100</v>
      </c>
      <c r="V9" s="769" t="s">
        <v>17</v>
      </c>
      <c r="W9" s="770">
        <f t="shared" si="2"/>
        <v>100</v>
      </c>
      <c r="X9" s="771"/>
      <c r="Y9" s="3045" t="s">
        <v>2544</v>
      </c>
      <c r="Z9" s="55" t="str">
        <f t="shared" ref="Z9:Z14" si="7">Q9</f>
        <v>用途</v>
      </c>
      <c r="AA9" s="772">
        <f t="shared" si="3"/>
        <v>1</v>
      </c>
      <c r="AB9" s="772">
        <f t="shared" si="4"/>
        <v>1</v>
      </c>
      <c r="AC9" s="772">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8"/>
      <c r="Q10" s="1797"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8"/>
      <c r="Q11" s="1797">
        <f t="shared" si="6"/>
        <v>111</v>
      </c>
      <c r="R11" s="769" t="s">
        <v>17</v>
      </c>
      <c r="S11" s="770">
        <f t="shared" si="0"/>
        <v>100</v>
      </c>
      <c r="T11" s="769" t="s">
        <v>17</v>
      </c>
      <c r="U11" s="770">
        <f t="shared" si="1"/>
        <v>100</v>
      </c>
      <c r="V11" s="769" t="s">
        <v>17</v>
      </c>
      <c r="W11" s="770">
        <f t="shared" si="2"/>
        <v>100</v>
      </c>
      <c r="X11" s="771"/>
      <c r="Y11" s="304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8"/>
      <c r="Q12" s="1797">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8"/>
      <c r="Q13" s="1797">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
      <c r="A14" s="400" t="s">
        <v>2547</v>
      </c>
      <c r="B14" s="628" t="s">
        <v>2697</v>
      </c>
      <c r="C14" s="2693">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1" t="s">
        <v>2548</v>
      </c>
      <c r="Q14" s="1812" t="str">
        <f t="shared" si="6"/>
        <v>交通便捷度</v>
      </c>
      <c r="R14" s="773" t="s">
        <v>17</v>
      </c>
      <c r="S14" s="774">
        <f t="shared" si="0"/>
        <v>100</v>
      </c>
      <c r="T14" s="773" t="s">
        <v>17</v>
      </c>
      <c r="U14" s="774">
        <f t="shared" si="1"/>
        <v>100</v>
      </c>
      <c r="V14" s="773" t="s">
        <v>17</v>
      </c>
      <c r="W14" s="774">
        <f t="shared" si="2"/>
        <v>100</v>
      </c>
      <c r="X14" s="1815"/>
      <c r="Y14" s="3171" t="s">
        <v>2548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72"/>
      <c r="Q15" s="1812"/>
      <c r="R15" s="773"/>
      <c r="S15" s="774"/>
      <c r="T15" s="773"/>
      <c r="U15" s="774"/>
      <c r="V15" s="773"/>
      <c r="W15" s="774"/>
      <c r="X15" s="1815"/>
      <c r="Y15" s="3172"/>
      <c r="Z15" s="1816"/>
      <c r="AA15" s="1813">
        <v>1</v>
      </c>
      <c r="AB15" s="1813">
        <v>1</v>
      </c>
      <c r="AC15" s="1813">
        <v>1</v>
      </c>
    </row>
    <row r="16" spans="1:29" ht="15">
      <c r="A16" s="403"/>
      <c r="B16" s="630" t="s">
        <v>2676</v>
      </c>
      <c r="C16" s="2607">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2"/>
      <c r="Q16" s="1812" t="str">
        <f>B16</f>
        <v>公共配套设施</v>
      </c>
      <c r="R16" s="773" t="s">
        <v>17</v>
      </c>
      <c r="S16" s="774">
        <f>F16</f>
        <v>100</v>
      </c>
      <c r="T16" s="773" t="s">
        <v>17</v>
      </c>
      <c r="U16" s="774">
        <f>H16</f>
        <v>100</v>
      </c>
      <c r="V16" s="773" t="s">
        <v>17</v>
      </c>
      <c r="W16" s="774">
        <f>J16</f>
        <v>100</v>
      </c>
      <c r="X16" s="1815"/>
      <c r="Y16" s="3172"/>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72"/>
      <c r="Q17" s="1812"/>
      <c r="R17" s="773"/>
      <c r="S17" s="774"/>
      <c r="T17" s="773"/>
      <c r="U17" s="774"/>
      <c r="V17" s="773"/>
      <c r="W17" s="774"/>
      <c r="X17" s="1815"/>
      <c r="Y17" s="3172"/>
      <c r="Z17" s="1816"/>
      <c r="AA17" s="1813">
        <v>1</v>
      </c>
      <c r="AB17" s="1813">
        <v>1</v>
      </c>
      <c r="AC17" s="1813">
        <v>1</v>
      </c>
    </row>
    <row r="18" spans="1:29" ht="15">
      <c r="A18" s="403"/>
      <c r="B18" s="632" t="s">
        <v>2677</v>
      </c>
      <c r="C18" s="2607">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2"/>
      <c r="Q18" s="1812" t="str">
        <f>B18</f>
        <v>基础设施水平</v>
      </c>
      <c r="R18" s="773" t="s">
        <v>17</v>
      </c>
      <c r="S18" s="774">
        <f>F18</f>
        <v>100</v>
      </c>
      <c r="T18" s="773" t="s">
        <v>17</v>
      </c>
      <c r="U18" s="774">
        <f>H18</f>
        <v>100</v>
      </c>
      <c r="V18" s="773" t="s">
        <v>17</v>
      </c>
      <c r="W18" s="774">
        <f>J18</f>
        <v>100</v>
      </c>
      <c r="X18" s="1815"/>
      <c r="Y18" s="3172"/>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72"/>
      <c r="Q19" s="1812"/>
      <c r="R19" s="773"/>
      <c r="S19" s="774"/>
      <c r="T19" s="773"/>
      <c r="U19" s="774"/>
      <c r="V19" s="773"/>
      <c r="W19" s="774"/>
      <c r="X19" s="1815"/>
      <c r="Y19" s="3172"/>
      <c r="Z19" s="1816"/>
      <c r="AA19" s="1813">
        <v>1</v>
      </c>
      <c r="AB19" s="1813">
        <v>1</v>
      </c>
      <c r="AC19" s="1813">
        <v>1</v>
      </c>
    </row>
    <row r="20" spans="1:29" ht="15">
      <c r="A20" s="403"/>
      <c r="B20" s="630" t="s">
        <v>2698</v>
      </c>
      <c r="C20" s="2607">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2"/>
      <c r="Q20" s="1812" t="str">
        <f>B20</f>
        <v>自然及人文环境</v>
      </c>
      <c r="R20" s="773" t="s">
        <v>17</v>
      </c>
      <c r="S20" s="774">
        <f>F20</f>
        <v>100</v>
      </c>
      <c r="T20" s="773" t="s">
        <v>17</v>
      </c>
      <c r="U20" s="774">
        <f>H20</f>
        <v>100</v>
      </c>
      <c r="V20" s="773" t="s">
        <v>17</v>
      </c>
      <c r="W20" s="774">
        <f>J20</f>
        <v>100</v>
      </c>
      <c r="X20" s="1815"/>
      <c r="Y20" s="317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72"/>
      <c r="Q21" s="1812"/>
      <c r="R21" s="773"/>
      <c r="S21" s="774"/>
      <c r="T21" s="773"/>
      <c r="U21" s="774"/>
      <c r="V21" s="773"/>
      <c r="W21" s="774"/>
      <c r="X21" s="1815"/>
      <c r="Y21" s="3172"/>
      <c r="Z21" s="1816"/>
      <c r="AA21" s="1813">
        <v>1</v>
      </c>
      <c r="AB21" s="1813">
        <v>1</v>
      </c>
      <c r="AC21" s="1813">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2"/>
      <c r="Q22" s="1812" t="str">
        <f>B22</f>
        <v>楼层</v>
      </c>
      <c r="R22" s="773" t="s">
        <v>17</v>
      </c>
      <c r="S22" s="774">
        <f>F22</f>
        <v>100</v>
      </c>
      <c r="T22" s="773" t="s">
        <v>17</v>
      </c>
      <c r="U22" s="774">
        <f>H22</f>
        <v>100</v>
      </c>
      <c r="V22" s="773" t="s">
        <v>17</v>
      </c>
      <c r="W22" s="774">
        <f>J22</f>
        <v>100</v>
      </c>
      <c r="X22" s="1815"/>
      <c r="Y22" s="317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2"/>
      <c r="Q23" s="1812">
        <f>B23</f>
        <v>111</v>
      </c>
      <c r="R23" s="773" t="s">
        <v>17</v>
      </c>
      <c r="S23" s="774">
        <f>F23</f>
        <v>100</v>
      </c>
      <c r="T23" s="773" t="s">
        <v>17</v>
      </c>
      <c r="U23" s="774">
        <f>H23</f>
        <v>100</v>
      </c>
      <c r="V23" s="773" t="s">
        <v>17</v>
      </c>
      <c r="W23" s="774">
        <f>J23</f>
        <v>100</v>
      </c>
      <c r="X23" s="1815"/>
      <c r="Y23" s="317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2"/>
      <c r="Q24" s="1812">
        <f t="shared" ref="Q24:Q36" si="11">B24</f>
        <v>111</v>
      </c>
      <c r="R24" s="773" t="s">
        <v>17</v>
      </c>
      <c r="S24" s="774">
        <f>F24</f>
        <v>100</v>
      </c>
      <c r="T24" s="773" t="s">
        <v>17</v>
      </c>
      <c r="U24" s="774">
        <f>H24</f>
        <v>100</v>
      </c>
      <c r="V24" s="773" t="s">
        <v>17</v>
      </c>
      <c r="W24" s="774">
        <f>J24</f>
        <v>100</v>
      </c>
      <c r="X24" s="1815"/>
      <c r="Y24" s="3172"/>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2"/>
      <c r="Q25" s="1797">
        <f t="shared" si="11"/>
        <v>111</v>
      </c>
      <c r="R25" s="769" t="s">
        <v>17</v>
      </c>
      <c r="S25" s="770">
        <f>F25</f>
        <v>100</v>
      </c>
      <c r="T25" s="769" t="s">
        <v>17</v>
      </c>
      <c r="U25" s="770">
        <f>H25</f>
        <v>100</v>
      </c>
      <c r="V25" s="769" t="s">
        <v>17</v>
      </c>
      <c r="W25" s="770">
        <f>J25</f>
        <v>100</v>
      </c>
      <c r="X25" s="771"/>
      <c r="Y25" s="3172"/>
      <c r="Z25" s="55">
        <f>Q25</f>
        <v>111</v>
      </c>
      <c r="AA25" s="1813">
        <f>D25/F25</f>
        <v>1</v>
      </c>
      <c r="AB25" s="1813">
        <f>D25/H25</f>
        <v>1</v>
      </c>
      <c r="AC25" s="1813">
        <f>D25/J25</f>
        <v>1</v>
      </c>
    </row>
    <row r="26" spans="1:29" ht="15">
      <c r="A26" s="651" t="s">
        <v>2551</v>
      </c>
      <c r="B26" s="70" t="s">
        <v>2700</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73" t="s">
        <v>2553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4" t="s">
        <v>2553</v>
      </c>
      <c r="Z26" s="1816" t="str">
        <f t="shared" ref="Z26:Z36" si="15">Q26</f>
        <v>配套类型</v>
      </c>
      <c r="AA26" s="1813">
        <f t="shared" si="3"/>
        <v>1</v>
      </c>
      <c r="AB26" s="1813">
        <f t="shared" si="4"/>
        <v>1</v>
      </c>
      <c r="AC26" s="1813">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4"/>
      <c r="Q27" s="775" t="str">
        <f t="shared" si="11"/>
        <v>项目停车位配比</v>
      </c>
      <c r="R27" s="776" t="s">
        <v>17</v>
      </c>
      <c r="S27" s="777">
        <f t="shared" si="12"/>
        <v>100</v>
      </c>
      <c r="T27" s="776" t="s">
        <v>17</v>
      </c>
      <c r="U27" s="777">
        <f t="shared" si="13"/>
        <v>100</v>
      </c>
      <c r="V27" s="776" t="s">
        <v>17</v>
      </c>
      <c r="W27" s="777">
        <f t="shared" si="14"/>
        <v>100</v>
      </c>
      <c r="X27" s="778"/>
      <c r="Y27" s="3174"/>
      <c r="Z27" s="779" t="str">
        <f t="shared" si="15"/>
        <v>项目停车位配比</v>
      </c>
      <c r="AA27" s="1813">
        <f t="shared" si="3"/>
        <v>1</v>
      </c>
      <c r="AB27" s="1813">
        <f t="shared" si="4"/>
        <v>1</v>
      </c>
      <c r="AC27" s="1813">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4"/>
      <c r="Q28" s="1812" t="str">
        <f t="shared" si="11"/>
        <v>公共部分装修</v>
      </c>
      <c r="R28" s="773" t="s">
        <v>17</v>
      </c>
      <c r="S28" s="774">
        <f t="shared" si="12"/>
        <v>100</v>
      </c>
      <c r="T28" s="773" t="s">
        <v>17</v>
      </c>
      <c r="U28" s="774">
        <f t="shared" si="13"/>
        <v>100</v>
      </c>
      <c r="V28" s="773" t="s">
        <v>17</v>
      </c>
      <c r="W28" s="774">
        <f t="shared" si="14"/>
        <v>100</v>
      </c>
      <c r="X28" s="1815"/>
      <c r="Y28" s="3174"/>
      <c r="Z28" s="1816" t="str">
        <f t="shared" si="15"/>
        <v>公共部分装修</v>
      </c>
      <c r="AA28" s="1813">
        <f t="shared" si="3"/>
        <v>1</v>
      </c>
      <c r="AB28" s="1813">
        <f t="shared" si="4"/>
        <v>1</v>
      </c>
      <c r="AC28" s="1813">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4"/>
      <c r="Q29" s="1812" t="str">
        <f t="shared" si="11"/>
        <v>成新率</v>
      </c>
      <c r="R29" s="773" t="s">
        <v>17</v>
      </c>
      <c r="S29" s="774" t="e">
        <f t="shared" si="12"/>
        <v>#N/A</v>
      </c>
      <c r="T29" s="773" t="s">
        <v>17</v>
      </c>
      <c r="U29" s="774" t="e">
        <f t="shared" si="13"/>
        <v>#N/A</v>
      </c>
      <c r="V29" s="773" t="s">
        <v>17</v>
      </c>
      <c r="W29" s="774" t="e">
        <f t="shared" si="14"/>
        <v>#N/A</v>
      </c>
      <c r="X29" s="1815"/>
      <c r="Y29" s="3174"/>
      <c r="Z29" s="1816" t="str">
        <f t="shared" si="15"/>
        <v>成新率</v>
      </c>
      <c r="AA29" s="1813" t="e">
        <f t="shared" si="3"/>
        <v>#N/A</v>
      </c>
      <c r="AB29" s="1813" t="e">
        <f t="shared" si="4"/>
        <v>#N/A</v>
      </c>
      <c r="AC29" s="1813"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4"/>
      <c r="Q30" s="1812" t="str">
        <f t="shared" si="11"/>
        <v>物业等级</v>
      </c>
      <c r="R30" s="773" t="s">
        <v>17</v>
      </c>
      <c r="S30" s="774">
        <f t="shared" si="12"/>
        <v>100</v>
      </c>
      <c r="T30" s="773" t="s">
        <v>17</v>
      </c>
      <c r="U30" s="774">
        <f t="shared" si="13"/>
        <v>100</v>
      </c>
      <c r="V30" s="773" t="s">
        <v>17</v>
      </c>
      <c r="W30" s="774">
        <f t="shared" si="14"/>
        <v>100</v>
      </c>
      <c r="X30" s="1815"/>
      <c r="Y30" s="3174"/>
      <c r="Z30" s="1816" t="str">
        <f t="shared" si="15"/>
        <v>物业等级</v>
      </c>
      <c r="AA30" s="1813">
        <f t="shared" si="3"/>
        <v>1</v>
      </c>
      <c r="AB30" s="1813">
        <f t="shared" si="4"/>
        <v>1</v>
      </c>
      <c r="AC30" s="1813">
        <f t="shared" si="5"/>
        <v>1</v>
      </c>
    </row>
    <row r="31" spans="1:29" s="117"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4"/>
      <c r="Q31" s="1797" t="str">
        <f t="shared" si="11"/>
        <v>停车位面积</v>
      </c>
      <c r="R31" s="769" t="s">
        <v>17</v>
      </c>
      <c r="S31" s="770" t="e">
        <f t="shared" si="12"/>
        <v>#N/A</v>
      </c>
      <c r="T31" s="769" t="s">
        <v>17</v>
      </c>
      <c r="U31" s="770" t="e">
        <f t="shared" si="13"/>
        <v>#N/A</v>
      </c>
      <c r="V31" s="769" t="s">
        <v>17</v>
      </c>
      <c r="W31" s="770" t="e">
        <f t="shared" si="14"/>
        <v>#N/A</v>
      </c>
      <c r="X31" s="771"/>
      <c r="Y31" s="3174"/>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4" t="s">
        <v>2553</v>
      </c>
      <c r="Q32" s="1812" t="str">
        <f t="shared" si="11"/>
        <v>车位类型</v>
      </c>
      <c r="R32" s="773" t="s">
        <v>17</v>
      </c>
      <c r="S32" s="774">
        <f t="shared" si="12"/>
        <v>100</v>
      </c>
      <c r="T32" s="773" t="s">
        <v>17</v>
      </c>
      <c r="U32" s="774">
        <f t="shared" si="13"/>
        <v>100</v>
      </c>
      <c r="V32" s="773" t="s">
        <v>17</v>
      </c>
      <c r="W32" s="774">
        <f t="shared" si="14"/>
        <v>100</v>
      </c>
      <c r="X32" s="1815"/>
      <c r="Y32" s="3174" t="s">
        <v>2553</v>
      </c>
      <c r="Z32" s="1816" t="str">
        <f t="shared" si="15"/>
        <v>车位类型</v>
      </c>
      <c r="AA32" s="1813">
        <f t="shared" si="3"/>
        <v>1</v>
      </c>
      <c r="AB32" s="1813">
        <f t="shared" si="4"/>
        <v>1</v>
      </c>
      <c r="AC32" s="1813">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4"/>
      <c r="Q33" s="1812" t="str">
        <f t="shared" si="11"/>
        <v>是否直接入户</v>
      </c>
      <c r="R33" s="773" t="s">
        <v>17</v>
      </c>
      <c r="S33" s="774">
        <f t="shared" si="12"/>
        <v>100</v>
      </c>
      <c r="T33" s="773" t="s">
        <v>17</v>
      </c>
      <c r="U33" s="774">
        <f t="shared" si="13"/>
        <v>100</v>
      </c>
      <c r="V33" s="773" t="s">
        <v>17</v>
      </c>
      <c r="W33" s="774">
        <f t="shared" si="14"/>
        <v>100</v>
      </c>
      <c r="X33" s="1815"/>
      <c r="Y33" s="317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4"/>
      <c r="Q34" s="1812">
        <f t="shared" si="11"/>
        <v>111</v>
      </c>
      <c r="R34" s="773" t="s">
        <v>17</v>
      </c>
      <c r="S34" s="774">
        <f t="shared" si="12"/>
        <v>100</v>
      </c>
      <c r="T34" s="773" t="s">
        <v>17</v>
      </c>
      <c r="U34" s="774">
        <f t="shared" si="13"/>
        <v>100</v>
      </c>
      <c r="V34" s="773" t="s">
        <v>17</v>
      </c>
      <c r="W34" s="774">
        <f t="shared" si="14"/>
        <v>100</v>
      </c>
      <c r="X34" s="1815"/>
      <c r="Y34" s="317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4"/>
      <c r="Q35" s="775">
        <f t="shared" si="11"/>
        <v>111</v>
      </c>
      <c r="R35" s="776" t="s">
        <v>17</v>
      </c>
      <c r="S35" s="777">
        <f t="shared" si="12"/>
        <v>100</v>
      </c>
      <c r="T35" s="776" t="s">
        <v>17</v>
      </c>
      <c r="U35" s="777">
        <f t="shared" si="13"/>
        <v>100</v>
      </c>
      <c r="V35" s="776" t="s">
        <v>17</v>
      </c>
      <c r="W35" s="777">
        <f t="shared" si="14"/>
        <v>100</v>
      </c>
      <c r="X35" s="778"/>
      <c r="Y35" s="317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4"/>
      <c r="Q36" s="1812">
        <f t="shared" si="11"/>
        <v>111</v>
      </c>
      <c r="R36" s="773" t="s">
        <v>17</v>
      </c>
      <c r="S36" s="774">
        <f t="shared" si="12"/>
        <v>100</v>
      </c>
      <c r="T36" s="773" t="s">
        <v>17</v>
      </c>
      <c r="U36" s="774">
        <f t="shared" si="13"/>
        <v>100</v>
      </c>
      <c r="V36" s="773" t="s">
        <v>17</v>
      </c>
      <c r="W36" s="774">
        <f t="shared" si="14"/>
        <v>100</v>
      </c>
      <c r="X36" s="1815"/>
      <c r="Y36" s="3174"/>
      <c r="Z36" s="1816">
        <f t="shared" si="15"/>
        <v>111</v>
      </c>
      <c r="AA36" s="1813">
        <f t="shared" si="3"/>
        <v>1</v>
      </c>
      <c r="AB36" s="1813">
        <f t="shared" si="4"/>
        <v>1</v>
      </c>
      <c r="AC36" s="1813">
        <f t="shared" si="5"/>
        <v>1</v>
      </c>
    </row>
    <row r="37" spans="1:29" ht="15">
      <c r="A37" s="478" t="s">
        <v>2708</v>
      </c>
      <c r="B37" s="2695" t="s">
        <v>2709</v>
      </c>
      <c r="C37" s="1409" t="s">
        <v>1</v>
      </c>
      <c r="D37" s="1410"/>
      <c r="E37" s="1411"/>
      <c r="F37" s="1412"/>
      <c r="G37" s="1413"/>
      <c r="H37" s="1414"/>
      <c r="I37" s="1411"/>
      <c r="J37" s="1414"/>
      <c r="K37" s="618"/>
      <c r="L37" s="1145"/>
      <c r="M37" s="1146"/>
      <c r="N37" s="1133"/>
      <c r="O37" s="1146"/>
      <c r="P37" s="3168" t="str">
        <f>A37</f>
        <v>成交单价</v>
      </c>
      <c r="Q37" s="3168"/>
      <c r="R37" s="3243">
        <f>E37</f>
        <v>0</v>
      </c>
      <c r="S37" s="3243"/>
      <c r="T37" s="3243">
        <f>G37</f>
        <v>0</v>
      </c>
      <c r="U37" s="3243"/>
      <c r="V37" s="3243">
        <f>I37</f>
        <v>0</v>
      </c>
      <c r="W37" s="3243"/>
      <c r="X37" s="758"/>
      <c r="Y37" s="780"/>
      <c r="Z37" s="758"/>
      <c r="AA37" s="758"/>
      <c r="AB37" s="758"/>
      <c r="AC37" s="758"/>
    </row>
    <row r="38" spans="1:29" ht="15.75" thickBot="1">
      <c r="A38" s="485" t="s">
        <v>2710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8" t="str">
        <f>A38</f>
        <v>比较价值（元/平方米）</v>
      </c>
      <c r="Q38" s="3168"/>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8"/>
      <c r="Y38" s="758"/>
      <c r="Z38" s="758"/>
      <c r="AA38" s="758"/>
      <c r="AB38" s="758"/>
      <c r="AC38" s="758"/>
    </row>
    <row r="39" spans="1:29" ht="15.75" thickBot="1">
      <c r="A39" s="491" t="s">
        <v>2711</v>
      </c>
      <c r="B39" s="492"/>
      <c r="C39" s="1419" t="e">
        <f>R39</f>
        <v>#DIV/0!</v>
      </c>
      <c r="D39" s="1419"/>
      <c r="E39" s="1419"/>
      <c r="F39" s="1419"/>
      <c r="G39" s="1419"/>
      <c r="H39" s="1419"/>
      <c r="I39" s="1419"/>
      <c r="J39" s="1419"/>
      <c r="K39" s="620"/>
      <c r="L39" s="1145"/>
      <c r="M39" s="1146"/>
      <c r="N39" s="1146"/>
      <c r="O39" s="1146"/>
      <c r="P39" s="3165" t="str">
        <f>A39</f>
        <v>估价对象XX用房的比较价值（楼面单价，元/平方米）</v>
      </c>
      <c r="Q39" s="3166"/>
      <c r="R39" s="3242" t="e">
        <f>IF(F1="售价",ROUND(AVERAGE(R38:V38),0),ROUND(AVERAGE(R38:V38),1))</f>
        <v>#DIV/0!</v>
      </c>
      <c r="S39" s="3242"/>
      <c r="T39" s="3242"/>
      <c r="U39" s="3242"/>
      <c r="V39" s="3242"/>
      <c r="W39" s="324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2716</v>
      </c>
      <c r="B48" s="505"/>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2538</v>
      </c>
      <c r="B51" s="509"/>
      <c r="C51" s="521" t="s">
        <v>2640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2576</v>
      </c>
      <c r="B53" s="527" t="s">
        <v>2542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2591</v>
      </c>
      <c r="C65" s="577" t="s">
        <v>2585</v>
      </c>
      <c r="D65" s="577" t="s">
        <v>2586</v>
      </c>
      <c r="E65" s="577" t="s">
        <v>2587</v>
      </c>
      <c r="F65" s="577" t="s">
        <v>2588</v>
      </c>
      <c r="G65" s="577" t="s">
        <v>2589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2677</v>
      </c>
      <c r="C67" s="659" t="s">
        <v>2663</v>
      </c>
      <c r="D67" s="659" t="s">
        <v>2664</v>
      </c>
      <c r="E67" s="659" t="s">
        <v>2665</v>
      </c>
      <c r="F67" s="659" t="s">
        <v>2666</v>
      </c>
      <c r="G67" s="659" t="s">
        <v>2667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2597</v>
      </c>
      <c r="C69" s="577" t="s">
        <v>2585</v>
      </c>
      <c r="D69" s="577" t="s">
        <v>2586</v>
      </c>
      <c r="E69" s="577" t="s">
        <v>2587</v>
      </c>
      <c r="F69" s="577" t="s">
        <v>2588</v>
      </c>
      <c r="G69" s="577" t="s">
        <v>2589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2551</v>
      </c>
      <c r="B79" s="527" t="s">
        <v>2718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2695</v>
      </c>
      <c r="B1" s="1621"/>
      <c r="C1" s="1622" t="s">
        <v>2518</v>
      </c>
      <c r="D1" s="1623"/>
      <c r="E1" s="1632"/>
      <c r="F1" s="2584"/>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2315</v>
      </c>
      <c r="B2" s="1420" t="e">
        <f ca="1">IF(C2="——",ROUND(C37*D3/10000,0),ROUND(C37*D3/10000,0)-D2)</f>
        <v>#DIV/0!</v>
      </c>
      <c r="C2" s="2586"/>
      <c r="D2" s="1126" t="e">
        <f ca="1">SUMIF(INDIRECT("'"&amp;F2&amp;"'"&amp;"!A:A"),"承租人权益价值",INDIRECT("'"&amp;F2&amp;"'"&amp;"!c:c"))</f>
        <v>#REF!</v>
      </c>
      <c r="E2" s="2587" t="s">
        <v>2316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2317</v>
      </c>
      <c r="B3" s="608" t="e">
        <f ca="1">IF(C2="——",C37,ROUND(B2*10000/D3,0))</f>
        <v>#DIV/0!</v>
      </c>
      <c r="C3" s="399" t="s">
        <v>2632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178" t="s">
        <v>2634</v>
      </c>
      <c r="D4" s="3179"/>
      <c r="E4" s="3180" t="s">
        <v>2635</v>
      </c>
      <c r="F4" s="3181"/>
      <c r="G4" s="3178" t="s">
        <v>2636</v>
      </c>
      <c r="H4" s="3179"/>
      <c r="I4" s="3178" t="s">
        <v>2637</v>
      </c>
      <c r="J4" s="3179"/>
      <c r="K4" s="609" t="s">
        <v>2638</v>
      </c>
      <c r="L4" s="1132"/>
      <c r="M4" s="1133"/>
      <c r="N4" s="1133"/>
      <c r="O4" s="1133"/>
      <c r="P4" s="3182" t="s">
        <v>2639</v>
      </c>
      <c r="Q4" s="3183"/>
      <c r="R4" s="3195" t="s">
        <v>2635</v>
      </c>
      <c r="S4" s="3196"/>
      <c r="T4" s="3195" t="s">
        <v>2636</v>
      </c>
      <c r="U4" s="3196"/>
      <c r="V4" s="3170" t="s">
        <v>2637</v>
      </c>
      <c r="W4" s="3170"/>
      <c r="X4" s="1815"/>
      <c r="Y4" s="3195" t="s">
        <v>2639</v>
      </c>
      <c r="Z4" s="3196"/>
      <c r="AA4" s="3175" t="s">
        <v>2635</v>
      </c>
      <c r="AB4" s="3176" t="s">
        <v>2636</v>
      </c>
      <c r="AC4" s="3175" t="s">
        <v>2637</v>
      </c>
    </row>
    <row r="5" spans="1:29" ht="15">
      <c r="A5" s="403"/>
      <c r="B5" s="404"/>
      <c r="C5" s="3199" t="s">
        <v>2530</v>
      </c>
      <c r="D5" s="3200"/>
      <c r="E5" s="3188" t="s">
        <v>2531</v>
      </c>
      <c r="F5" s="3189"/>
      <c r="G5" s="3199" t="s">
        <v>2532</v>
      </c>
      <c r="H5" s="3200"/>
      <c r="I5" s="3199" t="s">
        <v>2533</v>
      </c>
      <c r="J5" s="3200"/>
      <c r="K5" s="609"/>
      <c r="L5" s="1132"/>
      <c r="M5" s="1133"/>
      <c r="N5" s="1133"/>
      <c r="O5" s="1133"/>
      <c r="P5" s="3184"/>
      <c r="Q5" s="3185"/>
      <c r="R5" s="3197"/>
      <c r="S5" s="3198"/>
      <c r="T5" s="3197"/>
      <c r="U5" s="3198"/>
      <c r="V5" s="3170"/>
      <c r="W5" s="3170"/>
      <c r="X5" s="1815"/>
      <c r="Y5" s="3197"/>
      <c r="Z5" s="3198"/>
      <c r="AA5" s="3176"/>
      <c r="AB5" s="3176"/>
      <c r="AC5" s="3176"/>
    </row>
    <row r="6" spans="1:29" ht="15.75" thickBot="1">
      <c r="A6" s="405"/>
      <c r="B6" s="406"/>
      <c r="C6" s="3238" t="s">
        <v>2534</v>
      </c>
      <c r="D6" s="3239"/>
      <c r="E6" s="3240" t="s">
        <v>2534</v>
      </c>
      <c r="F6" s="3241"/>
      <c r="G6" s="3238" t="s">
        <v>2534</v>
      </c>
      <c r="H6" s="3239"/>
      <c r="I6" s="3238" t="s">
        <v>2534</v>
      </c>
      <c r="J6" s="3239"/>
      <c r="K6" s="609" t="s">
        <v>2535</v>
      </c>
      <c r="L6" s="1132"/>
      <c r="M6" s="1133"/>
      <c r="N6" s="1133"/>
      <c r="O6" s="1133"/>
      <c r="P6" s="3186"/>
      <c r="Q6" s="3187"/>
      <c r="R6" s="3197"/>
      <c r="S6" s="3198"/>
      <c r="T6" s="3206"/>
      <c r="U6" s="3207"/>
      <c r="V6" s="3170"/>
      <c r="W6" s="3170"/>
      <c r="X6" s="1815"/>
      <c r="Y6" s="3206"/>
      <c r="Z6" s="3207"/>
      <c r="AA6" s="3177"/>
      <c r="AB6" s="3177"/>
      <c r="AC6" s="3177"/>
    </row>
    <row r="7" spans="1:29" s="117" customFormat="1" ht="15.75" thickBot="1">
      <c r="A7" s="407" t="s">
        <v>2536</v>
      </c>
      <c r="B7" s="408"/>
      <c r="C7" s="409">
        <f>'数据-取费表'!B2</f>
        <v>43223</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190" t="s">
        <v>2537</v>
      </c>
      <c r="Q7" s="3203"/>
      <c r="R7" s="769" t="s">
        <v>17</v>
      </c>
      <c r="S7" s="770">
        <f t="shared" ref="S7:S14" si="0">F7</f>
        <v>0</v>
      </c>
      <c r="T7" s="769" t="s">
        <v>17</v>
      </c>
      <c r="U7" s="770">
        <f t="shared" ref="U7:U14" si="1">H7</f>
        <v>0</v>
      </c>
      <c r="V7" s="769" t="s">
        <v>17</v>
      </c>
      <c r="W7" s="770">
        <f t="shared" ref="W7:W14" si="2">J7</f>
        <v>0</v>
      </c>
      <c r="X7" s="771"/>
      <c r="Y7" s="3190" t="s">
        <v>2537</v>
      </c>
      <c r="Z7" s="3191"/>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0" t="s">
        <v>2540</v>
      </c>
      <c r="Q8" s="3191"/>
      <c r="R8" s="769" t="s">
        <v>17</v>
      </c>
      <c r="S8" s="770">
        <f t="shared" si="0"/>
        <v>0</v>
      </c>
      <c r="T8" s="769" t="s">
        <v>17</v>
      </c>
      <c r="U8" s="770">
        <f t="shared" si="1"/>
        <v>0</v>
      </c>
      <c r="V8" s="769" t="s">
        <v>17</v>
      </c>
      <c r="W8" s="770">
        <f t="shared" si="2"/>
        <v>0</v>
      </c>
      <c r="X8" s="771"/>
      <c r="Y8" s="3190" t="s">
        <v>2540</v>
      </c>
      <c r="Z8" s="3191"/>
      <c r="AA8" s="772" t="e">
        <f t="shared" ref="AA8:AA34" si="3">D8/F8</f>
        <v>#DIV/0!</v>
      </c>
      <c r="AB8" s="772" t="e">
        <f t="shared" ref="AB8:AB34" si="4">D8/H8</f>
        <v>#DIV/0!</v>
      </c>
      <c r="AC8" s="772" t="e">
        <f t="shared" ref="AC8:AC34" si="5">D8/J8</f>
        <v>#DIV/0!</v>
      </c>
    </row>
    <row r="9" spans="1:29" s="117" customFormat="1">
      <c r="A9" s="414" t="s">
        <v>2541</v>
      </c>
      <c r="B9" s="71" t="s">
        <v>2542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8" t="s">
        <v>2543</v>
      </c>
      <c r="Q9" s="1797" t="str">
        <f t="shared" ref="Q9:Q14" si="6">B9</f>
        <v>用途</v>
      </c>
      <c r="R9" s="769" t="s">
        <v>17</v>
      </c>
      <c r="S9" s="770">
        <f t="shared" si="0"/>
        <v>100</v>
      </c>
      <c r="T9" s="769" t="s">
        <v>17</v>
      </c>
      <c r="U9" s="770">
        <f t="shared" si="1"/>
        <v>100</v>
      </c>
      <c r="V9" s="769" t="s">
        <v>17</v>
      </c>
      <c r="W9" s="770">
        <f t="shared" si="2"/>
        <v>100</v>
      </c>
      <c r="X9" s="771"/>
      <c r="Y9" s="3045" t="s">
        <v>2544</v>
      </c>
      <c r="Z9" s="55" t="str">
        <f t="shared" ref="Z9:Z14" si="7">Q9</f>
        <v>用途</v>
      </c>
      <c r="AA9" s="772">
        <f t="shared" si="3"/>
        <v>1</v>
      </c>
      <c r="AB9" s="772">
        <f t="shared" si="4"/>
        <v>1</v>
      </c>
      <c r="AC9" s="772">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8"/>
      <c r="Q10" s="1797"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8"/>
      <c r="Q11" s="1797">
        <f t="shared" si="6"/>
        <v>111</v>
      </c>
      <c r="R11" s="769" t="s">
        <v>17</v>
      </c>
      <c r="S11" s="770">
        <f t="shared" si="0"/>
        <v>100</v>
      </c>
      <c r="T11" s="769" t="s">
        <v>17</v>
      </c>
      <c r="U11" s="770">
        <f t="shared" si="1"/>
        <v>100</v>
      </c>
      <c r="V11" s="769" t="s">
        <v>17</v>
      </c>
      <c r="W11" s="770">
        <f t="shared" si="2"/>
        <v>100</v>
      </c>
      <c r="X11" s="771"/>
      <c r="Y11" s="3045"/>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8"/>
      <c r="Q12" s="1797">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68"/>
      <c r="Q13" s="1797">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
      <c r="A14" s="439" t="s">
        <v>2547</v>
      </c>
      <c r="B14" s="69" t="s">
        <v>2697</v>
      </c>
      <c r="C14" s="269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1" t="s">
        <v>2548</v>
      </c>
      <c r="Q14" s="1812" t="str">
        <f t="shared" si="6"/>
        <v>交通便捷度</v>
      </c>
      <c r="R14" s="773" t="s">
        <v>17</v>
      </c>
      <c r="S14" s="774">
        <f t="shared" si="0"/>
        <v>100</v>
      </c>
      <c r="T14" s="773" t="s">
        <v>17</v>
      </c>
      <c r="U14" s="774">
        <f t="shared" si="1"/>
        <v>100</v>
      </c>
      <c r="V14" s="773" t="s">
        <v>17</v>
      </c>
      <c r="W14" s="774">
        <f t="shared" si="2"/>
        <v>100</v>
      </c>
      <c r="X14" s="1815"/>
      <c r="Y14" s="3171" t="s">
        <v>2548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72"/>
      <c r="Q15" s="1812"/>
      <c r="R15" s="773"/>
      <c r="S15" s="774"/>
      <c r="T15" s="773"/>
      <c r="U15" s="774"/>
      <c r="V15" s="773"/>
      <c r="W15" s="774"/>
      <c r="X15" s="1815"/>
      <c r="Y15" s="3172"/>
      <c r="Z15" s="1816"/>
      <c r="AA15" s="1813">
        <v>1</v>
      </c>
      <c r="AB15" s="1813">
        <v>1</v>
      </c>
      <c r="AC15" s="1813">
        <v>1</v>
      </c>
    </row>
    <row r="16" spans="1:29" ht="15">
      <c r="A16" s="427"/>
      <c r="B16" s="450" t="s">
        <v>2676</v>
      </c>
      <c r="C16" s="260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2"/>
      <c r="Q16" s="1812" t="str">
        <f>B16</f>
        <v>公共配套设施</v>
      </c>
      <c r="R16" s="773" t="s">
        <v>17</v>
      </c>
      <c r="S16" s="774">
        <f>F16</f>
        <v>100</v>
      </c>
      <c r="T16" s="773" t="s">
        <v>17</v>
      </c>
      <c r="U16" s="774">
        <f>H16</f>
        <v>100</v>
      </c>
      <c r="V16" s="773" t="s">
        <v>17</v>
      </c>
      <c r="W16" s="774">
        <f>J16</f>
        <v>100</v>
      </c>
      <c r="X16" s="1815"/>
      <c r="Y16" s="3172"/>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72"/>
      <c r="Q17" s="1812"/>
      <c r="R17" s="773"/>
      <c r="S17" s="774"/>
      <c r="T17" s="773"/>
      <c r="U17" s="774"/>
      <c r="V17" s="773"/>
      <c r="W17" s="774"/>
      <c r="X17" s="1815"/>
      <c r="Y17" s="3172"/>
      <c r="Z17" s="1816"/>
      <c r="AA17" s="1813">
        <v>1</v>
      </c>
      <c r="AB17" s="1813">
        <v>1</v>
      </c>
      <c r="AC17" s="1813">
        <v>1</v>
      </c>
    </row>
    <row r="18" spans="1:29" ht="15">
      <c r="A18" s="427"/>
      <c r="B18" s="1386" t="s">
        <v>2677</v>
      </c>
      <c r="C18" s="260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2"/>
      <c r="Q18" s="1812" t="str">
        <f>B18</f>
        <v>基础设施水平</v>
      </c>
      <c r="R18" s="773" t="s">
        <v>17</v>
      </c>
      <c r="S18" s="774">
        <f>F18</f>
        <v>100</v>
      </c>
      <c r="T18" s="773" t="s">
        <v>17</v>
      </c>
      <c r="U18" s="774">
        <f>H18</f>
        <v>100</v>
      </c>
      <c r="V18" s="773" t="s">
        <v>17</v>
      </c>
      <c r="W18" s="774">
        <f>J18</f>
        <v>100</v>
      </c>
      <c r="X18" s="1815"/>
      <c r="Y18" s="3172"/>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72"/>
      <c r="Q19" s="1812"/>
      <c r="R19" s="773"/>
      <c r="S19" s="774"/>
      <c r="T19" s="773"/>
      <c r="U19" s="774"/>
      <c r="V19" s="773"/>
      <c r="W19" s="774"/>
      <c r="X19" s="1815"/>
      <c r="Y19" s="3172"/>
      <c r="Z19" s="1816"/>
      <c r="AA19" s="1813">
        <v>1</v>
      </c>
      <c r="AB19" s="1813">
        <v>1</v>
      </c>
      <c r="AC19" s="1813">
        <v>1</v>
      </c>
    </row>
    <row r="20" spans="1:29" ht="15">
      <c r="A20" s="427"/>
      <c r="B20" s="450" t="s">
        <v>2698</v>
      </c>
      <c r="C20" s="260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2"/>
      <c r="Q20" s="1812" t="str">
        <f>B20</f>
        <v>自然及人文环境</v>
      </c>
      <c r="R20" s="773" t="s">
        <v>17</v>
      </c>
      <c r="S20" s="774">
        <f>F20</f>
        <v>100</v>
      </c>
      <c r="T20" s="773" t="s">
        <v>17</v>
      </c>
      <c r="U20" s="774">
        <f>H20</f>
        <v>100</v>
      </c>
      <c r="V20" s="773" t="s">
        <v>17</v>
      </c>
      <c r="W20" s="774">
        <f>J20</f>
        <v>100</v>
      </c>
      <c r="X20" s="1815"/>
      <c r="Y20" s="317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72"/>
      <c r="Q21" s="1812"/>
      <c r="R21" s="773"/>
      <c r="S21" s="774"/>
      <c r="T21" s="773"/>
      <c r="U21" s="774"/>
      <c r="V21" s="773"/>
      <c r="W21" s="774"/>
      <c r="X21" s="1815"/>
      <c r="Y21" s="3172"/>
      <c r="Z21" s="1816"/>
      <c r="AA21" s="1813">
        <v>1</v>
      </c>
      <c r="AB21" s="1813">
        <v>1</v>
      </c>
      <c r="AC21" s="1813">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2"/>
      <c r="Q22" s="1812" t="str">
        <f>B22</f>
        <v>楼层</v>
      </c>
      <c r="R22" s="773" t="s">
        <v>17</v>
      </c>
      <c r="S22" s="774">
        <f>F22</f>
        <v>100</v>
      </c>
      <c r="T22" s="773" t="s">
        <v>17</v>
      </c>
      <c r="U22" s="774">
        <f>H22</f>
        <v>100</v>
      </c>
      <c r="V22" s="773" t="s">
        <v>17</v>
      </c>
      <c r="W22" s="774">
        <f>J22</f>
        <v>100</v>
      </c>
      <c r="X22" s="1815"/>
      <c r="Y22" s="3172"/>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2"/>
      <c r="Q23" s="1812">
        <f>B23</f>
        <v>111</v>
      </c>
      <c r="R23" s="773" t="s">
        <v>17</v>
      </c>
      <c r="S23" s="774">
        <f>F23</f>
        <v>100</v>
      </c>
      <c r="T23" s="773" t="s">
        <v>17</v>
      </c>
      <c r="U23" s="774">
        <f>H23</f>
        <v>100</v>
      </c>
      <c r="V23" s="773" t="s">
        <v>17</v>
      </c>
      <c r="W23" s="774">
        <f>J23</f>
        <v>100</v>
      </c>
      <c r="X23" s="1815"/>
      <c r="Y23" s="3172"/>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2"/>
      <c r="Q24" s="1812">
        <f t="shared" ref="Q24:Q34" si="11">B24</f>
        <v>111</v>
      </c>
      <c r="R24" s="773" t="s">
        <v>17</v>
      </c>
      <c r="S24" s="774">
        <f>F24</f>
        <v>100</v>
      </c>
      <c r="T24" s="773" t="s">
        <v>17</v>
      </c>
      <c r="U24" s="774">
        <f>H24</f>
        <v>100</v>
      </c>
      <c r="V24" s="773" t="s">
        <v>17</v>
      </c>
      <c r="W24" s="774">
        <f>J24</f>
        <v>100</v>
      </c>
      <c r="X24" s="1815"/>
      <c r="Y24" s="3172"/>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72"/>
      <c r="Q25" s="1797">
        <f t="shared" si="11"/>
        <v>111</v>
      </c>
      <c r="R25" s="769" t="s">
        <v>17</v>
      </c>
      <c r="S25" s="770">
        <f>F25</f>
        <v>100</v>
      </c>
      <c r="T25" s="769" t="s">
        <v>17</v>
      </c>
      <c r="U25" s="770">
        <f>H25</f>
        <v>100</v>
      </c>
      <c r="V25" s="769" t="s">
        <v>17</v>
      </c>
      <c r="W25" s="770">
        <f>J25</f>
        <v>100</v>
      </c>
      <c r="X25" s="771"/>
      <c r="Y25" s="3172"/>
      <c r="Z25" s="55">
        <f>Q25</f>
        <v>111</v>
      </c>
      <c r="AA25" s="1813">
        <f>D25/F25</f>
        <v>1</v>
      </c>
      <c r="AB25" s="1813">
        <f>D25/H25</f>
        <v>1</v>
      </c>
      <c r="AC25" s="1813">
        <f>D25/J25</f>
        <v>1</v>
      </c>
    </row>
    <row r="26" spans="1:29" ht="15">
      <c r="A26" s="465" t="s">
        <v>2551</v>
      </c>
      <c r="B26" s="71" t="s">
        <v>2702</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173" t="s">
        <v>2553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4" t="s">
        <v>2553</v>
      </c>
      <c r="Z26" s="1816" t="str">
        <f t="shared" ref="Z26:Z34" si="15">Q26</f>
        <v>公共部分装修</v>
      </c>
      <c r="AA26" s="1813">
        <f t="shared" si="3"/>
        <v>1</v>
      </c>
      <c r="AB26" s="1813">
        <f t="shared" si="4"/>
        <v>1</v>
      </c>
      <c r="AC26" s="1813">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4"/>
      <c r="Q27" s="775" t="str">
        <f t="shared" si="11"/>
        <v>成新率</v>
      </c>
      <c r="R27" s="776" t="s">
        <v>17</v>
      </c>
      <c r="S27" s="777" t="e">
        <f t="shared" si="12"/>
        <v>#N/A</v>
      </c>
      <c r="T27" s="776" t="s">
        <v>17</v>
      </c>
      <c r="U27" s="777" t="e">
        <f t="shared" si="13"/>
        <v>#N/A</v>
      </c>
      <c r="V27" s="776" t="s">
        <v>17</v>
      </c>
      <c r="W27" s="777" t="e">
        <f t="shared" si="14"/>
        <v>#N/A</v>
      </c>
      <c r="X27" s="778"/>
      <c r="Y27" s="3174"/>
      <c r="Z27" s="779" t="str">
        <f t="shared" si="15"/>
        <v>成新率</v>
      </c>
      <c r="AA27" s="1813" t="e">
        <f t="shared" si="3"/>
        <v>#N/A</v>
      </c>
      <c r="AB27" s="1813" t="e">
        <f t="shared" si="4"/>
        <v>#N/A</v>
      </c>
      <c r="AC27" s="1813"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4"/>
      <c r="Q28" s="1812" t="str">
        <f t="shared" si="11"/>
        <v>物业等级</v>
      </c>
      <c r="R28" s="773" t="s">
        <v>17</v>
      </c>
      <c r="S28" s="774">
        <f t="shared" si="12"/>
        <v>100</v>
      </c>
      <c r="T28" s="773" t="s">
        <v>17</v>
      </c>
      <c r="U28" s="774">
        <f t="shared" si="13"/>
        <v>100</v>
      </c>
      <c r="V28" s="773" t="s">
        <v>17</v>
      </c>
      <c r="W28" s="774">
        <f t="shared" si="14"/>
        <v>100</v>
      </c>
      <c r="X28" s="1815"/>
      <c r="Y28" s="3174"/>
      <c r="Z28" s="1816" t="str">
        <f t="shared" si="15"/>
        <v>物业等级</v>
      </c>
      <c r="AA28" s="1813">
        <f t="shared" si="3"/>
        <v>1</v>
      </c>
      <c r="AB28" s="1813">
        <f t="shared" si="4"/>
        <v>1</v>
      </c>
      <c r="AC28" s="1813">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4"/>
      <c r="Q29" s="1812" t="str">
        <f t="shared" si="11"/>
        <v>有无电梯</v>
      </c>
      <c r="R29" s="773" t="s">
        <v>17</v>
      </c>
      <c r="S29" s="774">
        <f t="shared" si="12"/>
        <v>100</v>
      </c>
      <c r="T29" s="773" t="s">
        <v>17</v>
      </c>
      <c r="U29" s="774">
        <f t="shared" si="13"/>
        <v>100</v>
      </c>
      <c r="V29" s="773" t="s">
        <v>17</v>
      </c>
      <c r="W29" s="774">
        <f t="shared" si="14"/>
        <v>100</v>
      </c>
      <c r="X29" s="1815"/>
      <c r="Y29" s="3174"/>
      <c r="Z29" s="1816" t="str">
        <f t="shared" si="15"/>
        <v>有无电梯</v>
      </c>
      <c r="AA29" s="1813">
        <f t="shared" si="3"/>
        <v>1</v>
      </c>
      <c r="AB29" s="1813">
        <f t="shared" si="4"/>
        <v>1</v>
      </c>
      <c r="AC29" s="1813">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4"/>
      <c r="Q30" s="1812" t="str">
        <f t="shared" si="11"/>
        <v>建筑面积</v>
      </c>
      <c r="R30" s="773" t="s">
        <v>17</v>
      </c>
      <c r="S30" s="774" t="e">
        <f t="shared" si="12"/>
        <v>#N/A</v>
      </c>
      <c r="T30" s="773" t="s">
        <v>17</v>
      </c>
      <c r="U30" s="774" t="e">
        <f t="shared" si="13"/>
        <v>#N/A</v>
      </c>
      <c r="V30" s="773" t="s">
        <v>17</v>
      </c>
      <c r="W30" s="774" t="e">
        <f t="shared" si="14"/>
        <v>#N/A</v>
      </c>
      <c r="X30" s="1815"/>
      <c r="Y30" s="3174"/>
      <c r="Z30" s="1816" t="str">
        <f t="shared" si="15"/>
        <v>建筑面积</v>
      </c>
      <c r="AA30" s="1813" t="e">
        <f t="shared" si="3"/>
        <v>#N/A</v>
      </c>
      <c r="AB30" s="1813" t="e">
        <f t="shared" si="4"/>
        <v>#N/A</v>
      </c>
      <c r="AC30" s="1813" t="e">
        <f t="shared" si="5"/>
        <v>#N/A</v>
      </c>
    </row>
    <row r="31" spans="1:29" s="117"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4"/>
      <c r="Q31" s="1797" t="str">
        <f t="shared" si="11"/>
        <v>是否封闭</v>
      </c>
      <c r="R31" s="769" t="s">
        <v>17</v>
      </c>
      <c r="S31" s="770">
        <f t="shared" si="12"/>
        <v>100</v>
      </c>
      <c r="T31" s="769" t="s">
        <v>17</v>
      </c>
      <c r="U31" s="770">
        <f t="shared" si="13"/>
        <v>100</v>
      </c>
      <c r="V31" s="769" t="s">
        <v>17</v>
      </c>
      <c r="W31" s="770">
        <f t="shared" si="14"/>
        <v>100</v>
      </c>
      <c r="X31" s="771"/>
      <c r="Y31" s="3174"/>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4" t="s">
        <v>2553</v>
      </c>
      <c r="Q32" s="1812">
        <f t="shared" si="11"/>
        <v>111</v>
      </c>
      <c r="R32" s="773" t="s">
        <v>17</v>
      </c>
      <c r="S32" s="774">
        <f t="shared" si="12"/>
        <v>100</v>
      </c>
      <c r="T32" s="773" t="s">
        <v>17</v>
      </c>
      <c r="U32" s="774">
        <f t="shared" si="13"/>
        <v>100</v>
      </c>
      <c r="V32" s="773" t="s">
        <v>17</v>
      </c>
      <c r="W32" s="774">
        <f t="shared" si="14"/>
        <v>100</v>
      </c>
      <c r="X32" s="1815"/>
      <c r="Y32" s="3174" t="s">
        <v>2553</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4"/>
      <c r="Q33" s="1812">
        <f t="shared" si="11"/>
        <v>111</v>
      </c>
      <c r="R33" s="773" t="s">
        <v>17</v>
      </c>
      <c r="S33" s="774">
        <f t="shared" si="12"/>
        <v>100</v>
      </c>
      <c r="T33" s="773" t="s">
        <v>17</v>
      </c>
      <c r="U33" s="774">
        <f t="shared" si="13"/>
        <v>100</v>
      </c>
      <c r="V33" s="773" t="s">
        <v>17</v>
      </c>
      <c r="W33" s="774">
        <f t="shared" si="14"/>
        <v>100</v>
      </c>
      <c r="X33" s="1815"/>
      <c r="Y33" s="3174"/>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74"/>
      <c r="Q34" s="1812">
        <f t="shared" si="11"/>
        <v>111</v>
      </c>
      <c r="R34" s="773" t="s">
        <v>17</v>
      </c>
      <c r="S34" s="774">
        <f t="shared" si="12"/>
        <v>100</v>
      </c>
      <c r="T34" s="773" t="s">
        <v>17</v>
      </c>
      <c r="U34" s="774">
        <f t="shared" si="13"/>
        <v>100</v>
      </c>
      <c r="V34" s="773" t="s">
        <v>17</v>
      </c>
      <c r="W34" s="774">
        <f t="shared" si="14"/>
        <v>100</v>
      </c>
      <c r="X34" s="1815"/>
      <c r="Y34" s="3174"/>
      <c r="Z34" s="1816">
        <f t="shared" si="15"/>
        <v>111</v>
      </c>
      <c r="AA34" s="1813">
        <f t="shared" si="3"/>
        <v>1</v>
      </c>
      <c r="AB34" s="1813">
        <f t="shared" si="4"/>
        <v>1</v>
      </c>
      <c r="AC34" s="1813">
        <f t="shared" si="5"/>
        <v>1</v>
      </c>
    </row>
    <row r="35" spans="1:29" ht="15">
      <c r="A35" s="478" t="s">
        <v>2565</v>
      </c>
      <c r="B35" s="479"/>
      <c r="C35" s="1409" t="s">
        <v>1</v>
      </c>
      <c r="D35" s="1410"/>
      <c r="E35" s="1411"/>
      <c r="F35" s="1412"/>
      <c r="G35" s="1413"/>
      <c r="H35" s="1414"/>
      <c r="I35" s="1411"/>
      <c r="J35" s="1414"/>
      <c r="K35" s="782"/>
      <c r="L35" s="1145"/>
      <c r="M35" s="1146"/>
      <c r="N35" s="1133"/>
      <c r="O35" s="1146"/>
      <c r="P35" s="3168" t="str">
        <f>A35</f>
        <v>成交单价（元/平方米）</v>
      </c>
      <c r="Q35" s="3168"/>
      <c r="R35" s="3243">
        <f>E35</f>
        <v>0</v>
      </c>
      <c r="S35" s="3243"/>
      <c r="T35" s="3243">
        <f>G35</f>
        <v>0</v>
      </c>
      <c r="U35" s="3243"/>
      <c r="V35" s="3243">
        <f>I35</f>
        <v>0</v>
      </c>
      <c r="W35" s="3243"/>
      <c r="X35" s="758"/>
      <c r="Y35" s="780"/>
      <c r="Z35" s="758"/>
      <c r="AA35" s="758"/>
      <c r="AB35" s="758"/>
      <c r="AC35" s="758"/>
    </row>
    <row r="36" spans="1:29" ht="15.75" thickBot="1">
      <c r="A36" s="485" t="s">
        <v>2657</v>
      </c>
      <c r="B36" s="486"/>
      <c r="C36" s="1415" t="e">
        <f>R37</f>
        <v>#DIV/0!</v>
      </c>
      <c r="D36" s="1416"/>
      <c r="E36" s="1417" t="e">
        <f>R36</f>
        <v>#DIV/0!</v>
      </c>
      <c r="F36" s="1417"/>
      <c r="G36" s="1415" t="e">
        <f>T36</f>
        <v>#DIV/0!</v>
      </c>
      <c r="H36" s="1416"/>
      <c r="I36" s="1417" t="e">
        <f>V36</f>
        <v>#DIV/0!</v>
      </c>
      <c r="J36" s="1416"/>
      <c r="K36" s="783"/>
      <c r="L36" s="1145"/>
      <c r="M36" s="1146"/>
      <c r="N36" s="1133"/>
      <c r="O36" s="1146"/>
      <c r="P36" s="3168" t="str">
        <f>A36</f>
        <v>比较价值（元/平方米）</v>
      </c>
      <c r="Q36" s="3168"/>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8"/>
      <c r="Y36" s="758"/>
      <c r="Z36" s="758"/>
      <c r="AA36" s="758"/>
      <c r="AB36" s="758"/>
      <c r="AC36" s="758"/>
    </row>
    <row r="37" spans="1:29" ht="15.75" thickBot="1">
      <c r="A37" s="491" t="s">
        <v>2658</v>
      </c>
      <c r="B37" s="492"/>
      <c r="C37" s="1419" t="e">
        <f>R37</f>
        <v>#DIV/0!</v>
      </c>
      <c r="D37" s="1419"/>
      <c r="E37" s="1419"/>
      <c r="F37" s="1419"/>
      <c r="G37" s="1419"/>
      <c r="H37" s="1419"/>
      <c r="I37" s="1419"/>
      <c r="J37" s="1419"/>
      <c r="K37" s="784"/>
      <c r="L37" s="1145"/>
      <c r="M37" s="1146"/>
      <c r="N37" s="1146"/>
      <c r="O37" s="1146"/>
      <c r="P37" s="3165" t="str">
        <f>A37</f>
        <v>估价对象XX用房的比较价值（楼面单价，元/平方米）</v>
      </c>
      <c r="Q37" s="3166"/>
      <c r="R37" s="3242" t="e">
        <f>IF(F1="售价",ROUND(AVERAGE(R36:V36),0),ROUND(AVERAGE(R36:V36),1))</f>
        <v>#DIV/0!</v>
      </c>
      <c r="S37" s="3242"/>
      <c r="T37" s="3242"/>
      <c r="U37" s="3242"/>
      <c r="V37" s="3242"/>
      <c r="W37" s="324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2576</v>
      </c>
      <c r="B51" s="527" t="s">
        <v>2542</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2717</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2551</v>
      </c>
      <c r="B77" s="527" t="s">
        <v>2604</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2721</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2729</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2317</v>
      </c>
      <c r="B3" s="608" t="e">
        <f>ROUND(IF(D3="",B2*10000/'数据-汇总表'!E3,B2*10000/D3),0)</f>
        <v>#DIV/0!</v>
      </c>
      <c r="C3" s="246" t="s">
        <v>2734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2633</v>
      </c>
      <c r="B4" s="401"/>
      <c r="C4" s="3178" t="s">
        <v>2634</v>
      </c>
      <c r="D4" s="3179"/>
      <c r="E4" s="3180" t="s">
        <v>2635</v>
      </c>
      <c r="F4" s="3181"/>
      <c r="G4" s="3178" t="s">
        <v>2636</v>
      </c>
      <c r="H4" s="3179"/>
      <c r="I4" s="3178" t="s">
        <v>2637</v>
      </c>
      <c r="J4" s="3179"/>
      <c r="K4" s="609" t="s">
        <v>2638</v>
      </c>
      <c r="L4" s="1132"/>
      <c r="M4" s="1133"/>
      <c r="N4" s="1133"/>
      <c r="O4" s="1133"/>
      <c r="P4" s="3182" t="s">
        <v>2639</v>
      </c>
      <c r="Q4" s="3183"/>
      <c r="R4" s="3195" t="s">
        <v>2635</v>
      </c>
      <c r="S4" s="3196"/>
      <c r="T4" s="3195" t="s">
        <v>2636</v>
      </c>
      <c r="U4" s="3196"/>
      <c r="V4" s="3170" t="s">
        <v>2637</v>
      </c>
      <c r="W4" s="3170"/>
      <c r="X4" s="1815"/>
      <c r="Y4" s="3195" t="s">
        <v>2639</v>
      </c>
      <c r="Z4" s="3196"/>
      <c r="AA4" s="3175" t="s">
        <v>2635</v>
      </c>
      <c r="AB4" s="3176" t="s">
        <v>2636</v>
      </c>
      <c r="AC4" s="3175" t="s">
        <v>2637</v>
      </c>
    </row>
    <row r="5" spans="1:30" ht="15">
      <c r="A5" s="403"/>
      <c r="B5" s="404"/>
      <c r="C5" s="3199" t="s">
        <v>2530</v>
      </c>
      <c r="D5" s="3200"/>
      <c r="E5" s="3188" t="s">
        <v>2531</v>
      </c>
      <c r="F5" s="3189"/>
      <c r="G5" s="3199" t="s">
        <v>2532</v>
      </c>
      <c r="H5" s="3200"/>
      <c r="I5" s="3199" t="s">
        <v>2533</v>
      </c>
      <c r="J5" s="3200"/>
      <c r="K5" s="609"/>
      <c r="L5" s="1132"/>
      <c r="M5" s="1133"/>
      <c r="N5" s="1133"/>
      <c r="O5" s="1133"/>
      <c r="P5" s="3184"/>
      <c r="Q5" s="3185"/>
      <c r="R5" s="3197"/>
      <c r="S5" s="3198"/>
      <c r="T5" s="3197"/>
      <c r="U5" s="3198"/>
      <c r="V5" s="3170"/>
      <c r="W5" s="3170"/>
      <c r="X5" s="1815"/>
      <c r="Y5" s="3197"/>
      <c r="Z5" s="3198"/>
      <c r="AA5" s="3176"/>
      <c r="AB5" s="3176"/>
      <c r="AC5" s="3176"/>
    </row>
    <row r="6" spans="1:30" ht="15.75" thickBot="1">
      <c r="A6" s="405"/>
      <c r="B6" s="406"/>
      <c r="C6" s="3238" t="s">
        <v>2534</v>
      </c>
      <c r="D6" s="3239"/>
      <c r="E6" s="3240" t="s">
        <v>2534</v>
      </c>
      <c r="F6" s="3241"/>
      <c r="G6" s="3238" t="s">
        <v>2534</v>
      </c>
      <c r="H6" s="3239"/>
      <c r="I6" s="3238" t="s">
        <v>2534</v>
      </c>
      <c r="J6" s="3239"/>
      <c r="K6" s="609" t="s">
        <v>2535</v>
      </c>
      <c r="L6" s="1132"/>
      <c r="M6" s="1133"/>
      <c r="N6" s="1133"/>
      <c r="O6" s="1133"/>
      <c r="P6" s="3186"/>
      <c r="Q6" s="3187"/>
      <c r="R6" s="3197"/>
      <c r="S6" s="3198"/>
      <c r="T6" s="3206"/>
      <c r="U6" s="3207"/>
      <c r="V6" s="3170"/>
      <c r="W6" s="3170"/>
      <c r="X6" s="1815"/>
      <c r="Y6" s="3206"/>
      <c r="Z6" s="3207"/>
      <c r="AA6" s="3177"/>
      <c r="AB6" s="3177"/>
      <c r="AC6" s="3177"/>
    </row>
    <row r="7" spans="1:30" s="117" customFormat="1" ht="15.75" thickBot="1">
      <c r="A7" s="407" t="s">
        <v>2536</v>
      </c>
      <c r="B7" s="408"/>
      <c r="C7" s="409">
        <f>'数据-取费表'!B2</f>
        <v>43223</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190" t="s">
        <v>2537</v>
      </c>
      <c r="Q7" s="3203"/>
      <c r="R7" s="769" t="s">
        <v>17</v>
      </c>
      <c r="S7" s="770">
        <f t="shared" ref="S7:S15" si="0">F7</f>
        <v>0</v>
      </c>
      <c r="T7" s="769" t="s">
        <v>17</v>
      </c>
      <c r="U7" s="770">
        <f t="shared" ref="U7:U15" si="1">H7</f>
        <v>0</v>
      </c>
      <c r="V7" s="769" t="s">
        <v>17</v>
      </c>
      <c r="W7" s="770">
        <f t="shared" ref="W7:W15" si="2">J7</f>
        <v>0</v>
      </c>
      <c r="X7" s="771"/>
      <c r="Y7" s="3190" t="s">
        <v>2537</v>
      </c>
      <c r="Z7" s="3191"/>
      <c r="AA7" s="772" t="e">
        <f>D7/F7</f>
        <v>#DIV/0!</v>
      </c>
      <c r="AB7" s="772" t="e">
        <f>D7/H7</f>
        <v>#DIV/0!</v>
      </c>
      <c r="AC7" s="772" t="e">
        <f>D7/J7</f>
        <v>#DIV/0!</v>
      </c>
    </row>
    <row r="8" spans="1:30" s="117"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0" t="s">
        <v>2540</v>
      </c>
      <c r="Q8" s="3191"/>
      <c r="R8" s="769" t="s">
        <v>17</v>
      </c>
      <c r="S8" s="770">
        <f t="shared" si="0"/>
        <v>0</v>
      </c>
      <c r="T8" s="769" t="s">
        <v>17</v>
      </c>
      <c r="U8" s="770">
        <f t="shared" si="1"/>
        <v>0</v>
      </c>
      <c r="V8" s="769" t="s">
        <v>17</v>
      </c>
      <c r="W8" s="770">
        <f t="shared" si="2"/>
        <v>0</v>
      </c>
      <c r="X8" s="771"/>
      <c r="Y8" s="3190" t="s">
        <v>2540</v>
      </c>
      <c r="Z8" s="3191"/>
      <c r="AA8" s="772" t="e">
        <f t="shared" ref="AA8:AA45" si="3">D8/F8</f>
        <v>#DIV/0!</v>
      </c>
      <c r="AB8" s="772" t="e">
        <f t="shared" ref="AB8:AB45" si="4">D8/H8</f>
        <v>#DIV/0!</v>
      </c>
      <c r="AC8" s="772" t="e">
        <f t="shared" ref="AC8:AC45" si="5">D8/J8</f>
        <v>#DIV/0!</v>
      </c>
    </row>
    <row r="9" spans="1:30" s="117" customFormat="1">
      <c r="A9" s="414" t="s">
        <v>2541</v>
      </c>
      <c r="B9" s="71" t="s">
        <v>2542</v>
      </c>
      <c r="C9" s="2699"/>
      <c r="D9" s="134">
        <v>100</v>
      </c>
      <c r="E9" s="2699"/>
      <c r="F9" s="134">
        <f>SUMIF(75:75,E9,76:76)-SUMIF(75:75,C9,76:76)+100</f>
        <v>100</v>
      </c>
      <c r="G9" s="2699"/>
      <c r="H9" s="134">
        <f>SUMIF(75:75,G9,76:76)-SUMIF(75:75,C9,76:76)+100</f>
        <v>100</v>
      </c>
      <c r="I9" s="2699"/>
      <c r="J9" s="134">
        <f>SUMIF(75:75,I9,76:76)-SUMIF(75:75,C9,76:76)+100</f>
        <v>100</v>
      </c>
      <c r="K9" s="610"/>
      <c r="L9" s="1134"/>
      <c r="M9" s="1135"/>
      <c r="N9" s="1135"/>
      <c r="O9" s="1136"/>
      <c r="P9" s="3168" t="s">
        <v>2543</v>
      </c>
      <c r="Q9" s="1797"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30" s="426" customFormat="1" ht="27">
      <c r="A10" s="420"/>
      <c r="B10" s="421" t="s">
        <v>2545</v>
      </c>
      <c r="C10" s="431"/>
      <c r="D10" s="135">
        <v>100</v>
      </c>
      <c r="E10" s="464"/>
      <c r="F10" s="135">
        <f>ROUND(100/'数据-取费表'!G16,0)</f>
        <v>110</v>
      </c>
      <c r="G10" s="462"/>
      <c r="H10" s="135">
        <f>ROUND(100/'数据-取费表'!G16,0)</f>
        <v>110</v>
      </c>
      <c r="I10" s="462"/>
      <c r="J10" s="135">
        <f>ROUND(100/'数据-取费表'!G16,0)</f>
        <v>110</v>
      </c>
      <c r="K10" s="671"/>
      <c r="L10" s="1137"/>
      <c r="M10" s="1138"/>
      <c r="N10" s="1138"/>
      <c r="O10" s="1139"/>
      <c r="P10" s="3168"/>
      <c r="Q10" s="1797" t="str">
        <f t="shared" si="6"/>
        <v>土地使用年限（年）</v>
      </c>
      <c r="R10" s="769" t="s">
        <v>17</v>
      </c>
      <c r="S10" s="770">
        <f t="shared" si="0"/>
        <v>110</v>
      </c>
      <c r="T10" s="769" t="s">
        <v>17</v>
      </c>
      <c r="U10" s="770">
        <f t="shared" si="1"/>
        <v>110</v>
      </c>
      <c r="V10" s="769" t="s">
        <v>17</v>
      </c>
      <c r="W10" s="770">
        <f t="shared" si="2"/>
        <v>110</v>
      </c>
      <c r="X10" s="771"/>
      <c r="Y10" s="3045"/>
      <c r="Z10" s="55" t="str">
        <f t="shared" si="7"/>
        <v>土地使用年限（年）</v>
      </c>
      <c r="AA10" s="772">
        <f t="shared" si="3"/>
        <v>0.90909090909090906</v>
      </c>
      <c r="AB10" s="772">
        <f t="shared" si="4"/>
        <v>0.90909090909090906</v>
      </c>
      <c r="AC10" s="772">
        <f t="shared" si="5"/>
        <v>0.90909090909090906</v>
      </c>
    </row>
    <row r="11" spans="1:30" ht="15">
      <c r="A11" s="427"/>
      <c r="B11" s="421" t="s">
        <v>2546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68"/>
      <c r="Q11" s="1797"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30" s="117" customFormat="1" ht="15">
      <c r="A12" s="430"/>
      <c r="B12" s="2600" t="s">
        <v>2735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8"/>
      <c r="Q12" s="1797" t="str">
        <f t="shared" si="6"/>
        <v>配建</v>
      </c>
      <c r="R12" s="769" t="s">
        <v>17</v>
      </c>
      <c r="S12" s="770">
        <f t="shared" si="0"/>
        <v>100</v>
      </c>
      <c r="T12" s="769" t="s">
        <v>17</v>
      </c>
      <c r="U12" s="770">
        <f t="shared" si="1"/>
        <v>100</v>
      </c>
      <c r="V12" s="769" t="s">
        <v>17</v>
      </c>
      <c r="W12" s="770">
        <f t="shared" si="2"/>
        <v>100</v>
      </c>
      <c r="X12" s="771"/>
      <c r="Y12" s="3045"/>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8"/>
      <c r="Q13" s="1797">
        <f t="shared" si="6"/>
        <v>111</v>
      </c>
      <c r="R13" s="769" t="s">
        <v>17</v>
      </c>
      <c r="S13" s="770">
        <f t="shared" si="0"/>
        <v>100</v>
      </c>
      <c r="T13" s="769" t="s">
        <v>17</v>
      </c>
      <c r="U13" s="770">
        <f t="shared" si="1"/>
        <v>100</v>
      </c>
      <c r="V13" s="769" t="s">
        <v>17</v>
      </c>
      <c r="W13" s="770">
        <f t="shared" si="2"/>
        <v>100</v>
      </c>
      <c r="X13" s="771"/>
      <c r="Y13" s="3045"/>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8"/>
      <c r="Q14" s="1797">
        <f t="shared" si="6"/>
        <v>111</v>
      </c>
      <c r="R14" s="769" t="s">
        <v>17</v>
      </c>
      <c r="S14" s="770">
        <f t="shared" si="0"/>
        <v>100</v>
      </c>
      <c r="T14" s="769" t="s">
        <v>17</v>
      </c>
      <c r="U14" s="770">
        <f t="shared" si="1"/>
        <v>100</v>
      </c>
      <c r="V14" s="769" t="s">
        <v>17</v>
      </c>
      <c r="W14" s="770">
        <f t="shared" si="2"/>
        <v>100</v>
      </c>
      <c r="X14" s="771"/>
      <c r="Y14" s="3045"/>
      <c r="Z14" s="55">
        <f t="shared" si="7"/>
        <v>111</v>
      </c>
      <c r="AA14" s="772">
        <f>D14/F14</f>
        <v>1</v>
      </c>
      <c r="AB14" s="772">
        <f>D14/H14</f>
        <v>1</v>
      </c>
      <c r="AC14" s="772">
        <f>D14/J14</f>
        <v>1</v>
      </c>
    </row>
    <row r="15" spans="1:30" ht="15">
      <c r="A15" s="439" t="s">
        <v>2547</v>
      </c>
      <c r="B15" s="69" t="s">
        <v>2082</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1" t="s">
        <v>2548</v>
      </c>
      <c r="Q15" s="1812" t="str">
        <f t="shared" si="6"/>
        <v>居住社区成熟度</v>
      </c>
      <c r="R15" s="773" t="s">
        <v>17</v>
      </c>
      <c r="S15" s="774">
        <f t="shared" si="0"/>
        <v>100</v>
      </c>
      <c r="T15" s="773" t="s">
        <v>17</v>
      </c>
      <c r="U15" s="774">
        <f t="shared" si="1"/>
        <v>100</v>
      </c>
      <c r="V15" s="773" t="s">
        <v>17</v>
      </c>
      <c r="W15" s="774">
        <f t="shared" si="2"/>
        <v>100</v>
      </c>
      <c r="X15" s="1815"/>
      <c r="Y15" s="3171" t="s">
        <v>2548</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172"/>
      <c r="Q16" s="1812"/>
      <c r="R16" s="773"/>
      <c r="S16" s="774"/>
      <c r="T16" s="773"/>
      <c r="U16" s="774"/>
      <c r="V16" s="773"/>
      <c r="W16" s="774"/>
      <c r="X16" s="1815"/>
      <c r="Y16" s="3172"/>
      <c r="Z16" s="1816"/>
      <c r="AA16" s="1813">
        <v>1</v>
      </c>
      <c r="AB16" s="1813">
        <v>1</v>
      </c>
      <c r="AC16" s="1813">
        <v>1</v>
      </c>
    </row>
    <row r="17" spans="1:29" ht="15">
      <c r="A17" s="427"/>
      <c r="B17" s="450" t="s">
        <v>2641</v>
      </c>
      <c r="C17" s="266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72"/>
      <c r="Q17" s="1812" t="str">
        <f>B17</f>
        <v>商业繁华度</v>
      </c>
      <c r="R17" s="773" t="s">
        <v>17</v>
      </c>
      <c r="S17" s="774">
        <f>F17</f>
        <v>100</v>
      </c>
      <c r="T17" s="773" t="s">
        <v>17</v>
      </c>
      <c r="U17" s="774">
        <f>H17</f>
        <v>100</v>
      </c>
      <c r="V17" s="773" t="s">
        <v>17</v>
      </c>
      <c r="W17" s="774">
        <f>J17</f>
        <v>100</v>
      </c>
      <c r="X17" s="1815"/>
      <c r="Y17" s="3172"/>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172"/>
      <c r="Q18" s="1812"/>
      <c r="R18" s="773"/>
      <c r="S18" s="774"/>
      <c r="T18" s="773"/>
      <c r="U18" s="774"/>
      <c r="V18" s="773"/>
      <c r="W18" s="774"/>
      <c r="X18" s="1815"/>
      <c r="Y18" s="3172"/>
      <c r="Z18" s="1816"/>
      <c r="AA18" s="1813">
        <v>1</v>
      </c>
      <c r="AB18" s="1813">
        <v>1</v>
      </c>
      <c r="AC18" s="1813">
        <v>1</v>
      </c>
    </row>
    <row r="19" spans="1:29" ht="15">
      <c r="A19" s="427"/>
      <c r="B19" s="450" t="s">
        <v>2675</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72"/>
      <c r="Q19" s="1812" t="str">
        <f>B19</f>
        <v>办公集聚程度</v>
      </c>
      <c r="R19" s="773" t="s">
        <v>17</v>
      </c>
      <c r="S19" s="774">
        <f>F19</f>
        <v>100</v>
      </c>
      <c r="T19" s="773" t="s">
        <v>17</v>
      </c>
      <c r="U19" s="774">
        <f>H19</f>
        <v>100</v>
      </c>
      <c r="V19" s="773" t="s">
        <v>17</v>
      </c>
      <c r="W19" s="774">
        <f>J19</f>
        <v>100</v>
      </c>
      <c r="X19" s="1815"/>
      <c r="Y19" s="3172"/>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172"/>
      <c r="Q20" s="1812"/>
      <c r="R20" s="773"/>
      <c r="S20" s="774"/>
      <c r="T20" s="773"/>
      <c r="U20" s="774"/>
      <c r="V20" s="773"/>
      <c r="W20" s="774"/>
      <c r="X20" s="1815"/>
      <c r="Y20" s="3172"/>
      <c r="Z20" s="1816"/>
      <c r="AA20" s="1813">
        <v>1</v>
      </c>
      <c r="AB20" s="1813">
        <v>1</v>
      </c>
      <c r="AC20" s="1813">
        <v>1</v>
      </c>
    </row>
    <row r="21" spans="1:29" ht="15">
      <c r="A21" s="427"/>
      <c r="B21" s="450" t="s">
        <v>2697</v>
      </c>
      <c r="C21" s="260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72"/>
      <c r="Q21" s="1812" t="str">
        <f>B21</f>
        <v>交通便捷度</v>
      </c>
      <c r="R21" s="773" t="s">
        <v>17</v>
      </c>
      <c r="S21" s="774">
        <f>F21</f>
        <v>100</v>
      </c>
      <c r="T21" s="773" t="s">
        <v>17</v>
      </c>
      <c r="U21" s="774">
        <f>H21</f>
        <v>100</v>
      </c>
      <c r="V21" s="773" t="s">
        <v>17</v>
      </c>
      <c r="W21" s="774">
        <f>J21</f>
        <v>100</v>
      </c>
      <c r="X21" s="1815"/>
      <c r="Y21" s="3172"/>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172"/>
      <c r="Q22" s="1812"/>
      <c r="R22" s="773"/>
      <c r="S22" s="774"/>
      <c r="T22" s="773"/>
      <c r="U22" s="774"/>
      <c r="V22" s="773"/>
      <c r="W22" s="774"/>
      <c r="X22" s="1815"/>
      <c r="Y22" s="3172"/>
      <c r="Z22" s="1816"/>
      <c r="AA22" s="1813">
        <v>1</v>
      </c>
      <c r="AB22" s="1813">
        <v>1</v>
      </c>
      <c r="AC22" s="1813">
        <v>1</v>
      </c>
    </row>
    <row r="23" spans="1:29" ht="15">
      <c r="A23" s="403"/>
      <c r="B23" s="450" t="s">
        <v>2736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72"/>
      <c r="Q23" s="1812" t="str">
        <f t="shared" ref="Q23:Q37" si="8">B23</f>
        <v>区域土地利用方向</v>
      </c>
      <c r="R23" s="773" t="s">
        <v>17</v>
      </c>
      <c r="S23" s="774">
        <f>F23</f>
        <v>100</v>
      </c>
      <c r="T23" s="773" t="s">
        <v>17</v>
      </c>
      <c r="U23" s="774">
        <f>H23</f>
        <v>100</v>
      </c>
      <c r="V23" s="773" t="s">
        <v>17</v>
      </c>
      <c r="W23" s="774">
        <f>J23</f>
        <v>100</v>
      </c>
      <c r="X23" s="1815"/>
      <c r="Y23" s="3172"/>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172"/>
      <c r="Q24" s="1812"/>
      <c r="R24" s="773"/>
      <c r="S24" s="774"/>
      <c r="T24" s="773"/>
      <c r="U24" s="774"/>
      <c r="V24" s="773"/>
      <c r="W24" s="774"/>
      <c r="X24" s="1815"/>
      <c r="Y24" s="3172"/>
      <c r="Z24" s="1816"/>
      <c r="AA24" s="1813"/>
      <c r="AB24" s="1813"/>
      <c r="AC24" s="1813"/>
    </row>
    <row r="25" spans="1:29" ht="27">
      <c r="A25" s="403"/>
      <c r="B25" s="1386" t="s">
        <v>2737</v>
      </c>
      <c r="C25" s="266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72"/>
      <c r="Q25" s="1812" t="str">
        <f t="shared" si="8"/>
        <v>自然及人文环境状况</v>
      </c>
      <c r="R25" s="773" t="s">
        <v>17</v>
      </c>
      <c r="S25" s="774">
        <f>F25</f>
        <v>100</v>
      </c>
      <c r="T25" s="773" t="s">
        <v>17</v>
      </c>
      <c r="U25" s="774">
        <f>H25</f>
        <v>100</v>
      </c>
      <c r="V25" s="773" t="s">
        <v>17</v>
      </c>
      <c r="W25" s="774">
        <f>J25</f>
        <v>100</v>
      </c>
      <c r="X25" s="1815"/>
      <c r="Y25" s="3172"/>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172"/>
      <c r="Q26" s="1812"/>
      <c r="R26" s="773"/>
      <c r="S26" s="774"/>
      <c r="T26" s="773"/>
      <c r="U26" s="774"/>
      <c r="V26" s="773"/>
      <c r="W26" s="774"/>
      <c r="X26" s="1815"/>
      <c r="Y26" s="3172"/>
      <c r="Z26" s="1816"/>
      <c r="AA26" s="1813">
        <v>1</v>
      </c>
      <c r="AB26" s="1813">
        <v>1</v>
      </c>
      <c r="AC26" s="1813">
        <v>1</v>
      </c>
    </row>
    <row r="27" spans="1:29" s="117" customFormat="1" ht="15">
      <c r="A27" s="648"/>
      <c r="B27" s="1386" t="s">
        <v>2642</v>
      </c>
      <c r="C27" s="260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72"/>
      <c r="Q27" s="1797" t="str">
        <f t="shared" si="8"/>
        <v>公共配套设施</v>
      </c>
      <c r="R27" s="769" t="s">
        <v>17</v>
      </c>
      <c r="S27" s="770">
        <f>F27</f>
        <v>100</v>
      </c>
      <c r="T27" s="769" t="s">
        <v>17</v>
      </c>
      <c r="U27" s="770">
        <f>H27</f>
        <v>100</v>
      </c>
      <c r="V27" s="769" t="s">
        <v>17</v>
      </c>
      <c r="W27" s="770">
        <f>J27</f>
        <v>100</v>
      </c>
      <c r="X27" s="771"/>
      <c r="Y27" s="3172"/>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172"/>
      <c r="Q28" s="1797"/>
      <c r="R28" s="769"/>
      <c r="S28" s="770"/>
      <c r="T28" s="769"/>
      <c r="U28" s="770"/>
      <c r="V28" s="769"/>
      <c r="W28" s="770"/>
      <c r="X28" s="771"/>
      <c r="Y28" s="3172"/>
      <c r="Z28" s="55"/>
      <c r="AA28" s="1813">
        <v>1</v>
      </c>
      <c r="AB28" s="1813">
        <v>1</v>
      </c>
      <c r="AC28" s="1813">
        <v>1</v>
      </c>
    </row>
    <row r="29" spans="1:29" s="117" customFormat="1" ht="15">
      <c r="A29" s="648"/>
      <c r="B29" s="1386" t="s">
        <v>2643</v>
      </c>
      <c r="C29" s="260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72"/>
      <c r="Q29" s="1797" t="str">
        <f t="shared" ref="Q29" si="9">B29</f>
        <v>基础设施水平</v>
      </c>
      <c r="R29" s="769" t="s">
        <v>17</v>
      </c>
      <c r="S29" s="770">
        <f>F29</f>
        <v>100</v>
      </c>
      <c r="T29" s="769" t="s">
        <v>17</v>
      </c>
      <c r="U29" s="770">
        <f>H29</f>
        <v>100</v>
      </c>
      <c r="V29" s="769" t="s">
        <v>17</v>
      </c>
      <c r="W29" s="770">
        <f>J29</f>
        <v>100</v>
      </c>
      <c r="X29" s="771"/>
      <c r="Y29" s="3172"/>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172"/>
      <c r="Q30" s="1797"/>
      <c r="R30" s="769"/>
      <c r="S30" s="770"/>
      <c r="T30" s="769"/>
      <c r="U30" s="770"/>
      <c r="V30" s="769"/>
      <c r="W30" s="770"/>
      <c r="X30" s="771"/>
      <c r="Y30" s="3172"/>
      <c r="Z30" s="55"/>
      <c r="AA30" s="1813">
        <v>1</v>
      </c>
      <c r="AB30" s="1813">
        <v>1</v>
      </c>
      <c r="AC30" s="1813">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7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2"/>
      <c r="Z31" s="1816" t="str">
        <f t="shared" ref="Z31:Z45" si="13">Q31</f>
        <v>临街状况</v>
      </c>
      <c r="AA31" s="1813">
        <f t="shared" si="3"/>
        <v>1</v>
      </c>
      <c r="AB31" s="1813">
        <f t="shared" si="4"/>
        <v>1</v>
      </c>
      <c r="AC31" s="1813">
        <f t="shared" si="5"/>
        <v>1</v>
      </c>
    </row>
    <row r="32" spans="1:29" ht="27">
      <c r="A32" s="427"/>
      <c r="B32" s="1386"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72"/>
      <c r="Q32" s="1812" t="str">
        <f t="shared" si="8"/>
        <v>毗邻道路的类型与等级</v>
      </c>
      <c r="R32" s="773" t="s">
        <v>17</v>
      </c>
      <c r="S32" s="774">
        <f t="shared" si="10"/>
        <v>100</v>
      </c>
      <c r="T32" s="773" t="s">
        <v>17</v>
      </c>
      <c r="U32" s="774">
        <f t="shared" si="11"/>
        <v>100</v>
      </c>
      <c r="V32" s="773" t="s">
        <v>17</v>
      </c>
      <c r="W32" s="774">
        <f t="shared" si="12"/>
        <v>100</v>
      </c>
      <c r="X32" s="1815"/>
      <c r="Y32" s="3172"/>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172"/>
      <c r="Q33" s="1812"/>
      <c r="R33" s="773"/>
      <c r="S33" s="774"/>
      <c r="T33" s="773"/>
      <c r="U33" s="774"/>
      <c r="V33" s="773"/>
      <c r="W33" s="774"/>
      <c r="X33" s="1815"/>
      <c r="Y33" s="3172"/>
      <c r="Z33" s="1816"/>
      <c r="AA33" s="1813">
        <v>1</v>
      </c>
      <c r="AB33" s="1813">
        <v>1</v>
      </c>
      <c r="AC33" s="1813">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2"/>
      <c r="Q34" s="1812" t="str">
        <f t="shared" si="8"/>
        <v>土地级别</v>
      </c>
      <c r="R34" s="773" t="s">
        <v>17</v>
      </c>
      <c r="S34" s="774">
        <f t="shared" si="10"/>
        <v>100</v>
      </c>
      <c r="T34" s="773" t="s">
        <v>17</v>
      </c>
      <c r="U34" s="774">
        <f t="shared" si="11"/>
        <v>100</v>
      </c>
      <c r="V34" s="773" t="s">
        <v>17</v>
      </c>
      <c r="W34" s="774">
        <f t="shared" si="12"/>
        <v>100</v>
      </c>
      <c r="X34" s="1815"/>
      <c r="Y34" s="317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2"/>
      <c r="Q35" s="1812">
        <f t="shared" si="8"/>
        <v>111</v>
      </c>
      <c r="R35" s="773" t="s">
        <v>17</v>
      </c>
      <c r="S35" s="774">
        <f t="shared" si="10"/>
        <v>100</v>
      </c>
      <c r="T35" s="773" t="s">
        <v>17</v>
      </c>
      <c r="U35" s="774">
        <f t="shared" si="11"/>
        <v>100</v>
      </c>
      <c r="V35" s="773" t="s">
        <v>17</v>
      </c>
      <c r="W35" s="774">
        <f t="shared" si="12"/>
        <v>100</v>
      </c>
      <c r="X35" s="1815"/>
      <c r="Y35" s="317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73" t="s">
        <v>2553</v>
      </c>
      <c r="Q36" s="1812">
        <f t="shared" si="8"/>
        <v>111</v>
      </c>
      <c r="R36" s="773" t="s">
        <v>17</v>
      </c>
      <c r="S36" s="774">
        <f t="shared" si="10"/>
        <v>100</v>
      </c>
      <c r="T36" s="773" t="s">
        <v>17</v>
      </c>
      <c r="U36" s="774">
        <f t="shared" si="11"/>
        <v>100</v>
      </c>
      <c r="V36" s="773" t="s">
        <v>17</v>
      </c>
      <c r="W36" s="774">
        <f t="shared" si="12"/>
        <v>100</v>
      </c>
      <c r="X36" s="1815"/>
      <c r="Y36" s="3174" t="s">
        <v>2553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4"/>
      <c r="Q37" s="1812">
        <f t="shared" si="8"/>
        <v>111</v>
      </c>
      <c r="R37" s="776" t="s">
        <v>17</v>
      </c>
      <c r="S37" s="777">
        <f t="shared" si="10"/>
        <v>100</v>
      </c>
      <c r="T37" s="776" t="s">
        <v>17</v>
      </c>
      <c r="U37" s="777">
        <f t="shared" si="11"/>
        <v>100</v>
      </c>
      <c r="V37" s="776" t="s">
        <v>17</v>
      </c>
      <c r="W37" s="777">
        <f t="shared" si="12"/>
        <v>100</v>
      </c>
      <c r="X37" s="778"/>
      <c r="Y37" s="3174"/>
      <c r="Z37" s="779">
        <f t="shared" si="13"/>
        <v>111</v>
      </c>
      <c r="AA37" s="1813">
        <f t="shared" si="3"/>
        <v>1</v>
      </c>
      <c r="AB37" s="1813">
        <f t="shared" si="4"/>
        <v>1</v>
      </c>
      <c r="AC37" s="1813">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74"/>
      <c r="Q38" s="1812" t="str">
        <f>B38</f>
        <v>宗地面积</v>
      </c>
      <c r="R38" s="773" t="s">
        <v>17</v>
      </c>
      <c r="S38" s="774" t="e">
        <f t="shared" si="10"/>
        <v>#N/A</v>
      </c>
      <c r="T38" s="773" t="s">
        <v>17</v>
      </c>
      <c r="U38" s="774" t="e">
        <f t="shared" si="11"/>
        <v>#N/A</v>
      </c>
      <c r="V38" s="773" t="s">
        <v>17</v>
      </c>
      <c r="W38" s="774" t="e">
        <f t="shared" si="12"/>
        <v>#N/A</v>
      </c>
      <c r="X38" s="1815"/>
      <c r="Y38" s="3174"/>
      <c r="Z38" s="1816" t="str">
        <f t="shared" si="13"/>
        <v>宗地面积</v>
      </c>
      <c r="AA38" s="1813" t="e">
        <f t="shared" si="3"/>
        <v>#N/A</v>
      </c>
      <c r="AB38" s="1813" t="e">
        <f t="shared" si="4"/>
        <v>#N/A</v>
      </c>
      <c r="AC38" s="1813" t="e">
        <f t="shared" si="5"/>
        <v>#N/A</v>
      </c>
    </row>
    <row r="39" spans="1:29" ht="15">
      <c r="A39" s="471"/>
      <c r="B39" s="421" t="s">
        <v>2740</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174"/>
      <c r="Q39" s="1812" t="str">
        <f t="shared" ref="Q39:Q45" si="14">B39</f>
        <v>宗地形状</v>
      </c>
      <c r="R39" s="773" t="s">
        <v>17</v>
      </c>
      <c r="S39" s="774">
        <f t="shared" si="10"/>
        <v>100</v>
      </c>
      <c r="T39" s="773" t="s">
        <v>17</v>
      </c>
      <c r="U39" s="774">
        <f t="shared" si="11"/>
        <v>100</v>
      </c>
      <c r="V39" s="773" t="s">
        <v>17</v>
      </c>
      <c r="W39" s="774">
        <f t="shared" si="12"/>
        <v>100</v>
      </c>
      <c r="X39" s="1815"/>
      <c r="Y39" s="3174"/>
      <c r="Z39" s="1816" t="str">
        <f t="shared" si="13"/>
        <v>宗地形状</v>
      </c>
      <c r="AA39" s="1813">
        <f t="shared" si="3"/>
        <v>1</v>
      </c>
      <c r="AB39" s="1813">
        <f t="shared" si="4"/>
        <v>1</v>
      </c>
      <c r="AC39" s="1813">
        <f t="shared" si="5"/>
        <v>1</v>
      </c>
    </row>
    <row r="40" spans="1:29" ht="15">
      <c r="A40" s="471"/>
      <c r="B40" s="421" t="s">
        <v>2741</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174"/>
      <c r="Q40" s="1812" t="str">
        <f t="shared" si="14"/>
        <v>临街宽度及深度</v>
      </c>
      <c r="R40" s="773" t="s">
        <v>17</v>
      </c>
      <c r="S40" s="774">
        <f t="shared" si="10"/>
        <v>100</v>
      </c>
      <c r="T40" s="773" t="s">
        <v>17</v>
      </c>
      <c r="U40" s="774">
        <f t="shared" si="11"/>
        <v>100</v>
      </c>
      <c r="V40" s="773" t="s">
        <v>17</v>
      </c>
      <c r="W40" s="774">
        <f t="shared" si="12"/>
        <v>100</v>
      </c>
      <c r="X40" s="1815"/>
      <c r="Y40" s="3174"/>
      <c r="Z40" s="1816" t="str">
        <f t="shared" si="13"/>
        <v>临街宽度及深度</v>
      </c>
      <c r="AA40" s="1813">
        <f t="shared" si="3"/>
        <v>1</v>
      </c>
      <c r="AB40" s="1813">
        <f t="shared" si="4"/>
        <v>1</v>
      </c>
      <c r="AC40" s="1813">
        <f t="shared" si="5"/>
        <v>1</v>
      </c>
    </row>
    <row r="41" spans="1:29" s="117" customFormat="1" ht="15">
      <c r="A41" s="472"/>
      <c r="B41" s="421" t="s">
        <v>2742</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174"/>
      <c r="Q41" s="1812" t="str">
        <f t="shared" si="14"/>
        <v>宗地开发程度</v>
      </c>
      <c r="R41" s="769" t="s">
        <v>17</v>
      </c>
      <c r="S41" s="770">
        <f t="shared" si="10"/>
        <v>100</v>
      </c>
      <c r="T41" s="769" t="s">
        <v>17</v>
      </c>
      <c r="U41" s="770">
        <f t="shared" si="11"/>
        <v>100</v>
      </c>
      <c r="V41" s="769" t="s">
        <v>17</v>
      </c>
      <c r="W41" s="770">
        <f t="shared" si="12"/>
        <v>100</v>
      </c>
      <c r="X41" s="771"/>
      <c r="Y41" s="3174"/>
      <c r="Z41" s="55" t="str">
        <f t="shared" si="13"/>
        <v>宗地开发程度</v>
      </c>
      <c r="AA41" s="772">
        <f t="shared" si="3"/>
        <v>1</v>
      </c>
      <c r="AB41" s="772">
        <f t="shared" si="4"/>
        <v>1</v>
      </c>
      <c r="AC41" s="772">
        <f t="shared" si="5"/>
        <v>1</v>
      </c>
    </row>
    <row r="42" spans="1:29" ht="15">
      <c r="A42" s="471"/>
      <c r="B42" s="421" t="s">
        <v>2743</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174" t="s">
        <v>2553</v>
      </c>
      <c r="Q42" s="1812" t="str">
        <f t="shared" si="14"/>
        <v>工程地质条件</v>
      </c>
      <c r="R42" s="773" t="s">
        <v>17</v>
      </c>
      <c r="S42" s="774">
        <f t="shared" si="10"/>
        <v>100</v>
      </c>
      <c r="T42" s="773" t="s">
        <v>17</v>
      </c>
      <c r="U42" s="774">
        <f t="shared" si="11"/>
        <v>100</v>
      </c>
      <c r="V42" s="773" t="s">
        <v>17</v>
      </c>
      <c r="W42" s="774">
        <f t="shared" si="12"/>
        <v>100</v>
      </c>
      <c r="X42" s="1815"/>
      <c r="Y42" s="3174" t="s">
        <v>2553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4"/>
      <c r="Q43" s="1812">
        <f t="shared" si="14"/>
        <v>111</v>
      </c>
      <c r="R43" s="773" t="s">
        <v>17</v>
      </c>
      <c r="S43" s="774">
        <f t="shared" si="10"/>
        <v>100</v>
      </c>
      <c r="T43" s="773" t="s">
        <v>17</v>
      </c>
      <c r="U43" s="774">
        <f t="shared" si="11"/>
        <v>100</v>
      </c>
      <c r="V43" s="773" t="s">
        <v>17</v>
      </c>
      <c r="W43" s="774">
        <f t="shared" si="12"/>
        <v>100</v>
      </c>
      <c r="X43" s="1815"/>
      <c r="Y43" s="3174"/>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4"/>
      <c r="Q44" s="1812">
        <f t="shared" si="14"/>
        <v>111</v>
      </c>
      <c r="R44" s="773" t="s">
        <v>17</v>
      </c>
      <c r="S44" s="774">
        <f t="shared" si="10"/>
        <v>100</v>
      </c>
      <c r="T44" s="773" t="s">
        <v>17</v>
      </c>
      <c r="U44" s="774">
        <f t="shared" si="11"/>
        <v>100</v>
      </c>
      <c r="V44" s="773" t="s">
        <v>17</v>
      </c>
      <c r="W44" s="774">
        <f t="shared" si="12"/>
        <v>100</v>
      </c>
      <c r="X44" s="1815"/>
      <c r="Y44" s="3174"/>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4"/>
      <c r="Q45" s="1812">
        <f t="shared" si="14"/>
        <v>111</v>
      </c>
      <c r="R45" s="776" t="s">
        <v>17</v>
      </c>
      <c r="S45" s="777">
        <f t="shared" si="10"/>
        <v>100</v>
      </c>
      <c r="T45" s="776" t="s">
        <v>17</v>
      </c>
      <c r="U45" s="777">
        <f t="shared" si="11"/>
        <v>100</v>
      </c>
      <c r="V45" s="776" t="s">
        <v>17</v>
      </c>
      <c r="W45" s="777">
        <f t="shared" si="12"/>
        <v>100</v>
      </c>
      <c r="X45" s="778"/>
      <c r="Y45" s="3174"/>
      <c r="Z45" s="779">
        <f t="shared" si="13"/>
        <v>111</v>
      </c>
      <c r="AA45" s="1813">
        <f t="shared" si="3"/>
        <v>1</v>
      </c>
      <c r="AB45" s="1813">
        <f t="shared" si="4"/>
        <v>1</v>
      </c>
      <c r="AC45" s="1813">
        <f t="shared" si="5"/>
        <v>1</v>
      </c>
    </row>
    <row r="46" spans="1:29" ht="15">
      <c r="A46" s="478" t="s">
        <v>2708</v>
      </c>
      <c r="B46" s="2704" t="s">
        <v>2744</v>
      </c>
      <c r="C46" s="681" t="s">
        <v>1</v>
      </c>
      <c r="D46" s="480"/>
      <c r="E46" s="481"/>
      <c r="F46" s="482"/>
      <c r="G46" s="483"/>
      <c r="H46" s="484"/>
      <c r="I46" s="481"/>
      <c r="J46" s="484"/>
      <c r="K46" s="782"/>
      <c r="L46" s="1145"/>
      <c r="M46" s="1146"/>
      <c r="N46" s="1133"/>
      <c r="O46" s="1146"/>
      <c r="P46" s="3168" t="str">
        <f>A46</f>
        <v>成交单价</v>
      </c>
      <c r="Q46" s="3168"/>
      <c r="R46" s="3170">
        <f>E46</f>
        <v>0</v>
      </c>
      <c r="S46" s="3170"/>
      <c r="T46" s="3170">
        <f>G46</f>
        <v>0</v>
      </c>
      <c r="U46" s="3170"/>
      <c r="V46" s="3170">
        <f>I46</f>
        <v>0</v>
      </c>
      <c r="W46" s="3170"/>
      <c r="X46" s="758"/>
      <c r="Y46" s="780"/>
      <c r="Z46" s="758"/>
      <c r="AA46" s="758"/>
      <c r="AB46" s="758"/>
      <c r="AC46" s="758"/>
    </row>
    <row r="47" spans="1:29" ht="15.75" thickBot="1">
      <c r="A47" s="485" t="s">
        <v>2657</v>
      </c>
      <c r="B47" s="682"/>
      <c r="C47" s="489" t="e">
        <f>R48</f>
        <v>#DIV/0!</v>
      </c>
      <c r="D47" s="488"/>
      <c r="E47" s="489" t="e">
        <f>R47</f>
        <v>#DIV/0!</v>
      </c>
      <c r="F47" s="490"/>
      <c r="G47" s="487" t="e">
        <f>T47</f>
        <v>#DIV/0!</v>
      </c>
      <c r="H47" s="488"/>
      <c r="I47" s="489" t="e">
        <f>V47</f>
        <v>#DIV/0!</v>
      </c>
      <c r="J47" s="488"/>
      <c r="K47" s="783"/>
      <c r="L47" s="1145"/>
      <c r="M47" s="1146"/>
      <c r="N47" s="1146"/>
      <c r="O47" s="1146"/>
      <c r="P47" s="3168" t="str">
        <f>A47</f>
        <v>比较价值（元/平方米）</v>
      </c>
      <c r="Q47" s="3168"/>
      <c r="R47" s="3169" t="e">
        <f>ROUND(PRODUCT(R46,AA7:AA45),0)</f>
        <v>#DIV/0!</v>
      </c>
      <c r="S47" s="3169"/>
      <c r="T47" s="3169" t="e">
        <f>ROUND(PRODUCT(T46,AB7:AB45),0)</f>
        <v>#DIV/0!</v>
      </c>
      <c r="U47" s="3169"/>
      <c r="V47" s="3169" t="e">
        <f>ROUND(PRODUCT(V46,AC7:AC45),0)</f>
        <v>#DIV/0!</v>
      </c>
      <c r="W47" s="3169"/>
      <c r="X47" s="758"/>
      <c r="Y47" s="758"/>
      <c r="Z47" s="758"/>
      <c r="AA47" s="758"/>
      <c r="AB47" s="758"/>
      <c r="AC47" s="758"/>
    </row>
    <row r="48" spans="1:29" ht="15.75" thickBot="1">
      <c r="A48" s="491" t="s">
        <v>2745</v>
      </c>
      <c r="B48" s="492"/>
      <c r="C48" s="493" t="e">
        <f>R48</f>
        <v>#DIV/0!</v>
      </c>
      <c r="D48" s="493"/>
      <c r="E48" s="493"/>
      <c r="F48" s="493"/>
      <c r="G48" s="493"/>
      <c r="H48" s="493"/>
      <c r="I48" s="493"/>
      <c r="J48" s="493"/>
      <c r="K48" s="784"/>
      <c r="L48" s="1145"/>
      <c r="M48" s="1146"/>
      <c r="N48" s="1146"/>
      <c r="O48" s="1146"/>
      <c r="P48" s="3165" t="str">
        <f>A48</f>
        <v>估价对象XX用房的比较价值（楼面单价，元/平方米）</v>
      </c>
      <c r="Q48" s="3166"/>
      <c r="R48" s="3167" t="e">
        <f>ROUND(AVERAGE(R47:V47),0)</f>
        <v>#DIV/0!</v>
      </c>
      <c r="S48" s="3167"/>
      <c r="T48" s="3167"/>
      <c r="U48" s="3167"/>
      <c r="V48" s="3167"/>
      <c r="W48" s="316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2746</v>
      </c>
      <c r="B55" s="684" t="s">
        <v>2747</v>
      </c>
      <c r="C55" s="2705" t="s">
        <v>2748</v>
      </c>
      <c r="D55" s="2706" t="s">
        <v>2749</v>
      </c>
      <c r="E55" s="685" t="s">
        <v>2750</v>
      </c>
      <c r="F55" s="1109" t="s">
        <v>2751</v>
      </c>
      <c r="G55" s="3178" t="s">
        <v>2752</v>
      </c>
      <c r="H55" s="3192"/>
      <c r="I55" s="143" t="s">
        <v>2753</v>
      </c>
      <c r="J55" s="2707" t="str">
        <f>项目基本情况!F35</f>
        <v>上海市</v>
      </c>
      <c r="K55" s="2708" t="s">
        <v>2754</v>
      </c>
      <c r="L55" s="1108"/>
      <c r="M55" s="1146"/>
      <c r="N55" s="1146"/>
      <c r="O55" s="1146"/>
    </row>
    <row r="56" spans="1:15" s="691" customFormat="1">
      <c r="A56" s="687" t="s">
        <v>2755</v>
      </c>
      <c r="B56" s="688" t="e">
        <f>C48</f>
        <v>#DIV/0!</v>
      </c>
      <c r="C56" s="689">
        <v>1</v>
      </c>
      <c r="D56" s="1165">
        <v>1</v>
      </c>
      <c r="E56" s="689">
        <f>'数据-汇总表'!E8+'数据-汇总表'!E9</f>
        <v>17933.88</v>
      </c>
      <c r="F56" s="1105" t="e">
        <f t="shared" ref="F56:F65" si="15">ROUND(B56*E56/10000,0)</f>
        <v>#DIV/0!</v>
      </c>
      <c r="G56" s="3193"/>
      <c r="H56" s="3168"/>
      <c r="I56" s="1110">
        <v>1</v>
      </c>
      <c r="J56" s="1113">
        <v>1</v>
      </c>
      <c r="K56" s="1147"/>
      <c r="L56" s="943"/>
      <c r="M56" s="943"/>
      <c r="N56" s="943"/>
      <c r="O56" s="943"/>
    </row>
    <row r="57" spans="1:15" s="691" customFormat="1">
      <c r="A57" s="692" t="s">
        <v>2756</v>
      </c>
      <c r="B57" s="261" t="e">
        <f>ROUND($C$48*C57*D57,0)</f>
        <v>#DIV/0!</v>
      </c>
      <c r="C57" s="199">
        <f t="shared" ref="C57:C65" si="16">IF($C$55="北京市系数",I57,J57)</f>
        <v>0</v>
      </c>
      <c r="D57" s="1166">
        <v>0.25</v>
      </c>
      <c r="E57" s="693"/>
      <c r="F57" s="1105" t="e">
        <f t="shared" si="15"/>
        <v>#DIV/0!</v>
      </c>
      <c r="G57" s="3194" t="s">
        <v>2757</v>
      </c>
      <c r="H57" s="1106">
        <f>项目基本情况!B37</f>
        <v>0</v>
      </c>
      <c r="I57" s="1110">
        <f>SUMIF(修正!A45:A56,H57,修正!B45:B56)</f>
        <v>0</v>
      </c>
      <c r="J57" s="1114"/>
      <c r="K57" s="1146"/>
      <c r="L57" s="943"/>
      <c r="M57" s="943"/>
      <c r="N57" s="943"/>
      <c r="O57" s="943"/>
    </row>
    <row r="58" spans="1:15" s="691" customFormat="1">
      <c r="A58" s="692" t="s">
        <v>2758</v>
      </c>
      <c r="B58" s="261" t="e">
        <f t="shared" ref="B58:B65" si="17">ROUND($C$48*C58*D58,0)</f>
        <v>#DIV/0!</v>
      </c>
      <c r="C58" s="199">
        <f t="shared" si="16"/>
        <v>0</v>
      </c>
      <c r="D58" s="1166">
        <v>0.25</v>
      </c>
      <c r="E58" s="693"/>
      <c r="F58" s="1105" t="e">
        <f t="shared" si="15"/>
        <v>#DIV/0!</v>
      </c>
      <c r="G58" s="3194"/>
      <c r="H58" s="1106">
        <f>项目基本情况!B37</f>
        <v>0</v>
      </c>
      <c r="I58" s="1110">
        <f>SUMIF(修正!A45:A56,H58,修正!C45:C56)</f>
        <v>0</v>
      </c>
      <c r="J58" s="1114"/>
      <c r="K58" s="1147"/>
      <c r="L58" s="943"/>
      <c r="M58" s="943"/>
      <c r="N58" s="943"/>
      <c r="O58" s="943"/>
    </row>
    <row r="59" spans="1:15" s="691" customFormat="1">
      <c r="A59" s="692" t="s">
        <v>2759</v>
      </c>
      <c r="B59" s="261" t="e">
        <f t="shared" si="17"/>
        <v>#DIV/0!</v>
      </c>
      <c r="C59" s="199">
        <f t="shared" si="16"/>
        <v>0</v>
      </c>
      <c r="D59" s="1166">
        <v>0.25</v>
      </c>
      <c r="E59" s="693"/>
      <c r="F59" s="1105" t="e">
        <f t="shared" si="15"/>
        <v>#DIV/0!</v>
      </c>
      <c r="G59" s="3194"/>
      <c r="H59" s="1106">
        <f>项目基本情况!B37</f>
        <v>0</v>
      </c>
      <c r="I59" s="1110">
        <f>SUMIF(修正!A45:A56,H59,修正!D45:D56)</f>
        <v>0</v>
      </c>
      <c r="J59" s="1114"/>
      <c r="K59" s="1146"/>
      <c r="L59" s="943"/>
      <c r="M59" s="943"/>
      <c r="N59" s="943"/>
      <c r="O59" s="943"/>
    </row>
    <row r="60" spans="1:15" s="691" customFormat="1">
      <c r="A60" s="692" t="s">
        <v>2760</v>
      </c>
      <c r="B60" s="261" t="e">
        <f t="shared" si="17"/>
        <v>#DIV/0!</v>
      </c>
      <c r="C60" s="199">
        <f t="shared" si="16"/>
        <v>0</v>
      </c>
      <c r="D60" s="1166">
        <v>0.25</v>
      </c>
      <c r="E60" s="693"/>
      <c r="F60" s="1105" t="e">
        <f t="shared" si="15"/>
        <v>#DIV/0!</v>
      </c>
      <c r="G60" s="3194"/>
      <c r="H60" s="1106">
        <f>项目基本情况!B37</f>
        <v>0</v>
      </c>
      <c r="I60" s="1110">
        <f>SUMIF(修正!A45:A56,H60,修正!E45:E56)</f>
        <v>0</v>
      </c>
      <c r="J60" s="1114"/>
      <c r="K60" s="1147"/>
      <c r="L60" s="943"/>
      <c r="M60" s="943"/>
      <c r="N60" s="943"/>
      <c r="O60" s="943"/>
    </row>
    <row r="61" spans="1:15" s="691" customFormat="1">
      <c r="A61" s="692" t="s">
        <v>2761</v>
      </c>
      <c r="B61" s="261" t="e">
        <f t="shared" si="17"/>
        <v>#DIV/0!</v>
      </c>
      <c r="C61" s="199">
        <f t="shared" si="16"/>
        <v>0</v>
      </c>
      <c r="D61" s="1166">
        <v>0.25</v>
      </c>
      <c r="E61" s="260">
        <f>'数据-汇总表'!E11</f>
        <v>0</v>
      </c>
      <c r="F61" s="1105" t="e">
        <f t="shared" si="15"/>
        <v>#DIV/0!</v>
      </c>
      <c r="G61" s="2709" t="s">
        <v>2762</v>
      </c>
      <c r="H61" s="1106">
        <f>项目基本情况!C37</f>
        <v>0</v>
      </c>
      <c r="I61" s="1110">
        <f>SUMIF(修正!A45:A56,H61,修正!F45:F56)</f>
        <v>0</v>
      </c>
      <c r="J61" s="1114"/>
      <c r="K61" s="1146"/>
      <c r="L61" s="943"/>
      <c r="M61" s="943"/>
      <c r="N61" s="943"/>
      <c r="O61" s="943"/>
    </row>
    <row r="62" spans="1:15" s="691" customFormat="1">
      <c r="A62" s="692" t="s">
        <v>2763</v>
      </c>
      <c r="B62" s="261" t="e">
        <f t="shared" si="17"/>
        <v>#DIV/0!</v>
      </c>
      <c r="C62" s="199">
        <f t="shared" si="16"/>
        <v>0</v>
      </c>
      <c r="D62" s="1166">
        <v>0.25</v>
      </c>
      <c r="E62" s="260">
        <f>'数据-汇总表'!E12</f>
        <v>0</v>
      </c>
      <c r="F62" s="1105" t="e">
        <f t="shared" si="15"/>
        <v>#DIV/0!</v>
      </c>
      <c r="G62" s="1111" t="s">
        <v>2764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2765</v>
      </c>
      <c r="B63" s="261" t="e">
        <f t="shared" si="17"/>
        <v>#DIV/0!</v>
      </c>
      <c r="C63" s="199">
        <f t="shared" si="16"/>
        <v>0</v>
      </c>
      <c r="D63" s="1166">
        <v>0.25</v>
      </c>
      <c r="E63" s="260">
        <f>'数据-汇总表'!E13</f>
        <v>0</v>
      </c>
      <c r="F63" s="1105" t="e">
        <f t="shared" si="15"/>
        <v>#DIV/0!</v>
      </c>
      <c r="G63" s="1111" t="s">
        <v>2766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2767</v>
      </c>
      <c r="B64" s="261" t="e">
        <f t="shared" si="17"/>
        <v>#DIV/0!</v>
      </c>
      <c r="C64" s="199">
        <f t="shared" si="16"/>
        <v>0</v>
      </c>
      <c r="D64" s="1166">
        <v>0.25</v>
      </c>
      <c r="E64" s="260">
        <f>'数据-汇总表'!E14</f>
        <v>0</v>
      </c>
      <c r="F64" s="1105" t="e">
        <f t="shared" si="15"/>
        <v>#DIV/0!</v>
      </c>
      <c r="G64" s="2709" t="s">
        <v>2757</v>
      </c>
      <c r="H64" s="1106">
        <f>项目基本情况!B37</f>
        <v>0</v>
      </c>
      <c r="I64" s="1110">
        <f>SUMIF(修正!A45:A56,H64,修正!H45:H56)</f>
        <v>0</v>
      </c>
      <c r="J64" s="1114"/>
      <c r="K64" s="1147"/>
      <c r="L64" s="943"/>
      <c r="M64" s="943"/>
      <c r="N64" s="943"/>
      <c r="O64" s="943"/>
    </row>
    <row r="65" spans="1:17" s="691" customFormat="1" ht="15" thickBot="1">
      <c r="A65" s="692" t="s">
        <v>2768</v>
      </c>
      <c r="B65" s="261" t="e">
        <f t="shared" si="17"/>
        <v>#DIV/0!</v>
      </c>
      <c r="C65" s="199">
        <f t="shared" si="16"/>
        <v>0</v>
      </c>
      <c r="D65" s="1166">
        <v>0.25</v>
      </c>
      <c r="E65" s="260">
        <f>'数据-汇总表'!E15</f>
        <v>0</v>
      </c>
      <c r="F65" s="1105" t="e">
        <f t="shared" si="15"/>
        <v>#DIV/0!</v>
      </c>
      <c r="G65" s="2710" t="s">
        <v>2762</v>
      </c>
      <c r="H65" s="1116">
        <f>项目基本情况!C37</f>
        <v>0</v>
      </c>
      <c r="I65" s="1112">
        <f>SUMIF(修正!A45:A56,H65,修正!H45:H56)</f>
        <v>0</v>
      </c>
      <c r="J65" s="1115"/>
      <c r="K65" s="1146"/>
      <c r="L65" s="943"/>
      <c r="M65" s="943"/>
      <c r="N65" s="943"/>
      <c r="O65" s="943"/>
    </row>
    <row r="66" spans="1:17" s="691" customFormat="1" ht="13.5" thickBot="1">
      <c r="A66" s="694" t="s">
        <v>2769</v>
      </c>
      <c r="B66" s="695" t="s">
        <v>28</v>
      </c>
      <c r="C66" s="695" t="s">
        <v>29</v>
      </c>
      <c r="D66" s="695" t="s">
        <v>1029</v>
      </c>
      <c r="E66" s="695">
        <f>IF(B46="楼面地价",SUM(E56:E65),'数据-汇总表'!D3)</f>
        <v>17933.88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2662</v>
      </c>
      <c r="B69" s="758"/>
      <c r="C69" s="763"/>
      <c r="D69" s="763"/>
      <c r="E69" s="763"/>
      <c r="F69" s="764"/>
      <c r="G69" s="764"/>
      <c r="H69" s="763"/>
      <c r="I69" s="763"/>
      <c r="J69" s="1161"/>
      <c r="K69" s="1162"/>
      <c r="L69" s="1163"/>
      <c r="M69" s="1161"/>
      <c r="N69" s="1161"/>
      <c r="O69" s="1161"/>
      <c r="P69" s="502"/>
      <c r="Q69" s="503"/>
    </row>
    <row r="70" spans="1:17" s="507" customFormat="1" ht="15">
      <c r="A70" s="2711" t="s">
        <v>2770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2" t="s">
        <v>2771</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9"/>
      <c r="N71" s="594"/>
      <c r="O71" s="1570"/>
      <c r="P71" s="503"/>
    </row>
    <row r="72" spans="1:17" s="117" customFormat="1" ht="15.75" thickBot="1">
      <c r="A72" s="514" t="s">
        <v>2573</v>
      </c>
      <c r="B72" s="515"/>
      <c r="C72" s="516"/>
      <c r="D72" s="517"/>
      <c r="E72" s="517"/>
      <c r="F72" s="517"/>
      <c r="G72" s="517"/>
      <c r="H72" s="517"/>
      <c r="I72" s="517"/>
      <c r="J72" s="517"/>
      <c r="K72" s="517"/>
      <c r="L72" s="517"/>
      <c r="M72" s="518"/>
      <c r="N72" s="517"/>
      <c r="O72" s="1164"/>
      <c r="P72" s="503"/>
      <c r="Q72" s="503"/>
    </row>
    <row r="73" spans="1:17" s="117" customFormat="1" ht="15">
      <c r="A73" s="520" t="s">
        <v>2538</v>
      </c>
      <c r="B73" s="509"/>
      <c r="C73" s="521" t="s">
        <v>2640</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2576</v>
      </c>
      <c r="B75" s="527" t="s">
        <v>2542</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2545</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2773</v>
      </c>
      <c r="C96" s="577" t="s">
        <v>2585</v>
      </c>
      <c r="D96" s="577" t="s">
        <v>2586</v>
      </c>
      <c r="E96" s="577" t="s">
        <v>2587</v>
      </c>
      <c r="F96" s="577" t="s">
        <v>2588</v>
      </c>
      <c r="G96" s="577" t="s">
        <v>2589</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2774</v>
      </c>
      <c r="C98" s="572" t="s">
        <v>2585</v>
      </c>
      <c r="D98" s="572" t="s">
        <v>2586</v>
      </c>
      <c r="E98" s="572" t="s">
        <v>2587</v>
      </c>
      <c r="F98" s="572" t="s">
        <v>2588</v>
      </c>
      <c r="G98" s="572" t="s">
        <v>2589</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2679</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2738</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2780</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2781</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2783</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2791</v>
      </c>
      <c r="B1" s="240"/>
      <c r="C1" s="244" t="s">
        <v>2792</v>
      </c>
      <c r="D1" s="387">
        <f>SUM(D29:D30,D33:D39)</f>
        <v>0</v>
      </c>
      <c r="E1" s="2717"/>
      <c r="F1" s="2717"/>
      <c r="G1" s="2717"/>
      <c r="H1" s="2717"/>
      <c r="I1" s="2717"/>
      <c r="J1" s="2717"/>
      <c r="K1" s="1372"/>
      <c r="L1" s="2718" t="s">
        <v>2793</v>
      </c>
      <c r="M1" s="1082">
        <f>SUMPRODUCT((区片价!B5:B9=I2)*(区片价!C3:F3=E2)*(区片价!C5:F9))</f>
        <v>0</v>
      </c>
      <c r="N1" s="1085">
        <f>SUMPRODUCT((因素修正幅度!B5:B9=I2)*(因素修正幅度!C3:F3=E2)*(因素修正幅度!C5:F9))</f>
        <v>0</v>
      </c>
      <c r="O1" s="2719"/>
      <c r="P1" s="2719"/>
      <c r="Q1" s="1372"/>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4" t="s">
        <v>2799</v>
      </c>
      <c r="B2" s="247"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2"/>
      <c r="L2" s="2726" t="s">
        <v>2804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2805</v>
      </c>
      <c r="B3" s="247" t="e">
        <f>ROUND(B2*10000/D1,0)</f>
        <v>#DIV/0!</v>
      </c>
      <c r="C3" s="2721" t="s">
        <v>2806</v>
      </c>
      <c r="D3" s="2722" t="s">
        <v>2807</v>
      </c>
      <c r="E3" s="2727"/>
      <c r="F3" s="2728" t="s">
        <v>2808</v>
      </c>
      <c r="G3" s="915">
        <f>IF(F3="宗地容积率",'数据-汇总表'!I4,IF(F3="估价对象容积率",'数据-汇总表'!I6,'数据-汇总表'!I7))</f>
        <v>0.51</v>
      </c>
      <c r="H3" s="197" t="s">
        <v>2809</v>
      </c>
      <c r="I3" s="946"/>
      <c r="J3" s="2725" t="s">
        <v>2810</v>
      </c>
      <c r="K3" s="1372"/>
      <c r="L3" s="2726" t="s">
        <v>2811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9"/>
      <c r="B4" s="3280"/>
      <c r="C4" s="3280"/>
      <c r="D4" s="3281"/>
      <c r="E4" s="3281"/>
      <c r="F4" s="3281"/>
      <c r="G4" s="3281"/>
      <c r="H4" s="3281"/>
      <c r="I4" s="3281"/>
      <c r="J4" s="3282"/>
      <c r="K4" s="1372"/>
      <c r="L4" s="2726" t="s">
        <v>2812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2813</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2814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2815</v>
      </c>
      <c r="B6" s="2740" t="s">
        <v>2816</v>
      </c>
      <c r="C6" s="917">
        <f>SUMIF(L1:L12,G2,M1:M12)</f>
        <v>0</v>
      </c>
      <c r="D6" s="2741" t="s">
        <v>2817</v>
      </c>
      <c r="E6" s="2742"/>
      <c r="F6" s="2742"/>
      <c r="G6" s="2743"/>
      <c r="H6" s="2743"/>
      <c r="I6" s="2743"/>
      <c r="J6" s="2744"/>
      <c r="K6" s="1844"/>
      <c r="L6" s="2726" t="s">
        <v>2818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5" t="str">
        <f>IF(E2="商业",IF(C8="不临58条商业街","",2),"")</f>
        <v/>
      </c>
      <c r="B7" s="2745" t="s">
        <v>2819</v>
      </c>
      <c r="C7" s="918" t="e">
        <f>IF(C8="不临58条商业街",1,ROUND(1+(1.6*E8+1.2*E9+0.8*E10+0.4*E11)*C9,4))</f>
        <v>#DIV/0!</v>
      </c>
      <c r="D7" s="2746" t="s">
        <v>2820</v>
      </c>
      <c r="E7" s="947"/>
      <c r="F7" s="2747"/>
      <c r="G7" s="2748"/>
      <c r="H7" s="2748"/>
      <c r="I7" s="2748"/>
      <c r="J7" s="2749"/>
      <c r="K7" s="1844"/>
      <c r="L7" s="2726" t="s">
        <v>2821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0.51</v>
      </c>
      <c r="AA7" s="1608"/>
      <c r="AB7" s="1608"/>
      <c r="AC7" s="1609"/>
      <c r="AD7" s="1610"/>
      <c r="AE7" s="1610"/>
      <c r="AF7" s="1610"/>
      <c r="AG7" s="1610"/>
      <c r="AH7" s="1610"/>
      <c r="AI7" s="1610"/>
      <c r="AJ7" s="1611"/>
    </row>
    <row r="8" spans="1:36" ht="15">
      <c r="A8" s="3266"/>
      <c r="B8" s="197" t="s">
        <v>2824</v>
      </c>
      <c r="C8" s="2750"/>
      <c r="D8" s="919" t="s">
        <v>139</v>
      </c>
      <c r="E8" s="920" t="e">
        <f>ROUND(C11/E7,4)</f>
        <v>#DIV/0!</v>
      </c>
      <c r="F8" s="2751" t="s">
        <v>2825</v>
      </c>
      <c r="G8" s="2752"/>
      <c r="H8" s="2752"/>
      <c r="I8" s="2752"/>
      <c r="J8" s="2753"/>
      <c r="K8" s="1372"/>
      <c r="L8" s="2726" t="s">
        <v>2826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6" t="s">
        <v>2827</v>
      </c>
      <c r="X8" s="3277"/>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266"/>
      <c r="B9" s="197" t="s">
        <v>2840</v>
      </c>
      <c r="C9" s="921">
        <f>SUMIF(修正!C59:C119,C8,修正!E59:E119)</f>
        <v>0</v>
      </c>
      <c r="D9" s="199" t="s">
        <v>140</v>
      </c>
      <c r="E9" s="199" t="e">
        <f>ROUND(C11/E7,4)</f>
        <v>#DIV/0!</v>
      </c>
      <c r="F9" s="2751" t="s">
        <v>2841</v>
      </c>
      <c r="G9" s="2752"/>
      <c r="H9" s="2752"/>
      <c r="I9" s="2752"/>
      <c r="J9" s="2753"/>
      <c r="K9" s="1372"/>
      <c r="L9" s="2726" t="s">
        <v>2842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8"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7" t="s">
        <v>2845</v>
      </c>
      <c r="C10" s="199">
        <f>SUMIF(修正!C59:C119,C8,修正!F59:F119)</f>
        <v>0</v>
      </c>
      <c r="D10" s="199" t="s">
        <v>141</v>
      </c>
      <c r="E10" s="199" t="e">
        <f>ROUND(C11/E7,4)</f>
        <v>#DIV/0!</v>
      </c>
      <c r="F10" s="2751" t="s">
        <v>2846</v>
      </c>
      <c r="G10" s="2752"/>
      <c r="H10" s="2752"/>
      <c r="I10" s="2752"/>
      <c r="J10" s="2753"/>
      <c r="K10" s="1372"/>
      <c r="L10" s="2726" t="s">
        <v>2847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4" t="s">
        <v>2848</v>
      </c>
      <c r="C11" s="922">
        <f>C10/4</f>
        <v>0</v>
      </c>
      <c r="D11" s="922" t="s">
        <v>142</v>
      </c>
      <c r="E11" s="922" t="e">
        <f>ROUND(C11/E7,4)</f>
        <v>#DIV/0!</v>
      </c>
      <c r="F11" s="2755" t="s">
        <v>2849</v>
      </c>
      <c r="G11" s="2756"/>
      <c r="H11" s="2756"/>
      <c r="I11" s="2756"/>
      <c r="J11" s="2757"/>
      <c r="K11" s="1372"/>
      <c r="L11" s="2726" t="s">
        <v>2850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8" t="s">
        <v>2851</v>
      </c>
      <c r="X11" s="1616" t="s">
        <v>2852</v>
      </c>
      <c r="Y11" s="1617">
        <f>$G$3</f>
        <v>0.51</v>
      </c>
      <c r="Z11" s="1617">
        <f t="shared" ref="Z11:AJ11" si="3">$G$3</f>
        <v>0.51</v>
      </c>
      <c r="AA11" s="1617">
        <f t="shared" si="3"/>
        <v>0.51</v>
      </c>
      <c r="AB11" s="1617">
        <f t="shared" si="3"/>
        <v>0.51</v>
      </c>
      <c r="AC11" s="1617">
        <f t="shared" si="3"/>
        <v>0.51</v>
      </c>
      <c r="AD11" s="1617">
        <f t="shared" si="3"/>
        <v>0.51</v>
      </c>
      <c r="AE11" s="1617">
        <f t="shared" si="3"/>
        <v>0.51</v>
      </c>
      <c r="AF11" s="1617">
        <f t="shared" si="3"/>
        <v>0.51</v>
      </c>
      <c r="AG11" s="1617">
        <f t="shared" si="3"/>
        <v>0.51</v>
      </c>
      <c r="AH11" s="1617">
        <f t="shared" si="3"/>
        <v>0.51</v>
      </c>
      <c r="AI11" s="1617">
        <f t="shared" si="3"/>
        <v>0.51</v>
      </c>
      <c r="AJ11" s="1617">
        <f t="shared" si="3"/>
        <v>0.51</v>
      </c>
    </row>
    <row r="12" spans="1:36" ht="25.5" thickBot="1">
      <c r="A12" s="3265" t="s">
        <v>2853</v>
      </c>
      <c r="B12" s="2758" t="s">
        <v>2854</v>
      </c>
      <c r="C12" s="918">
        <f>ROUND(C15*D15*E15*F15*G15*H15*I15*J15,4)</f>
        <v>1</v>
      </c>
      <c r="D12" s="2759" t="s">
        <v>2855</v>
      </c>
      <c r="E12" s="2760"/>
      <c r="F12" s="2760"/>
      <c r="G12" s="2761"/>
      <c r="H12" s="2761"/>
      <c r="I12" s="2761"/>
      <c r="J12" s="2762"/>
      <c r="K12" s="1372"/>
      <c r="L12" s="2763" t="s">
        <v>2856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8"/>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4" t="s">
        <v>2858</v>
      </c>
      <c r="C13" s="2765" t="s">
        <v>2859</v>
      </c>
      <c r="D13" s="1810" t="s">
        <v>2860</v>
      </c>
      <c r="E13" s="1810" t="s">
        <v>2861</v>
      </c>
      <c r="F13" s="30" t="s">
        <v>2862</v>
      </c>
      <c r="G13" s="2766" t="s">
        <v>2863</v>
      </c>
      <c r="H13" s="2766" t="s">
        <v>2863</v>
      </c>
      <c r="I13" s="2766" t="s">
        <v>2863</v>
      </c>
      <c r="J13" s="2767" t="s">
        <v>2863</v>
      </c>
      <c r="K13" s="1372"/>
      <c r="L13" s="1372"/>
      <c r="M13" s="1372"/>
      <c r="N13" s="1372"/>
      <c r="O13" s="1372"/>
      <c r="P13" s="1372"/>
      <c r="Q13" s="1372"/>
      <c r="R13" s="1604">
        <v>12</v>
      </c>
      <c r="S13" s="1605"/>
      <c r="T13" s="1604" t="e">
        <f t="shared" si="0"/>
        <v>#DIV/0!</v>
      </c>
      <c r="U13" s="1605"/>
      <c r="V13" s="1604" t="e">
        <f t="shared" si="1"/>
        <v>#DIV/0!</v>
      </c>
      <c r="W13" s="3278"/>
      <c r="X13" s="1618"/>
      <c r="Y13" s="1615">
        <f>(-0.163*(Y12^2)-0.59*Y12+7617)*(10^(-4))/Y11</f>
        <v>1.493529411764706</v>
      </c>
      <c r="Z13" s="1615">
        <f t="shared" ref="Z13:AJ13" si="5">(-0.163*(Z12^2)-0.59*Z12+7617)*(10^(-4))/Z11</f>
        <v>1.493529411764706</v>
      </c>
      <c r="AA13" s="1615">
        <f t="shared" si="5"/>
        <v>1.493529411764706</v>
      </c>
      <c r="AB13" s="1615">
        <f t="shared" si="5"/>
        <v>1.493529411764706</v>
      </c>
      <c r="AC13" s="1615">
        <f t="shared" si="5"/>
        <v>1.493529411764706</v>
      </c>
      <c r="AD13" s="1615">
        <f t="shared" si="5"/>
        <v>1.493529411764706</v>
      </c>
      <c r="AE13" s="1615">
        <f t="shared" si="5"/>
        <v>1.493529411764706</v>
      </c>
      <c r="AF13" s="1615">
        <f t="shared" si="5"/>
        <v>1.493529411764706</v>
      </c>
      <c r="AG13" s="1615">
        <f t="shared" si="5"/>
        <v>1.493529411764706</v>
      </c>
      <c r="AH13" s="1615">
        <f t="shared" si="5"/>
        <v>1.493529411764706</v>
      </c>
      <c r="AI13" s="1615">
        <f t="shared" si="5"/>
        <v>1.493529411764706</v>
      </c>
      <c r="AJ13" s="1615">
        <f t="shared" si="5"/>
        <v>1.493529411764706</v>
      </c>
    </row>
    <row r="14" spans="1:36" ht="15">
      <c r="A14" s="3283"/>
      <c r="B14" s="2768"/>
      <c r="C14" s="2769"/>
      <c r="D14" s="2770"/>
      <c r="E14" s="2770"/>
      <c r="F14" s="2771"/>
      <c r="G14" s="2772" t="s">
        <v>2864</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76" t="s">
        <v>2865</v>
      </c>
      <c r="C15" s="228">
        <f>IF(C14="有",1.1,1)</f>
        <v>1</v>
      </c>
      <c r="D15" s="228">
        <f>IF(D14="有",1.1,1)</f>
        <v>1</v>
      </c>
      <c r="E15" s="228">
        <f>IF(E14="有",1.1,1)</f>
        <v>1</v>
      </c>
      <c r="F15" s="228">
        <f>IF(F14="500米范围内",1.2,IF(F14="500-1000米",1.1,1))</f>
        <v>1</v>
      </c>
      <c r="G15" s="948">
        <v>1</v>
      </c>
      <c r="H15" s="948">
        <v>1</v>
      </c>
      <c r="I15" s="948">
        <v>1</v>
      </c>
      <c r="J15" s="949">
        <v>1</v>
      </c>
      <c r="K15" s="1372"/>
      <c r="L15" s="2777" t="s">
        <v>2801</v>
      </c>
      <c r="M15" s="919" t="s">
        <v>2866</v>
      </c>
      <c r="N15" s="919" t="s">
        <v>2867</v>
      </c>
      <c r="O15" s="919" t="s">
        <v>2868</v>
      </c>
      <c r="P15" s="2778" t="s">
        <v>2869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2870</v>
      </c>
      <c r="B16" s="2745" t="s">
        <v>2871</v>
      </c>
      <c r="C16" s="1803" t="e">
        <f>ROUND(SUM(G17:J17)/C17,0)</f>
        <v>#DIV/0!</v>
      </c>
      <c r="D16" s="2779" t="s">
        <v>2872</v>
      </c>
      <c r="E16" s="2780"/>
      <c r="F16" s="2781"/>
      <c r="G16" s="2782"/>
      <c r="H16" s="2782"/>
      <c r="I16" s="2782"/>
      <c r="J16" s="2783"/>
      <c r="K16" s="1372"/>
      <c r="L16" s="2784" t="s">
        <v>2873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5" t="s">
        <v>2874</v>
      </c>
      <c r="C17" s="923">
        <f>SUMPRODUCT((修正!A2:A5=E2)*(修正!B1:M1=G2)*(修正!B2:M5))</f>
        <v>0</v>
      </c>
      <c r="D17" s="2786"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2878</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2879</v>
      </c>
      <c r="C19" s="926" t="e">
        <f>ROUND(IF(H19="按公示增长率计算",SUMPRODUCT((地价!A3:A22=YEAR(G19)&amp;"-"&amp;ROUNDUP(MONTH(G19)/3,0))*(地价!X2:AB2=E2)*(地价!X3:AB22)),IF(H19="地价指数",M20/M19,(1+I19)^O19)),4)</f>
        <v>#DIV/0!</v>
      </c>
      <c r="D19" s="2797" t="s">
        <v>2880</v>
      </c>
      <c r="E19" s="927">
        <v>41640</v>
      </c>
      <c r="F19" s="2797" t="s">
        <v>2881</v>
      </c>
      <c r="G19" s="928">
        <f>'数据-取费表'!B2</f>
        <v>43223</v>
      </c>
      <c r="H19" s="2798" t="s">
        <v>2882</v>
      </c>
      <c r="I19" s="929" t="str">
        <f>IF(H19="季度增幅（自定义）",SUMIF(N21:N24,E2,O21:O24),"")</f>
        <v/>
      </c>
      <c r="J19" s="2795"/>
      <c r="K19" s="1379"/>
      <c r="L19" s="2799" t="s">
        <v>2883</v>
      </c>
      <c r="M19" s="1736">
        <f>ROUND(SUMIF(地价!B2:F2,E2,地价!B22:F22),0)</f>
        <v>0</v>
      </c>
      <c r="N19" s="2800" t="s">
        <v>2884</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2885</v>
      </c>
      <c r="C20" s="931" t="e">
        <f>ROUND(POWER(1+G20,J20-I20)*(POWER(1+G20,I20)-1)/(POWER(1+G20,J20)-1),4)</f>
        <v>#DIV/0!</v>
      </c>
      <c r="D20" s="2806" t="s">
        <v>2886</v>
      </c>
      <c r="E20" s="1770">
        <f ca="1">存贷款利率!D4/100</f>
        <v>4.3499999999999997E-2</v>
      </c>
      <c r="F20" s="2806" t="s">
        <v>2877</v>
      </c>
      <c r="G20" s="936">
        <f>SUMIF(M15:P15,E2,M17:P17)</f>
        <v>0</v>
      </c>
      <c r="H20" s="2806" t="s">
        <v>2887</v>
      </c>
      <c r="I20" s="937" t="e">
        <f>SUMIF('数据-取费表'!C6:C15,E2,'数据-取费表'!F6:F15)/COUNTIF('数据-取费表'!C6:C15,E2)</f>
        <v>#DIV/0!</v>
      </c>
      <c r="J20" s="938">
        <f>IF(E2="住宅",70,IF(E2="商业",40,50))</f>
        <v>50</v>
      </c>
      <c r="K20" s="1379"/>
      <c r="L20" s="2807" t="s">
        <v>2888</v>
      </c>
      <c r="M20" s="1737">
        <f>ROUND(SUMPRODUCT((地价!A4:A22=YEAR(G19)&amp;"-"&amp;ROUNDUP(MONTH(G19)/3,0))*(地价!B2:F2=E2)*(地价!B4:F22)),0)</f>
        <v>0</v>
      </c>
      <c r="N20" s="2808" t="s">
        <v>2889</v>
      </c>
      <c r="O20" s="2809" t="s">
        <v>2890</v>
      </c>
      <c r="P20" s="2810" t="s">
        <v>2891</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2892</v>
      </c>
      <c r="C21" s="939">
        <f>IF(B21="容积率修正",IF(G3&lt;=10,D22,J22),C23)</f>
        <v>0</v>
      </c>
      <c r="D21" s="2813"/>
      <c r="E21" s="2813"/>
      <c r="F21" s="2813"/>
      <c r="G21" s="2813"/>
      <c r="H21" s="2813"/>
      <c r="I21" s="2813"/>
      <c r="J21" s="2814"/>
      <c r="K21" s="1379"/>
      <c r="N21" s="2815" t="s">
        <v>2893</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2894</v>
      </c>
      <c r="B22" s="2816" t="s">
        <v>2895</v>
      </c>
      <c r="C22" s="1812" t="s">
        <v>2896</v>
      </c>
      <c r="D22" s="1812">
        <f>IF(E22=G22,F22,IF(G3&lt;=10,ROUND(F22+(H22-F22)*(G3-E22)/(G22-E22),4),"——"))</f>
        <v>0</v>
      </c>
      <c r="E22" s="915">
        <f>ROUNDDOWN(G3,1)</f>
        <v>0.5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2897</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4" t="s">
        <v>2898</v>
      </c>
      <c r="B23" s="2817" t="s">
        <v>2899</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2900</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2901</v>
      </c>
      <c r="C24" s="926">
        <f>SUMIF(A45:A88,E2,B45:B88)</f>
        <v>0</v>
      </c>
      <c r="D24" s="2793"/>
      <c r="E24" s="2823"/>
      <c r="F24" s="2823"/>
      <c r="G24" s="2823"/>
      <c r="H24" s="2823"/>
      <c r="I24" s="2823"/>
      <c r="J24" s="2824"/>
      <c r="K24" s="1379"/>
      <c r="N24" s="2825" t="s">
        <v>2902</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2903</v>
      </c>
      <c r="C25" s="932"/>
      <c r="D25" s="2748"/>
      <c r="E25" s="2748"/>
      <c r="F25" s="2827"/>
      <c r="G25" s="2748"/>
      <c r="H25" s="2748"/>
      <c r="I25" s="2748"/>
      <c r="J25" s="2749"/>
      <c r="K25" s="1372"/>
      <c r="N25" s="2828" t="s">
        <v>2904</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9"/>
      <c r="B26" s="2816" t="s">
        <v>2905</v>
      </c>
      <c r="C26" s="205"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2906</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2907</v>
      </c>
      <c r="C28" s="2840" t="s">
        <v>2908</v>
      </c>
      <c r="D28" s="2840" t="s">
        <v>2909</v>
      </c>
      <c r="E28" s="2841" t="s">
        <v>2910</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2911</v>
      </c>
      <c r="C29" s="205" t="e">
        <f>ROUND(C5*C18*C19*C20*C21*C24,0)</f>
        <v>#DIV/0!</v>
      </c>
      <c r="D29" s="2845"/>
      <c r="E29" s="944" t="e">
        <f>ROUND(C29*D29/10000,0)</f>
        <v>#DIV/0!</v>
      </c>
      <c r="F29" s="2846" t="s">
        <v>2912</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2913</v>
      </c>
      <c r="C30" s="228" t="e">
        <f>ROUND(IF(E2="工业",C29*M39,C29*M38),0)</f>
        <v>#DIV/0!</v>
      </c>
      <c r="D30" s="2851"/>
      <c r="E30" s="944" t="e">
        <f>ROUND(C30*D30/10000,0)</f>
        <v>#DIV/0!</v>
      </c>
      <c r="F30" s="2852" t="s">
        <v>2914</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2908</v>
      </c>
      <c r="D32" s="497" t="s">
        <v>2909</v>
      </c>
      <c r="E32" s="497" t="s">
        <v>2910</v>
      </c>
      <c r="F32" s="387" t="s">
        <v>2918</v>
      </c>
      <c r="G32" s="2860" t="s">
        <v>2908</v>
      </c>
      <c r="H32" s="2860" t="s">
        <v>2909</v>
      </c>
      <c r="I32" s="2860"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3" t="s">
        <v>2919</v>
      </c>
      <c r="B33" s="2861" t="s">
        <v>2920</v>
      </c>
      <c r="C33" s="205" t="e">
        <f>ROUND(D5*C19*C20*C24*F33,0)</f>
        <v>#DIV/0!</v>
      </c>
      <c r="D33" s="2845"/>
      <c r="E33" s="199" t="e">
        <f>ROUND(C33*D33/10000,0)</f>
        <v>#DIV/0!</v>
      </c>
      <c r="F33" s="199">
        <f>SUMIF(修正!A45:A56,G2,修正!B45:B56)</f>
        <v>0</v>
      </c>
      <c r="G33" s="199" t="e">
        <f t="shared" ref="G33:G39" si="6">ROUND(IF(E2="工业",C33*$M$39,C33*$M$38),0)</f>
        <v>#DIV/0!</v>
      </c>
      <c r="H33" s="199">
        <f>D33</f>
        <v>0</v>
      </c>
      <c r="I33" s="199"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4"/>
      <c r="B34" s="2765" t="s">
        <v>2921</v>
      </c>
      <c r="C34" s="205" t="e">
        <f>ROUND(D5*C19*C20*C24*F34,0)</f>
        <v>#DIV/0!</v>
      </c>
      <c r="D34" s="2845"/>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4"/>
      <c r="B35" s="2765" t="s">
        <v>2922</v>
      </c>
      <c r="C35" s="205" t="e">
        <f>ROUND(D5*C19*C20*C24*F35,0)</f>
        <v>#DIV/0!</v>
      </c>
      <c r="D35" s="2845"/>
      <c r="E35" s="199" t="e">
        <f t="shared" si="7"/>
        <v>#DIV/0!</v>
      </c>
      <c r="F35" s="199">
        <f>SUMIF(修正!A45:A56,G2,修正!D45:D56)</f>
        <v>0</v>
      </c>
      <c r="G35" s="199" t="e">
        <f t="shared" si="6"/>
        <v>#DIV/0!</v>
      </c>
      <c r="H35" s="199">
        <f t="shared" si="8"/>
        <v>0</v>
      </c>
      <c r="I35" s="199"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75"/>
      <c r="B36" s="2765" t="s">
        <v>2923</v>
      </c>
      <c r="C36" s="205" t="e">
        <f>ROUND(D5*C19*C20*C24*F36,0)</f>
        <v>#DIV/0!</v>
      </c>
      <c r="D36" s="2845"/>
      <c r="E36" s="199" t="e">
        <f t="shared" si="7"/>
        <v>#DIV/0!</v>
      </c>
      <c r="F36" s="199">
        <f>SUMIF(修正!A45:A56,G2,修正!E45:E56)</f>
        <v>0</v>
      </c>
      <c r="G36" s="199" t="e">
        <f t="shared" si="6"/>
        <v>#DIV/0!</v>
      </c>
      <c r="H36" s="199">
        <f t="shared" si="8"/>
        <v>0</v>
      </c>
      <c r="I36" s="199"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2924</v>
      </c>
      <c r="C37" s="199" t="e">
        <f>ROUND(C5*C19*C20*C24*F37,0)</f>
        <v>#DIV/0!</v>
      </c>
      <c r="D37" s="2845"/>
      <c r="E37" s="199" t="e">
        <f t="shared" si="7"/>
        <v>#DIV/0!</v>
      </c>
      <c r="F37" s="205">
        <f>SUMIF(修正!A45:A56,G2,修正!F45:F56)</f>
        <v>0</v>
      </c>
      <c r="G37" s="199" t="e">
        <f t="shared" si="6"/>
        <v>#DIV/0!</v>
      </c>
      <c r="H37" s="199">
        <f t="shared" si="8"/>
        <v>0</v>
      </c>
      <c r="I37" s="199" t="e">
        <f t="shared" si="9"/>
        <v>#DIV/0!</v>
      </c>
      <c r="J37" s="2862"/>
      <c r="K37" s="1372"/>
      <c r="L37" s="2864" t="s">
        <v>2925</v>
      </c>
      <c r="M37" s="2865"/>
      <c r="N37" s="1372"/>
      <c r="O37" s="1372"/>
      <c r="P37" s="1372"/>
      <c r="Q37" s="1372"/>
      <c r="R37" s="1372"/>
      <c r="S37" s="1372"/>
      <c r="T37" s="1372"/>
      <c r="U37" s="1372"/>
      <c r="V37" s="1372"/>
      <c r="W37" s="1372"/>
      <c r="X37" s="1372"/>
      <c r="Y37" s="1372"/>
      <c r="Z37" s="1373"/>
    </row>
    <row r="38" spans="1:37">
      <c r="A38" s="2863"/>
      <c r="B38" s="2765" t="s">
        <v>2926</v>
      </c>
      <c r="C38" s="199" t="e">
        <f>ROUND(C5*C19*C20*C24*F38,0)</f>
        <v>#DIV/0!</v>
      </c>
      <c r="D38" s="2845"/>
      <c r="E38" s="199" t="e">
        <f t="shared" si="7"/>
        <v>#DIV/0!</v>
      </c>
      <c r="F38" s="205">
        <f>SUMIF(修正!A45:A56,G2,修正!G45:G56)</f>
        <v>0</v>
      </c>
      <c r="G38" s="199" t="e">
        <f t="shared" si="6"/>
        <v>#DIV/0!</v>
      </c>
      <c r="H38" s="199">
        <f t="shared" si="8"/>
        <v>0</v>
      </c>
      <c r="I38" s="199" t="e">
        <f t="shared" si="9"/>
        <v>#DIV/0!</v>
      </c>
      <c r="J38" s="2862"/>
      <c r="K38" s="1372"/>
      <c r="L38" s="1889" t="s">
        <v>2927</v>
      </c>
      <c r="M38" s="2866">
        <v>0.25</v>
      </c>
      <c r="N38" s="1372"/>
      <c r="O38" s="1372"/>
      <c r="P38" s="1372"/>
      <c r="Q38" s="1372"/>
      <c r="R38" s="1372"/>
      <c r="S38" s="1372"/>
      <c r="T38" s="1372"/>
      <c r="U38" s="1372"/>
      <c r="V38" s="1372"/>
      <c r="W38" s="1372"/>
      <c r="X38" s="1372"/>
      <c r="Y38" s="1372"/>
      <c r="Z38" s="1373"/>
    </row>
    <row r="39" spans="1:37" ht="13.5" thickBot="1">
      <c r="A39" s="2849"/>
      <c r="B39" s="2867" t="s">
        <v>2928</v>
      </c>
      <c r="C39" s="228" t="e">
        <f>ROUND(C5*C19*C20*C24*F39,0)</f>
        <v>#DIV/0!</v>
      </c>
      <c r="D39" s="2851"/>
      <c r="E39" s="228" t="e">
        <f t="shared" si="7"/>
        <v>#DIV/0!</v>
      </c>
      <c r="F39" s="934">
        <f>SUMIF(修正!A45:A56,G2,修正!H45:H56)</f>
        <v>0</v>
      </c>
      <c r="G39" s="228" t="e">
        <f t="shared" si="6"/>
        <v>#DIV/0!</v>
      </c>
      <c r="H39" s="228">
        <f t="shared" si="8"/>
        <v>0</v>
      </c>
      <c r="I39" s="228" t="e">
        <f t="shared" si="9"/>
        <v>#DIV/0!</v>
      </c>
      <c r="J39" s="2868"/>
      <c r="K39" s="1372"/>
      <c r="L39" s="2869" t="s">
        <v>2869</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2929</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2930</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2931</v>
      </c>
      <c r="B47" s="1811" t="s">
        <v>2932</v>
      </c>
      <c r="C47" s="1811" t="s">
        <v>2933</v>
      </c>
      <c r="D47" s="1811" t="s">
        <v>2934</v>
      </c>
      <c r="E47" s="818" t="s">
        <v>2935</v>
      </c>
      <c r="F47" s="2879" t="s">
        <v>2936</v>
      </c>
      <c r="G47" s="1811" t="s">
        <v>754</v>
      </c>
      <c r="H47" s="2880" t="s">
        <v>2937</v>
      </c>
      <c r="I47" s="1811" t="s">
        <v>2938</v>
      </c>
      <c r="J47" s="602" t="s">
        <v>2585</v>
      </c>
      <c r="K47" s="602" t="s">
        <v>2586</v>
      </c>
      <c r="L47" s="602" t="s">
        <v>2587</v>
      </c>
      <c r="M47" s="602" t="s">
        <v>2588</v>
      </c>
      <c r="N47" s="602" t="s">
        <v>2589</v>
      </c>
      <c r="AA47" s="1373"/>
      <c r="AB47" s="1373"/>
      <c r="AC47" s="1373"/>
      <c r="AD47" s="1373"/>
      <c r="AE47" s="1373"/>
      <c r="AF47" s="1373"/>
      <c r="AG47" s="1373"/>
      <c r="AH47" s="1373"/>
      <c r="AI47" s="1373"/>
      <c r="AJ47" s="1373"/>
      <c r="AK47" s="1373"/>
    </row>
    <row r="48" spans="1:37" s="1372" customFormat="1" ht="24.75">
      <c r="A48" s="2878" t="s">
        <v>2939</v>
      </c>
      <c r="B48" s="2881">
        <f>估价对象房地状况!C4</f>
        <v>0</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8" t="s">
        <v>2940</v>
      </c>
      <c r="B49" s="2882">
        <f>估价对象房地状况!C18</f>
        <v>0</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2941</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2942</v>
      </c>
      <c r="B51" s="2883" t="s">
        <v>2943</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2944</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2945</v>
      </c>
      <c r="B53" s="2884" t="s">
        <v>2946</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5" t="s">
        <v>2947</v>
      </c>
      <c r="B54" s="1727">
        <f>估价对象房地状况!C21</f>
        <v>0</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5" t="s">
        <v>2948</v>
      </c>
      <c r="B55" s="2882">
        <f>估价对象房地状况!C22</f>
        <v>0</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6" t="s">
        <v>2949</v>
      </c>
      <c r="B56" s="2887">
        <f>估价对象房地状况!C20</f>
        <v>0</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2950</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2931</v>
      </c>
      <c r="B58" s="1811"/>
      <c r="C58" s="1811" t="s">
        <v>2933</v>
      </c>
      <c r="D58" s="1811" t="s">
        <v>2934</v>
      </c>
      <c r="E58" s="818" t="s">
        <v>2935</v>
      </c>
      <c r="F58" s="2879" t="s">
        <v>2951</v>
      </c>
      <c r="G58" s="1811" t="s">
        <v>754</v>
      </c>
      <c r="H58" s="2880" t="s">
        <v>2937</v>
      </c>
      <c r="I58" s="1811" t="s">
        <v>2938</v>
      </c>
      <c r="J58" s="602" t="s">
        <v>2585</v>
      </c>
      <c r="K58" s="602" t="s">
        <v>2586</v>
      </c>
      <c r="L58" s="602" t="s">
        <v>2587</v>
      </c>
      <c r="M58" s="602" t="s">
        <v>2588</v>
      </c>
      <c r="N58" s="602" t="s">
        <v>2589</v>
      </c>
      <c r="AA58" s="1373"/>
      <c r="AB58" s="1373"/>
      <c r="AC58" s="1373"/>
      <c r="AD58" s="1373"/>
      <c r="AE58" s="1373"/>
      <c r="AF58" s="1373"/>
      <c r="AG58" s="1373"/>
      <c r="AH58" s="1373"/>
      <c r="AI58" s="1373"/>
      <c r="AJ58" s="1373"/>
      <c r="AK58" s="1373"/>
    </row>
    <row r="59" spans="1:37" s="1372" customFormat="1" ht="24">
      <c r="A59" s="2878" t="s">
        <v>2952</v>
      </c>
      <c r="B59" s="2881">
        <f>估价对象房地状况!C17</f>
        <v>0</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8" t="s">
        <v>2940</v>
      </c>
      <c r="B60" s="2882">
        <f>估价对象房地状况!C18</f>
        <v>0</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2941</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2942</v>
      </c>
      <c r="B62" s="2883" t="s">
        <v>2943</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2944</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2945</v>
      </c>
      <c r="B64" s="2884" t="s">
        <v>2946</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8" t="s">
        <v>2947</v>
      </c>
      <c r="B65" s="1727">
        <f>估价对象房地状况!C21</f>
        <v>0</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8" t="s">
        <v>2948</v>
      </c>
      <c r="B66" s="1727">
        <f>估价对象房地状况!C22</f>
        <v>0</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6" t="s">
        <v>2949</v>
      </c>
      <c r="B67" s="2888">
        <f>估价对象房地状况!C20</f>
        <v>0</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2953</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2931</v>
      </c>
      <c r="B69" s="1811"/>
      <c r="C69" s="1811" t="s">
        <v>2933</v>
      </c>
      <c r="D69" s="1811" t="s">
        <v>2934</v>
      </c>
      <c r="E69" s="818" t="s">
        <v>2935</v>
      </c>
      <c r="F69" s="2879" t="s">
        <v>2951</v>
      </c>
      <c r="G69" s="1811" t="s">
        <v>754</v>
      </c>
      <c r="H69" s="2880" t="s">
        <v>2937</v>
      </c>
      <c r="I69" s="1811" t="s">
        <v>2938</v>
      </c>
      <c r="J69" s="602" t="s">
        <v>2585</v>
      </c>
      <c r="K69" s="602" t="s">
        <v>2586</v>
      </c>
      <c r="L69" s="602" t="s">
        <v>2587</v>
      </c>
      <c r="M69" s="602" t="s">
        <v>2588</v>
      </c>
      <c r="N69" s="602" t="s">
        <v>2589</v>
      </c>
      <c r="AA69" s="1373"/>
      <c r="AB69" s="1373"/>
      <c r="AC69" s="1373"/>
      <c r="AD69" s="1373"/>
      <c r="AE69" s="1373"/>
      <c r="AF69" s="1373"/>
      <c r="AG69" s="1373"/>
      <c r="AH69" s="1373"/>
      <c r="AI69" s="1373"/>
      <c r="AJ69" s="1373"/>
      <c r="AK69" s="1373"/>
    </row>
    <row r="70" spans="1:37" s="1372" customFormat="1" ht="24">
      <c r="A70" s="2878" t="s">
        <v>2954</v>
      </c>
      <c r="B70" s="2881">
        <f>估价对象房地状况!C15</f>
        <v>0</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2940</v>
      </c>
      <c r="B71" s="2882">
        <f>估价对象房地状况!C18</f>
        <v>0</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2941</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2955</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2947</v>
      </c>
      <c r="B74" s="1727">
        <f>估价对象房地状况!C21</f>
        <v>0</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2948</v>
      </c>
      <c r="B75" s="1727">
        <f>估价对象房地状况!C22</f>
        <v>0</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2945</v>
      </c>
      <c r="B76" s="2884" t="s">
        <v>2946</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2949</v>
      </c>
      <c r="B77" s="2881">
        <f>估价对象房地状况!C20</f>
        <v>0</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2956</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2957</v>
      </c>
      <c r="B79" s="2875">
        <f>1+E81</f>
        <v>1</v>
      </c>
      <c r="C79" s="813"/>
      <c r="D79" s="813"/>
      <c r="E79" s="814"/>
      <c r="F79" s="2877"/>
      <c r="G79" s="6"/>
      <c r="H79" s="6"/>
      <c r="I79" s="6"/>
      <c r="J79" s="7"/>
      <c r="K79" s="7"/>
      <c r="L79" s="7"/>
      <c r="M79" s="7"/>
      <c r="N79" s="7"/>
      <c r="Z79" s="2720"/>
      <c r="AA79" s="2796"/>
      <c r="AG79" s="1374"/>
      <c r="AK79" s="2796"/>
    </row>
    <row r="80" spans="1:37" ht="24.75">
      <c r="A80" s="2878" t="s">
        <v>2931</v>
      </c>
      <c r="B80" s="1811"/>
      <c r="C80" s="1811" t="s">
        <v>2933</v>
      </c>
      <c r="D80" s="1811" t="s">
        <v>2934</v>
      </c>
      <c r="E80" s="818" t="s">
        <v>2935</v>
      </c>
      <c r="F80" s="2879" t="s">
        <v>2951</v>
      </c>
      <c r="G80" s="1811" t="s">
        <v>754</v>
      </c>
      <c r="H80" s="2880" t="s">
        <v>2937</v>
      </c>
      <c r="I80" s="1811" t="s">
        <v>2938</v>
      </c>
      <c r="J80" s="602" t="s">
        <v>2585</v>
      </c>
      <c r="K80" s="602" t="s">
        <v>2586</v>
      </c>
      <c r="L80" s="602" t="s">
        <v>2587</v>
      </c>
      <c r="M80" s="602" t="s">
        <v>2588</v>
      </c>
      <c r="N80" s="602" t="s">
        <v>2589</v>
      </c>
      <c r="Z80" s="2720"/>
      <c r="AA80" s="2796"/>
      <c r="AG80" s="1374"/>
      <c r="AK80" s="2796"/>
    </row>
    <row r="81" spans="1:37" ht="24">
      <c r="A81" s="2878" t="s">
        <v>2958</v>
      </c>
      <c r="B81" s="2882" t="str">
        <f>估价对象房地状况!G15</f>
        <v>较好</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2940</v>
      </c>
      <c r="B82" s="2882" t="str">
        <f>估价对象房地状况!G16</f>
        <v>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2941</v>
      </c>
      <c r="B83" s="2882" t="str">
        <f>估价对象房地状况!G17</f>
        <v>较好</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2955</v>
      </c>
      <c r="B84" s="2882" t="str">
        <f>估价对象房地状况!G22</f>
        <v>城市支路</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4">
      <c r="A85" s="2878" t="s">
        <v>2947</v>
      </c>
      <c r="B85" s="1727" t="str">
        <f>估价对象房地状况!G19</f>
        <v>一般</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4">
      <c r="A86" s="2878" t="s">
        <v>2948</v>
      </c>
      <c r="B86" s="1727" t="str">
        <f>估价对象房地状况!G20</f>
        <v>六通</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2945</v>
      </c>
      <c r="B87" s="2884" t="s">
        <v>2959</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15" thickBot="1">
      <c r="A88" s="2886" t="s">
        <v>2960</v>
      </c>
      <c r="B88" s="2891" t="str">
        <f>估价对象房地状况!G18</f>
        <v>较好</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67" t="s">
        <v>2961</v>
      </c>
      <c r="B90" s="3267"/>
      <c r="C90" s="3267"/>
      <c r="D90" s="3267"/>
      <c r="E90" s="3267"/>
      <c r="F90" s="3267"/>
      <c r="G90" s="3267"/>
      <c r="H90" s="3267"/>
      <c r="I90" s="3267"/>
      <c r="J90" s="3267"/>
      <c r="K90" s="2892"/>
      <c r="L90" s="2892"/>
      <c r="M90" s="2892"/>
      <c r="N90" s="2892"/>
    </row>
    <row r="91" spans="1:37">
      <c r="A91" s="3269" t="s">
        <v>2962</v>
      </c>
      <c r="B91" s="3269" t="s">
        <v>2963</v>
      </c>
      <c r="C91" s="2846" t="s">
        <v>2964</v>
      </c>
      <c r="D91" s="2847"/>
      <c r="E91" s="2847"/>
      <c r="F91" s="2847"/>
      <c r="G91" s="2847"/>
      <c r="H91" s="2847"/>
      <c r="I91" s="2847"/>
      <c r="J91" s="2893"/>
      <c r="K91" s="2894"/>
      <c r="L91" s="2894"/>
      <c r="M91" s="2894"/>
      <c r="N91" s="2894"/>
    </row>
    <row r="92" spans="1:37">
      <c r="A92" s="3269"/>
      <c r="B92" s="3269"/>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70"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1"/>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0" t="s">
        <v>2966</v>
      </c>
      <c r="B101" s="2899" t="s">
        <v>2967</v>
      </c>
      <c r="C101" s="2900">
        <f>$G$3</f>
        <v>0.51</v>
      </c>
      <c r="D101" s="2900">
        <f t="shared" ref="D101:N101" si="31">$G$3</f>
        <v>0.51</v>
      </c>
      <c r="E101" s="2900">
        <f t="shared" si="31"/>
        <v>0.51</v>
      </c>
      <c r="F101" s="2900">
        <f t="shared" si="31"/>
        <v>0.51</v>
      </c>
      <c r="G101" s="2900">
        <f t="shared" si="31"/>
        <v>0.51</v>
      </c>
      <c r="H101" s="2900">
        <f t="shared" si="31"/>
        <v>0.51</v>
      </c>
      <c r="I101" s="2900">
        <f t="shared" si="31"/>
        <v>0.51</v>
      </c>
      <c r="J101" s="2900">
        <f t="shared" si="31"/>
        <v>0.51</v>
      </c>
      <c r="K101" s="2900">
        <f t="shared" si="31"/>
        <v>0.51</v>
      </c>
      <c r="L101" s="2900">
        <f t="shared" si="31"/>
        <v>0.51</v>
      </c>
      <c r="M101" s="2900">
        <f t="shared" si="31"/>
        <v>0.51</v>
      </c>
      <c r="N101" s="2900">
        <f t="shared" si="31"/>
        <v>0.51</v>
      </c>
    </row>
    <row r="102" spans="1:14">
      <c r="A102" s="3271"/>
      <c r="B102" s="2895">
        <v>1</v>
      </c>
      <c r="C102" s="2896">
        <f>1.9362/C101</f>
        <v>3.796470588235294</v>
      </c>
      <c r="D102" s="2896">
        <f>1.9362/D101</f>
        <v>3.796470588235294</v>
      </c>
      <c r="E102" s="2896">
        <f>1.8629/E101</f>
        <v>3.6527450980392158</v>
      </c>
      <c r="F102" s="2896">
        <f>1.8629/F101</f>
        <v>3.6527450980392158</v>
      </c>
      <c r="G102" s="2896">
        <f>1.8629/G101</f>
        <v>3.6527450980392158</v>
      </c>
      <c r="H102" s="2896">
        <f>1.8629/H101</f>
        <v>3.6527450980392158</v>
      </c>
      <c r="I102" s="2896">
        <f>1.8629/I101</f>
        <v>3.6527450980392158</v>
      </c>
      <c r="J102" s="2896">
        <f>1.942/J101</f>
        <v>3.8078431372549018</v>
      </c>
      <c r="K102" s="2896">
        <f>1.942/K101</f>
        <v>3.8078431372549018</v>
      </c>
      <c r="L102" s="2896">
        <f>1.942/L101</f>
        <v>3.8078431372549018</v>
      </c>
      <c r="M102" s="2896">
        <f>1.942/M101</f>
        <v>3.8078431372549018</v>
      </c>
      <c r="N102" s="2896">
        <f>1.942/N101</f>
        <v>3.8078431372549018</v>
      </c>
    </row>
    <row r="103" spans="1:14">
      <c r="A103" s="3271"/>
      <c r="B103" s="2895">
        <v>2</v>
      </c>
      <c r="C103" s="2896">
        <f>1.4198/C101</f>
        <v>2.7839215686274508</v>
      </c>
      <c r="D103" s="2896">
        <f>1.4198/D101</f>
        <v>2.7839215686274508</v>
      </c>
      <c r="E103" s="2896">
        <f>1.3372/E101</f>
        <v>2.6219607843137251</v>
      </c>
      <c r="F103" s="2896">
        <f>1.3372/F101</f>
        <v>2.6219607843137251</v>
      </c>
      <c r="G103" s="2896">
        <f>1.3372/G101</f>
        <v>2.6219607843137251</v>
      </c>
      <c r="H103" s="2896">
        <f>1.3372/H101</f>
        <v>2.6219607843137251</v>
      </c>
      <c r="I103" s="2896">
        <f>1.3372/I101</f>
        <v>2.6219607843137251</v>
      </c>
      <c r="J103" s="2896">
        <f>1.2799/J101</f>
        <v>2.509607843137255</v>
      </c>
      <c r="K103" s="2896">
        <f>1.2799/K101</f>
        <v>2.509607843137255</v>
      </c>
      <c r="L103" s="2896">
        <f>1.2799/L101</f>
        <v>2.509607843137255</v>
      </c>
      <c r="M103" s="2896">
        <f>1.2799/M101</f>
        <v>2.509607843137255</v>
      </c>
      <c r="N103" s="2896">
        <f>1.2799/N101</f>
        <v>2.509607843137255</v>
      </c>
    </row>
    <row r="104" spans="1:14">
      <c r="A104" s="3271"/>
      <c r="B104" s="2895">
        <v>3</v>
      </c>
      <c r="C104" s="2896">
        <f>1.1594/C101</f>
        <v>2.2733333333333334</v>
      </c>
      <c r="D104" s="2896">
        <f>1.1594/D101</f>
        <v>2.2733333333333334</v>
      </c>
      <c r="E104" s="2896">
        <f>1.0788/E101</f>
        <v>2.1152941176470588</v>
      </c>
      <c r="F104" s="2896">
        <f>1.0788/F101</f>
        <v>2.1152941176470588</v>
      </c>
      <c r="G104" s="2896">
        <f>1.0788/G101</f>
        <v>2.1152941176470588</v>
      </c>
      <c r="H104" s="2896">
        <f>1.0788/H101</f>
        <v>2.1152941176470588</v>
      </c>
      <c r="I104" s="2896">
        <f>1.0788/I101</f>
        <v>2.1152941176470588</v>
      </c>
      <c r="J104" s="2896">
        <f>1.0072/J101</f>
        <v>1.9749019607843139</v>
      </c>
      <c r="K104" s="2896">
        <f>1.0072/K101</f>
        <v>1.9749019607843139</v>
      </c>
      <c r="L104" s="2896">
        <f>1.0072/L101</f>
        <v>1.9749019607843139</v>
      </c>
      <c r="M104" s="2896">
        <f>1.0072/M101</f>
        <v>1.9749019607843139</v>
      </c>
      <c r="N104" s="2896">
        <f>1.0072/N101</f>
        <v>1.9749019607843139</v>
      </c>
    </row>
    <row r="105" spans="1:14">
      <c r="A105" s="3271"/>
      <c r="B105" s="2895">
        <v>4</v>
      </c>
      <c r="C105" s="2896">
        <f>0.9622/C101</f>
        <v>1.8866666666666667</v>
      </c>
      <c r="D105" s="2896">
        <f>0.9622/D101</f>
        <v>1.8866666666666667</v>
      </c>
      <c r="E105" s="2896">
        <f>0.8656/E101</f>
        <v>1.6972549019607843</v>
      </c>
      <c r="F105" s="2896">
        <f>0.8656/F101</f>
        <v>1.6972549019607843</v>
      </c>
      <c r="G105" s="2896">
        <f>0.8656/G101</f>
        <v>1.6972549019607843</v>
      </c>
      <c r="H105" s="2896">
        <f>0.8656/H101</f>
        <v>1.6972549019607843</v>
      </c>
      <c r="I105" s="2896">
        <f>0.8656/I101</f>
        <v>1.6972549019607843</v>
      </c>
      <c r="J105" s="2896">
        <f>0.7525/J101</f>
        <v>1.4754901960784312</v>
      </c>
      <c r="K105" s="2896">
        <f>0.7525/K101</f>
        <v>1.4754901960784312</v>
      </c>
      <c r="L105" s="2896">
        <f>0.7525/L101</f>
        <v>1.4754901960784312</v>
      </c>
      <c r="M105" s="2896">
        <f>0.7525/M101</f>
        <v>1.4754901960784312</v>
      </c>
      <c r="N105" s="2896">
        <f>0.7525/N101</f>
        <v>1.4754901960784312</v>
      </c>
    </row>
    <row r="106" spans="1:14">
      <c r="A106" s="3271"/>
      <c r="B106" s="2895">
        <v>5</v>
      </c>
      <c r="C106" s="2896">
        <f>0.8417/C101</f>
        <v>1.6503921568627451</v>
      </c>
      <c r="D106" s="2896">
        <f>0.8417/D101</f>
        <v>1.6503921568627451</v>
      </c>
      <c r="E106" s="2896">
        <f>0.7371/E101</f>
        <v>1.4452941176470588</v>
      </c>
      <c r="F106" s="2896">
        <f>0.7371/F101</f>
        <v>1.4452941176470588</v>
      </c>
      <c r="G106" s="2896">
        <f>0.7371/G101</f>
        <v>1.4452941176470588</v>
      </c>
      <c r="H106" s="2896">
        <f>0.7371/H101</f>
        <v>1.4452941176470588</v>
      </c>
      <c r="I106" s="2896">
        <f>0.7371/I101</f>
        <v>1.4452941176470588</v>
      </c>
      <c r="J106" s="2896">
        <f>0.5659/J101</f>
        <v>1.1096078431372549</v>
      </c>
      <c r="K106" s="2896">
        <f>0.5659/K101</f>
        <v>1.1096078431372549</v>
      </c>
      <c r="L106" s="2896">
        <f>0.5659/L101</f>
        <v>1.1096078431372549</v>
      </c>
      <c r="M106" s="2896">
        <f>0.5659/M101</f>
        <v>1.1096078431372549</v>
      </c>
      <c r="N106" s="2896">
        <f>0.5659/N101</f>
        <v>1.1096078431372549</v>
      </c>
    </row>
    <row r="107" spans="1:14">
      <c r="A107" s="3271"/>
      <c r="B107" s="2895">
        <v>6</v>
      </c>
      <c r="C107" s="2896">
        <f>0.7608/C101</f>
        <v>1.4917647058823529</v>
      </c>
      <c r="D107" s="2896">
        <f>0.7608/D101</f>
        <v>1.4917647058823529</v>
      </c>
      <c r="E107" s="2896">
        <f>0.6482/E101</f>
        <v>1.2709803921568628</v>
      </c>
      <c r="F107" s="2896">
        <f>0.6482/F101</f>
        <v>1.2709803921568628</v>
      </c>
      <c r="G107" s="2896">
        <f>0.6482/G101</f>
        <v>1.2709803921568628</v>
      </c>
      <c r="H107" s="2896">
        <f>0.6482/H101</f>
        <v>1.2709803921568628</v>
      </c>
      <c r="I107" s="2896">
        <f>0.6482/I101</f>
        <v>1.2709803921568628</v>
      </c>
      <c r="J107" s="2896">
        <f>0.4525/J101</f>
        <v>0.88725490196078427</v>
      </c>
      <c r="K107" s="2896">
        <f>0.4525/K101</f>
        <v>0.88725490196078427</v>
      </c>
      <c r="L107" s="2896">
        <f>0.4525/L101</f>
        <v>0.88725490196078427</v>
      </c>
      <c r="M107" s="2896">
        <f>0.4525/M101</f>
        <v>0.88725490196078427</v>
      </c>
      <c r="N107" s="2896">
        <f>0.4525/N101</f>
        <v>0.88725490196078427</v>
      </c>
    </row>
    <row r="108" spans="1:14">
      <c r="A108" s="3271"/>
      <c r="B108" s="3099"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2"/>
      <c r="B109" s="3100"/>
      <c r="C109" s="2898">
        <f>(-0.163*(C108^2)-0.59*C108+7617)*(10^(-4))/C101</f>
        <v>1.493529411764706</v>
      </c>
      <c r="D109" s="2898">
        <f>(-0.163*(D108^2)-0.59*D108+7617)*(10^(-4))/D101</f>
        <v>1.493529411764706</v>
      </c>
      <c r="E109" s="2898">
        <f>(-0.161*(E108^2)-7.509*E108+6533)*(10^(-4))/E101</f>
        <v>1.2809803921568628</v>
      </c>
      <c r="F109" s="2898">
        <f>(-0.161*(F108^2)-7.509*F108+6533)*(10^(-4))/F101</f>
        <v>1.2809803921568628</v>
      </c>
      <c r="G109" s="2898">
        <f>(-0.161*(G108^2)-7.509*G108+6533)*(10^(-4))/G101</f>
        <v>1.2809803921568628</v>
      </c>
      <c r="H109" s="2898">
        <f>(-0.161*(H108^2)-7.509*H108+6533)*(10^(-4))/H101</f>
        <v>1.2809803921568628</v>
      </c>
      <c r="I109" s="2898">
        <f>(-0.161*(I108^2)-7.509*I108+6533)*(10^(-4))/I101</f>
        <v>1.2809803921568628</v>
      </c>
      <c r="J109" s="2898">
        <f>(-0.214*(J108^2)-21.991*J108+4665)*(10^(-4))/J101</f>
        <v>0.91470588235294126</v>
      </c>
      <c r="K109" s="2898">
        <f>(-0.214*(K108^2)-21.991*K108+4665)*(10^(-4))/K101</f>
        <v>0.91470588235294126</v>
      </c>
      <c r="L109" s="2898">
        <f>(-0.214*(L108^2)-21.991*L108+4665)*(10^(-4))/L101</f>
        <v>0.91470588235294126</v>
      </c>
      <c r="M109" s="2898">
        <f>(-0.214*(M108^2)-21.991*M108+4665)*(10^(-4))/M101</f>
        <v>0.91470588235294126</v>
      </c>
      <c r="N109" s="2898">
        <f>(-0.214*(N108^2)-21.991*N108+4665)*(10^(-4))/N101</f>
        <v>0.91470588235294126</v>
      </c>
    </row>
    <row r="110" spans="1:14">
      <c r="A110" s="3268" t="s">
        <v>2969</v>
      </c>
      <c r="B110" s="3268"/>
      <c r="C110" s="3268"/>
      <c r="D110" s="3268"/>
      <c r="E110" s="3268"/>
      <c r="F110" s="3268"/>
      <c r="G110" s="3268"/>
      <c r="H110" s="3268"/>
      <c r="I110" s="3268"/>
      <c r="J110" s="3268"/>
      <c r="K110" s="2901"/>
      <c r="L110" s="2901"/>
      <c r="M110" s="2901"/>
      <c r="N110" s="2901"/>
    </row>
    <row r="112" spans="1:14" ht="13.5" thickBot="1"/>
    <row r="113" spans="1:13" ht="25.5" thickBot="1">
      <c r="A113" s="902" t="s">
        <v>2970</v>
      </c>
      <c r="B113" s="1289">
        <f>G3</f>
        <v>0.51</v>
      </c>
      <c r="C113" s="903" t="s">
        <v>2971</v>
      </c>
      <c r="D113" s="904">
        <f>SUMPRODUCT((A115:A118=F113)*(B114:M114=H113)*B115:M118)</f>
        <v>0</v>
      </c>
      <c r="E113" s="2724" t="s">
        <v>2801</v>
      </c>
      <c r="F113" s="2903">
        <f>E2</f>
        <v>0</v>
      </c>
      <c r="G113" s="2724" t="s">
        <v>2802</v>
      </c>
      <c r="H113" s="2903">
        <f>G2</f>
        <v>0</v>
      </c>
      <c r="I113" s="2724"/>
      <c r="J113" s="2904"/>
      <c r="K113" s="2904"/>
      <c r="L113" s="2904"/>
      <c r="M113" s="2904"/>
    </row>
    <row r="114" spans="1:13">
      <c r="A114" s="907"/>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8" t="s">
        <v>2866</v>
      </c>
      <c r="B115" s="909">
        <f>ROUND(0.9335-0.0094*B113,4)</f>
        <v>0.92869999999999997</v>
      </c>
      <c r="C115" s="909">
        <f>B115</f>
        <v>0.92869999999999997</v>
      </c>
      <c r="D115" s="909">
        <f>ROUND(0.8331-0.0109*B113,4)</f>
        <v>0.82750000000000001</v>
      </c>
      <c r="E115" s="909">
        <f>D115</f>
        <v>0.82750000000000001</v>
      </c>
      <c r="F115" s="909">
        <f>E115</f>
        <v>0.82750000000000001</v>
      </c>
      <c r="G115" s="909">
        <f>F115</f>
        <v>0.82750000000000001</v>
      </c>
      <c r="H115" s="909">
        <f>G115</f>
        <v>0.82750000000000001</v>
      </c>
      <c r="I115" s="909">
        <f>ROUND(0.689-0.0155*B113,4)</f>
        <v>0.68110000000000004</v>
      </c>
      <c r="J115" s="909">
        <f t="shared" ref="J115:M118" si="33">I115</f>
        <v>0.68110000000000004</v>
      </c>
      <c r="K115" s="909">
        <f t="shared" si="33"/>
        <v>0.68110000000000004</v>
      </c>
      <c r="L115" s="909">
        <f t="shared" si="33"/>
        <v>0.68110000000000004</v>
      </c>
      <c r="M115" s="910">
        <f t="shared" si="33"/>
        <v>0.68110000000000004</v>
      </c>
    </row>
    <row r="116" spans="1:13">
      <c r="A116" s="908" t="s">
        <v>2867</v>
      </c>
      <c r="B116" s="909">
        <f>ROUND(0.949-0.012*B113,4)</f>
        <v>0.94289999999999996</v>
      </c>
      <c r="C116" s="909">
        <f>B116</f>
        <v>0.94289999999999996</v>
      </c>
      <c r="D116" s="909">
        <f>ROUND(0.8567-0.013*B113,4)</f>
        <v>0.85009999999999997</v>
      </c>
      <c r="E116" s="909">
        <f t="shared" ref="E116:H117" si="34">D116</f>
        <v>0.85009999999999997</v>
      </c>
      <c r="F116" s="909">
        <f t="shared" si="34"/>
        <v>0.85009999999999997</v>
      </c>
      <c r="G116" s="909">
        <f t="shared" si="34"/>
        <v>0.85009999999999997</v>
      </c>
      <c r="H116" s="909">
        <f t="shared" si="34"/>
        <v>0.85009999999999997</v>
      </c>
      <c r="I116" s="909">
        <f>ROUND(0.7694-0.014*B113,4)</f>
        <v>0.76229999999999998</v>
      </c>
      <c r="J116" s="909">
        <f t="shared" si="33"/>
        <v>0.76229999999999998</v>
      </c>
      <c r="K116" s="909">
        <f t="shared" si="33"/>
        <v>0.76229999999999998</v>
      </c>
      <c r="L116" s="909">
        <f t="shared" si="33"/>
        <v>0.76229999999999998</v>
      </c>
      <c r="M116" s="910">
        <f t="shared" si="33"/>
        <v>0.76229999999999998</v>
      </c>
    </row>
    <row r="117" spans="1:13">
      <c r="A117" s="908" t="s">
        <v>2868</v>
      </c>
      <c r="B117" s="909">
        <f>ROUND(0.8808-0.006*B113,4)</f>
        <v>0.87770000000000004</v>
      </c>
      <c r="C117" s="909">
        <f>B117</f>
        <v>0.87770000000000004</v>
      </c>
      <c r="D117" s="909">
        <f>ROUND(0.8748-0.008*B113,4)</f>
        <v>0.87070000000000003</v>
      </c>
      <c r="E117" s="909">
        <f t="shared" si="34"/>
        <v>0.87070000000000003</v>
      </c>
      <c r="F117" s="909">
        <f t="shared" si="34"/>
        <v>0.87070000000000003</v>
      </c>
      <c r="G117" s="909">
        <f t="shared" si="34"/>
        <v>0.87070000000000003</v>
      </c>
      <c r="H117" s="909">
        <f t="shared" si="34"/>
        <v>0.87070000000000003</v>
      </c>
      <c r="I117" s="909">
        <f>ROUND(0.7412-0.0095*B113,4)</f>
        <v>0.73640000000000005</v>
      </c>
      <c r="J117" s="909">
        <f t="shared" si="33"/>
        <v>0.73640000000000005</v>
      </c>
      <c r="K117" s="909">
        <f t="shared" si="33"/>
        <v>0.73640000000000005</v>
      </c>
      <c r="L117" s="909">
        <f t="shared" si="33"/>
        <v>0.73640000000000005</v>
      </c>
      <c r="M117" s="910">
        <f t="shared" si="33"/>
        <v>0.73640000000000005</v>
      </c>
    </row>
    <row r="118" spans="1:13" ht="13.5" thickBot="1">
      <c r="A118" s="713" t="s">
        <v>2869</v>
      </c>
      <c r="B118" s="911">
        <f>ROUND(0.7275-0.01*B113,4)</f>
        <v>0.72240000000000004</v>
      </c>
      <c r="C118" s="911">
        <f>B118</f>
        <v>0.72240000000000004</v>
      </c>
      <c r="D118" s="911">
        <f>ROUND(0.7043-0.012*B113,4)</f>
        <v>0.69820000000000004</v>
      </c>
      <c r="E118" s="911">
        <f>D118</f>
        <v>0.69820000000000004</v>
      </c>
      <c r="F118" s="911">
        <f>E118</f>
        <v>0.69820000000000004</v>
      </c>
      <c r="G118" s="911">
        <f>ROUND(0.6299-0.0122*B113,4)</f>
        <v>0.62370000000000003</v>
      </c>
      <c r="H118" s="911">
        <f>G118</f>
        <v>0.62370000000000003</v>
      </c>
      <c r="I118" s="911">
        <f>ROUND(0.5667-0.0136*B113,4)</f>
        <v>0.55979999999999996</v>
      </c>
      <c r="J118" s="911">
        <f t="shared" si="33"/>
        <v>0.55979999999999996</v>
      </c>
      <c r="K118" s="911">
        <f t="shared" si="33"/>
        <v>0.55979999999999996</v>
      </c>
      <c r="L118" s="911">
        <f t="shared" si="33"/>
        <v>0.55979999999999996</v>
      </c>
      <c r="M118" s="912">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2992</v>
      </c>
    </row>
    <row r="2" spans="1:5" ht="15.75">
      <c r="A2" s="2910" t="s">
        <v>2984</v>
      </c>
      <c r="B2" s="2911" t="e">
        <f ca="1">SUMIF(B6:B13,"&lt;&gt;#ref!",B6:B13)</f>
        <v>#DIV/0!</v>
      </c>
      <c r="C2" s="2910" t="s">
        <v>2985</v>
      </c>
      <c r="D2" s="2910" t="s">
        <v>2986</v>
      </c>
      <c r="E2" s="2911" t="e">
        <f ca="1">SUM(E6:E13)</f>
        <v>#REF!</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5">
        <f ca="1">SUMIF(INDIRECT("'"&amp;A6&amp;"'"&amp;"!C:C"),"建筑面积",INDIRECT("'"&amp;A6&amp;"'"&amp;"!D:D"))</f>
        <v>0</v>
      </c>
    </row>
    <row r="7" spans="1:5" ht="15.75">
      <c r="A7" s="2915"/>
      <c r="B7" s="2911" t="e">
        <f ca="1">SUMIF(INDIRECT("'"&amp;A7&amp;"'"&amp;"!A:A"),"总价",INDIRECT("'"&amp;A7&amp;"'"&amp;"!B:B"))</f>
        <v>#REF!</v>
      </c>
      <c r="C7" s="2910" t="s">
        <v>2985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5" t="e">
        <f t="shared" ca="1" si="0"/>
        <v>#REF!</v>
      </c>
    </row>
    <row r="9" spans="1:5" ht="15.75">
      <c r="A9" s="2915"/>
      <c r="B9" s="2911" t="e">
        <f t="shared" ca="1" si="1"/>
        <v>#REF!</v>
      </c>
      <c r="C9" s="2910" t="s">
        <v>2985</v>
      </c>
      <c r="D9" s="2912"/>
      <c r="E9" s="2575" t="e">
        <f t="shared" ca="1" si="0"/>
        <v>#REF!</v>
      </c>
    </row>
    <row r="10" spans="1:5" ht="15.75">
      <c r="A10" s="2915"/>
      <c r="B10" s="2911" t="e">
        <f t="shared" ca="1" si="1"/>
        <v>#REF!</v>
      </c>
      <c r="C10" s="2910" t="s">
        <v>2985</v>
      </c>
      <c r="D10" s="2912"/>
      <c r="E10" s="2575" t="e">
        <f t="shared" ca="1" si="0"/>
        <v>#REF!</v>
      </c>
    </row>
    <row r="11" spans="1:5" ht="15.75">
      <c r="A11" s="2915"/>
      <c r="B11" s="2911" t="e">
        <f t="shared" ca="1" si="1"/>
        <v>#REF!</v>
      </c>
      <c r="C11" s="2910" t="s">
        <v>2985</v>
      </c>
      <c r="D11" s="2912"/>
      <c r="E11" s="2575" t="e">
        <f t="shared" ca="1" si="0"/>
        <v>#REF!</v>
      </c>
    </row>
    <row r="12" spans="1:5" ht="15.75">
      <c r="A12" s="2915"/>
      <c r="B12" s="2911" t="e">
        <f t="shared" ca="1" si="1"/>
        <v>#REF!</v>
      </c>
      <c r="C12" s="2910" t="s">
        <v>2985</v>
      </c>
      <c r="D12" s="2912"/>
      <c r="E12" s="2575" t="e">
        <f t="shared" ca="1" si="0"/>
        <v>#REF!</v>
      </c>
    </row>
    <row r="13" spans="1:5" ht="15.75">
      <c r="A13" s="2915"/>
      <c r="B13" s="2911" t="e">
        <f t="shared" ca="1" si="1"/>
        <v>#REF!</v>
      </c>
      <c r="C13" s="2910" t="s">
        <v>2985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87" t="s">
        <v>1151</v>
      </c>
      <c r="H1" s="3287"/>
      <c r="I1" s="3287"/>
      <c r="J1" s="3287"/>
      <c r="K1" s="3287"/>
      <c r="L1" s="3287"/>
      <c r="N1" s="3287" t="s">
        <v>1152</v>
      </c>
      <c r="O1" s="3287"/>
      <c r="P1" s="3287"/>
      <c r="Q1" s="3287"/>
      <c r="R1" s="1448"/>
      <c r="S1" s="3287" t="s">
        <v>1153</v>
      </c>
      <c r="T1" s="3287"/>
      <c r="U1" s="3287"/>
      <c r="V1" s="3287"/>
      <c r="X1" s="3286" t="s">
        <v>1154</v>
      </c>
      <c r="Y1" s="3287"/>
      <c r="Z1" s="3287"/>
      <c r="AA1" s="3287"/>
      <c r="AB1" s="3287"/>
      <c r="AD1" s="3286" t="s">
        <v>1155</v>
      </c>
      <c r="AE1" s="3287"/>
      <c r="AF1" s="3287"/>
      <c r="AG1" s="3287"/>
      <c r="AH1" s="328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3027</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3033</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3028</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3026</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3023</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3024</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92">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9"/>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9"/>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90"/>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8">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9"/>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9"/>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90"/>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8">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9"/>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9"/>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90"/>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3">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4"/>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4"/>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5"/>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8">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9"/>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9"/>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90"/>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8">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9">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9">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90">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8">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9">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9">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90">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8">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9">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9">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90">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8">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9">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9">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90">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8">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9">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9">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90">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8">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9">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9">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90">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8">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9">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9">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90">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8">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9">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9">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90">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8">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9">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9">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90">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8">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9">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9">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90">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297" t="s">
        <v>2995</v>
      </c>
      <c r="D1" s="3298"/>
      <c r="E1" s="3298"/>
      <c r="F1" s="3298"/>
      <c r="G1" s="3298"/>
      <c r="H1" s="3298"/>
      <c r="I1" s="3298"/>
      <c r="J1" s="3298"/>
      <c r="K1" s="3298"/>
      <c r="L1" s="3298"/>
      <c r="M1" s="3298"/>
      <c r="N1" s="3298"/>
      <c r="O1" s="3298"/>
      <c r="P1" s="3298"/>
      <c r="Q1" s="3298"/>
      <c r="R1" s="3298"/>
      <c r="S1" s="3299"/>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2998</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2999</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3000</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3004</v>
      </c>
      <c r="B17" s="2917"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3006</v>
      </c>
      <c r="E19" s="1794"/>
      <c r="F19" s="1794"/>
      <c r="G19" s="1794"/>
      <c r="H19" s="1282"/>
      <c r="I19" s="167"/>
      <c r="J19" s="167"/>
      <c r="K19" s="167"/>
      <c r="L19" s="167"/>
      <c r="M19" s="167"/>
      <c r="N19" s="167"/>
      <c r="O19" s="167"/>
      <c r="P19" s="167"/>
      <c r="Q19" s="167"/>
      <c r="R19" s="787"/>
      <c r="S19" s="137"/>
    </row>
    <row r="20" spans="1:45" ht="16.5" thickBot="1">
      <c r="A20" s="714" t="s">
        <v>3007</v>
      </c>
      <c r="B20" s="337" t="e">
        <f ca="1">IF(D20="——",S22,S22-F20)</f>
        <v>#REF!</v>
      </c>
      <c r="C20" s="167"/>
      <c r="D20" s="2919" t="s">
        <v>3008</v>
      </c>
      <c r="E20" s="1795"/>
      <c r="F20" s="1206" t="e">
        <f ca="1">SUMIF(INDIRECT("'"&amp;H20&amp;"'"&amp;"!A:A"),"承租人权益价值",INDIRECT("'"&amp;H20&amp;"'"&amp;"!c:c"))</f>
        <v>#REF!</v>
      </c>
      <c r="G20" s="1206" t="s">
        <v>3009</v>
      </c>
      <c r="H20" s="2920"/>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080" t="s">
        <v>33</v>
      </c>
      <c r="D22" s="3081"/>
      <c r="E22" s="3081"/>
      <c r="F22" s="3081"/>
      <c r="G22" s="3081"/>
      <c r="H22" s="3081"/>
      <c r="I22" s="3081"/>
      <c r="J22" s="3081"/>
      <c r="K22" s="3081"/>
      <c r="L22" s="3081"/>
      <c r="M22" s="3081"/>
      <c r="N22" s="3081"/>
      <c r="O22" s="3081"/>
      <c r="P22" s="3081"/>
      <c r="Q22" s="3296"/>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3"/>
      <c r="B4" s="2986" t="s">
        <v>1630</v>
      </c>
      <c r="C4" s="2986"/>
      <c r="D4" s="2986"/>
      <c r="E4" s="1963"/>
    </row>
    <row r="5" spans="1:5" ht="16.5" thickTop="1">
      <c r="A5" s="1961"/>
      <c r="B5" s="2984" t="s">
        <v>1622</v>
      </c>
      <c r="C5" s="1964" t="s">
        <v>1623</v>
      </c>
      <c r="D5" s="1042">
        <f ca="1">结果表!H101</f>
        <v>8189</v>
      </c>
      <c r="E5" s="1961"/>
    </row>
    <row r="6" spans="1:5" ht="15.75">
      <c r="A6" s="1961"/>
      <c r="B6" s="2984"/>
      <c r="C6" s="1964" t="s">
        <v>1624</v>
      </c>
      <c r="D6" s="1042" t="str">
        <f ca="1">NUMBERSTRING(INT(D5*10000),2)&amp;"元整"</f>
        <v>捌仟壹佰捌拾玖万元整</v>
      </c>
      <c r="E6" s="1961"/>
    </row>
    <row r="7" spans="1:5" ht="15.75">
      <c r="A7" s="1961"/>
      <c r="B7" s="2989"/>
      <c r="C7" s="1965" t="s">
        <v>1625</v>
      </c>
      <c r="D7" s="1043">
        <f ca="1">结果表!H102</f>
        <v>4566</v>
      </c>
      <c r="E7" s="1961"/>
    </row>
    <row r="8" spans="1:5" ht="15.75">
      <c r="A8" s="1961"/>
      <c r="B8" s="2990" t="str">
        <f>结果表!E103</f>
        <v>2.估价师知悉的除抵押担保权以外的法定优先受偿款</v>
      </c>
      <c r="C8" s="1966" t="s">
        <v>1626</v>
      </c>
      <c r="D8" s="1043">
        <f>结果表!H103</f>
        <v>0</v>
      </c>
      <c r="E8" s="1961"/>
    </row>
    <row r="9" spans="1:5" ht="15.75">
      <c r="A9" s="1961"/>
      <c r="B9" s="2992"/>
      <c r="C9" s="1964" t="s">
        <v>1624</v>
      </c>
      <c r="D9" s="1042" t="str">
        <f>NUMBERSTRING(INT(D8*10000),2)&amp;"元整"</f>
        <v>零元整</v>
      </c>
      <c r="E9" s="1961"/>
    </row>
    <row r="10" spans="1:5" ht="15">
      <c r="A10" s="1961"/>
      <c r="B10" s="1967" t="s">
        <v>1629</v>
      </c>
      <c r="C10" s="1968" t="s">
        <v>1627</v>
      </c>
      <c r="D10" s="1044">
        <f>结果表!H104</f>
        <v>4330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3" t="str">
        <f>结果表!E107</f>
        <v>——</v>
      </c>
      <c r="C13" s="1969" t="s">
        <v>1623</v>
      </c>
      <c r="D13" s="1045" t="str">
        <f>结果表!H107</f>
        <v>——</v>
      </c>
      <c r="E13" s="1961"/>
    </row>
    <row r="14" spans="1:5" ht="15.75">
      <c r="A14" s="1961"/>
      <c r="B14" s="2984"/>
      <c r="C14" s="1964" t="s">
        <v>1624</v>
      </c>
      <c r="D14" s="1042" t="e">
        <f>NUMBERSTRING(INT(D13*10000),2)&amp;"元整"</f>
        <v>#VALUE!</v>
      </c>
      <c r="E14" s="1961"/>
    </row>
    <row r="15" spans="1:5" ht="15">
      <c r="A15" s="1961"/>
      <c r="B15" s="2989"/>
      <c r="C15" s="1965" t="s">
        <v>1634</v>
      </c>
      <c r="D15" s="1054" t="e">
        <f>结果表!H108</f>
        <v>#VALUE!</v>
      </c>
      <c r="E15" s="1961"/>
    </row>
    <row r="16" spans="1:5" ht="15">
      <c r="A16" s="1961"/>
      <c r="B16" s="2990" t="str">
        <f>结果表!E109</f>
        <v>3.抵押担保权已注销时的房地产抵押价值</v>
      </c>
      <c r="C16" s="1969" t="s">
        <v>1635</v>
      </c>
      <c r="D16" s="1970">
        <f ca="1">结果表!H109</f>
        <v>8189</v>
      </c>
      <c r="E16" s="1961"/>
    </row>
    <row r="17" spans="1:5" ht="15.75">
      <c r="A17" s="1961"/>
      <c r="B17" s="2991"/>
      <c r="C17" s="1964" t="s">
        <v>1636</v>
      </c>
      <c r="D17" s="1042" t="str">
        <f ca="1">NUMBERSTRING(INT(D16*10000),2)&amp;"元整"</f>
        <v>捌仟壹佰捌拾玖万元整</v>
      </c>
      <c r="E17" s="1961"/>
    </row>
    <row r="18" spans="1:5" ht="15">
      <c r="A18" s="1961"/>
      <c r="B18" s="2992"/>
      <c r="C18" s="1965" t="s">
        <v>1625</v>
      </c>
      <c r="D18" s="1054">
        <f ca="1">结果表!H110</f>
        <v>4566</v>
      </c>
      <c r="E18" s="1961"/>
    </row>
    <row r="19" spans="1:5" ht="15.75">
      <c r="A19" s="1961"/>
      <c r="B19" s="2983" t="str">
        <f>结果表!E111</f>
        <v>——</v>
      </c>
      <c r="C19" s="1969" t="s">
        <v>1623</v>
      </c>
      <c r="D19" s="1043" t="str">
        <f>结果表!H111</f>
        <v>——</v>
      </c>
      <c r="E19" s="1961"/>
    </row>
    <row r="20" spans="1:5" ht="15.75">
      <c r="A20" s="1961"/>
      <c r="B20" s="2984"/>
      <c r="C20" s="1964" t="s">
        <v>1636</v>
      </c>
      <c r="D20" s="1042" t="e">
        <f>NUMBERSTRING(INT(D19*10000),2)&amp;"元整"</f>
        <v>#VALUE!</v>
      </c>
      <c r="E20" s="1961"/>
    </row>
    <row r="21" spans="1:5" ht="15.75" thickBot="1">
      <c r="A21" s="1961"/>
      <c r="B21" s="2985"/>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32785</v>
      </c>
      <c r="C2" s="2" t="s">
        <v>133</v>
      </c>
      <c r="D2" s="242"/>
      <c r="E2" s="242"/>
      <c r="F2" s="242"/>
      <c r="G2" s="242"/>
    </row>
    <row r="3" spans="1:7" s="243" customFormat="1" ht="18" customHeight="1" thickBot="1">
      <c r="A3" s="246" t="s">
        <v>85</v>
      </c>
      <c r="B3" s="247">
        <f ca="1">ROUND(B2*10000/'数据-汇总表'!E3,0)</f>
        <v>18281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0</v>
      </c>
      <c r="D10" s="1034">
        <f>'数据-汇总表'!E6</f>
        <v>17933.88</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359</v>
      </c>
      <c r="D19" s="1038">
        <f>'数据-汇总表'!E3</f>
        <v>17933.88</v>
      </c>
      <c r="E19" s="254">
        <f>'数据-取费表'!B31</f>
        <v>200</v>
      </c>
      <c r="F19" s="274"/>
      <c r="G19" s="1" t="s">
        <v>1074</v>
      </c>
    </row>
    <row r="20" spans="1:7" s="257" customFormat="1" ht="13.5" customHeight="1">
      <c r="A20" s="950" t="s">
        <v>1057</v>
      </c>
      <c r="B20" s="253" t="s">
        <v>104</v>
      </c>
      <c r="C20" s="275">
        <f>ROUND((C5+C19)*F20,0)</f>
        <v>629</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927</v>
      </c>
      <c r="D22" s="278">
        <f ca="1">C26</f>
        <v>6.9999999999999999E-4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7">
        <f ca="1">ROUND(IF('数据-取费表'!B22&lt;=1,C20*F22*'数据-取费表'!B23/2,C20*(POWER((1+F22),'数据-取费表'!B23/2)-1)),0)</f>
        <v>14</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2160</v>
      </c>
      <c r="D27" s="278">
        <f>C29</f>
        <v>3.0000000000000001E-3</v>
      </c>
      <c r="E27" s="279" t="s">
        <v>126</v>
      </c>
      <c r="F27" s="289">
        <f>'数据-取费表'!Q16</f>
        <v>0.1</v>
      </c>
      <c r="G27" s="290" t="s">
        <v>1069</v>
      </c>
    </row>
    <row r="28" spans="1:7" s="257" customFormat="1" ht="13.5" customHeight="1">
      <c r="A28" s="953" t="s">
        <v>794</v>
      </c>
      <c r="B28" s="291" t="s">
        <v>1062</v>
      </c>
      <c r="C28" s="292">
        <f>ROUND((C5+C19+C20)*F27*'数据-取费表'!B21/'数据-取费表'!B20,0)</f>
        <v>2160</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27038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5045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4484</v>
      </c>
      <c r="D34" s="260"/>
      <c r="E34" s="263"/>
      <c r="F34" s="300">
        <f>IF('数据-取费表'!B24=0,1,'数据-取费表'!N16)</f>
        <v>1</v>
      </c>
      <c r="G34" s="262" t="s">
        <v>116</v>
      </c>
    </row>
    <row r="35" spans="1:7" ht="13.5" customHeight="1">
      <c r="A35" s="953" t="s">
        <v>796</v>
      </c>
      <c r="B35" s="258" t="s">
        <v>60</v>
      </c>
      <c r="C35" s="263">
        <f>ROUND(C34*F35,0)</f>
        <v>135</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359</v>
      </c>
      <c r="D37" s="260">
        <f>'数据-汇总表'!E3</f>
        <v>17933.88</v>
      </c>
      <c r="E37" s="292">
        <f>'数据-取费表'!B35</f>
        <v>200</v>
      </c>
      <c r="F37" s="302"/>
      <c r="G37" s="304" t="s">
        <v>119</v>
      </c>
    </row>
    <row r="38" spans="1:7" ht="13.5" customHeight="1">
      <c r="A38" s="953" t="s">
        <v>799</v>
      </c>
      <c r="B38" s="258" t="s">
        <v>63</v>
      </c>
      <c r="C38" s="263">
        <f>ROUND(C34*F38,0)</f>
        <v>67</v>
      </c>
      <c r="D38" s="263"/>
      <c r="E38" s="263"/>
      <c r="F38" s="302">
        <f>'数据-取费表'!B36</f>
        <v>1.4999999999999999E-2</v>
      </c>
      <c r="G38" s="262" t="s">
        <v>117</v>
      </c>
    </row>
    <row r="39" spans="1:7" s="257" customFormat="1" ht="13.5" customHeight="1">
      <c r="A39" s="950" t="s">
        <v>783</v>
      </c>
      <c r="B39" s="253" t="s">
        <v>104</v>
      </c>
      <c r="C39" s="275">
        <f>ROUND(C33*F20,0)</f>
        <v>151</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113</v>
      </c>
      <c r="D41" s="278">
        <f ca="1">C44</f>
        <v>6.9999999999999999E-4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110</v>
      </c>
      <c r="D42" s="281"/>
      <c r="E42" s="281"/>
      <c r="F42" s="282"/>
      <c r="G42" s="3208" t="s">
        <v>121</v>
      </c>
    </row>
    <row r="43" spans="1:7" ht="13.5" customHeight="1">
      <c r="A43" s="953" t="s">
        <v>792</v>
      </c>
      <c r="B43" s="258" t="s">
        <v>1064</v>
      </c>
      <c r="C43" s="281">
        <f ca="1">ROUND(IF('数据-取费表'!B22&lt;=1,C39*F22*'数据-取费表'!B21/2,C39*(POWER((1+F22),'数据-取费表'!B21/2)-1)),0)</f>
        <v>3</v>
      </c>
      <c r="D43" s="281"/>
      <c r="E43" s="281"/>
      <c r="F43" s="282"/>
      <c r="G43" s="3209"/>
    </row>
    <row r="44" spans="1:7" ht="13.5" customHeight="1">
      <c r="A44" s="953" t="s">
        <v>793</v>
      </c>
      <c r="B44" s="258" t="s">
        <v>1066</v>
      </c>
      <c r="C44" s="281">
        <f ca="1">ROUND(IF('数据-取费表'!B22&lt;=1,C40*F22*'数据-取费表'!B21/2,C40*(POWER((1+F22),'数据-取费表'!B21/2)-1)),4)</f>
        <v>6.9999999999999999E-4</v>
      </c>
      <c r="D44" s="281"/>
      <c r="E44" s="281"/>
      <c r="F44" s="282"/>
      <c r="G44" s="3210"/>
    </row>
    <row r="45" spans="1:7" s="257" customFormat="1" ht="13.5" customHeight="1">
      <c r="A45" s="950" t="s">
        <v>786</v>
      </c>
      <c r="B45" s="287" t="s">
        <v>112</v>
      </c>
      <c r="C45" s="288">
        <f>C46</f>
        <v>520</v>
      </c>
      <c r="D45" s="278">
        <f>C47</f>
        <v>3.0000000000000001E-3</v>
      </c>
      <c r="E45" s="279" t="s">
        <v>129</v>
      </c>
      <c r="F45" s="289"/>
      <c r="G45" s="290" t="s">
        <v>1072</v>
      </c>
    </row>
    <row r="46" spans="1:7" s="257" customFormat="1" ht="13.5" customHeight="1">
      <c r="A46" s="953" t="s">
        <v>794</v>
      </c>
      <c r="B46" s="291" t="s">
        <v>1065</v>
      </c>
      <c r="C46" s="292">
        <f>ROUND((C33+C39)*F27,0)</f>
        <v>520</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6385</v>
      </c>
      <c r="D49" s="275"/>
      <c r="E49" s="275"/>
      <c r="F49" s="307"/>
      <c r="G49" s="277" t="s">
        <v>1073</v>
      </c>
    </row>
    <row r="50" spans="1:7" s="301" customFormat="1" ht="24">
      <c r="A50" s="950" t="s">
        <v>789</v>
      </c>
      <c r="B50" s="253" t="s">
        <v>124</v>
      </c>
      <c r="C50" s="275"/>
      <c r="D50" s="275"/>
      <c r="E50" s="275"/>
      <c r="F50" s="307">
        <f>IF('数据-取费表'!B24=0,'数据-取费表'!N16,1)</f>
        <v>0.9</v>
      </c>
      <c r="G50" s="290" t="s">
        <v>125</v>
      </c>
    </row>
    <row r="51" spans="1:7" ht="16.5" customHeight="1">
      <c r="A51" s="950" t="s">
        <v>790</v>
      </c>
      <c r="B51" s="253" t="s">
        <v>132</v>
      </c>
      <c r="C51" s="275">
        <f ca="1">ROUND(C49*F50,0)</f>
        <v>5747</v>
      </c>
      <c r="D51" s="275"/>
      <c r="E51" s="275"/>
      <c r="F51" s="307"/>
      <c r="G51" s="277" t="s">
        <v>64</v>
      </c>
    </row>
    <row r="52" spans="1:7" s="251" customFormat="1" ht="16.5" thickBot="1">
      <c r="A52" s="308" t="s">
        <v>65</v>
      </c>
      <c r="B52" s="309"/>
      <c r="C52" s="310">
        <f ca="1">C31+C51</f>
        <v>32785</v>
      </c>
      <c r="D52" s="309"/>
      <c r="E52" s="309"/>
      <c r="F52" s="309"/>
      <c r="G52" s="311"/>
    </row>
    <row r="55" spans="1:7" ht="15">
      <c r="B55" s="313" t="s">
        <v>66</v>
      </c>
      <c r="C55" s="314"/>
    </row>
    <row r="56" spans="1:7">
      <c r="B56" s="316" t="s">
        <v>67</v>
      </c>
      <c r="C56" s="317">
        <f ca="1">ROUND(C51/C52,3)</f>
        <v>0.17499999999999999</v>
      </c>
    </row>
    <row r="57" spans="1:7">
      <c r="B57" s="316" t="s">
        <v>68</v>
      </c>
      <c r="C57" s="318">
        <f ca="1">1-C56</f>
        <v>0.82499999999999996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871</v>
      </c>
      <c r="B1" s="330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43223</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K19" sqref="K1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3244</v>
      </c>
      <c r="D1" s="1822" t="s">
        <v>70</v>
      </c>
      <c r="E1" s="1823" t="s">
        <v>1387</v>
      </c>
      <c r="F1" s="1285">
        <f ca="1">J53</f>
        <v>38.35</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2952</v>
      </c>
      <c r="C2" s="1847" t="s">
        <v>1516</v>
      </c>
      <c r="D2" s="1847"/>
      <c r="E2" s="1848"/>
      <c r="F2" s="1849"/>
      <c r="G2" s="1850"/>
      <c r="H2" s="1842"/>
      <c r="I2" s="1842"/>
      <c r="J2" s="1842"/>
      <c r="K2" s="1843"/>
      <c r="L2" s="1842"/>
      <c r="M2" s="1842"/>
    </row>
    <row r="3" spans="1:37" ht="18" customHeight="1" thickBot="1">
      <c r="A3" s="1851" t="s">
        <v>1517</v>
      </c>
      <c r="B3" s="1852">
        <f ca="1">IF(ISERROR(B2*10000/F43),0,ROUND(B2*10000/F43,0))</f>
        <v>4747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160</v>
      </c>
      <c r="D5" s="1824" t="s">
        <v>1402</v>
      </c>
      <c r="E5" s="1295"/>
      <c r="F5" s="1296"/>
      <c r="G5" s="1853"/>
      <c r="H5" s="343">
        <v>1</v>
      </c>
      <c r="I5" s="344" t="s">
        <v>1401</v>
      </c>
      <c r="J5" s="1294">
        <f ca="1">J6+J10+J12</f>
        <v>184</v>
      </c>
      <c r="K5" s="1824" t="s">
        <v>1402</v>
      </c>
      <c r="L5" s="1295"/>
      <c r="M5" s="1296"/>
    </row>
    <row r="6" spans="1:37" ht="18" customHeight="1">
      <c r="A6" s="1293" t="s">
        <v>1035</v>
      </c>
      <c r="B6" s="3214" t="s">
        <v>1403</v>
      </c>
      <c r="C6" s="1298">
        <f ca="1">ROUND(F6*F8*F7*(1-F9)/10000,0)</f>
        <v>159</v>
      </c>
      <c r="D6" s="163" t="s">
        <v>3021</v>
      </c>
      <c r="E6" s="346" t="s">
        <v>1405</v>
      </c>
      <c r="F6" s="347">
        <f ca="1">INDIRECT("'数据-取费表'!u"&amp;$G$1)</f>
        <v>0.7</v>
      </c>
      <c r="G6" s="1853"/>
      <c r="H6" s="1293" t="s">
        <v>1035</v>
      </c>
      <c r="I6" s="3214" t="s">
        <v>1403</v>
      </c>
      <c r="J6" s="345">
        <f ca="1">ROUND(M6*M8*M7*(1-M9)/10000,0)</f>
        <v>184</v>
      </c>
      <c r="K6" s="163" t="s">
        <v>3020</v>
      </c>
      <c r="L6" s="346" t="s">
        <v>1405</v>
      </c>
      <c r="M6" s="347">
        <f ca="1">INDIRECT("'数据-取费表'!z"&amp;$G$1)</f>
        <v>0.9</v>
      </c>
    </row>
    <row r="7" spans="1:37" ht="18" customHeight="1">
      <c r="A7" s="1297"/>
      <c r="B7" s="3215"/>
      <c r="C7" s="1299"/>
      <c r="D7" s="351"/>
      <c r="E7" s="2960" t="s">
        <v>1406</v>
      </c>
      <c r="F7" s="347">
        <f ca="1">IF(INDIRECT("'数据-取费表'!ah"&amp;$G$1)="",INDIRECT("'数据-取费表'!k"&amp;$G$1),INDIRECT("'数据-取费表'!ah"&amp;$G$1))</f>
        <v>6219</v>
      </c>
      <c r="G7" s="1853"/>
      <c r="H7" s="348"/>
      <c r="I7" s="3215"/>
      <c r="J7" s="350"/>
      <c r="K7" s="351"/>
      <c r="L7" s="346" t="s">
        <v>1406</v>
      </c>
      <c r="M7" s="347">
        <f ca="1">F7</f>
        <v>6219</v>
      </c>
    </row>
    <row r="8" spans="1:37" ht="18" customHeight="1">
      <c r="A8" s="348"/>
      <c r="B8" s="3215"/>
      <c r="C8" s="350"/>
      <c r="D8" s="351"/>
      <c r="E8" s="346" t="s">
        <v>1407</v>
      </c>
      <c r="F8" s="347">
        <f ca="1">INDIRECT("'数据-取费表'!ai"&amp;$G$1)</f>
        <v>365</v>
      </c>
      <c r="G8" s="1853"/>
      <c r="H8" s="348"/>
      <c r="I8" s="3215"/>
      <c r="J8" s="350"/>
      <c r="K8" s="351"/>
      <c r="L8" s="346" t="s">
        <v>1407</v>
      </c>
      <c r="M8" s="347">
        <f ca="1">INDIRECT("'数据-取费表'!ai"&amp;$G$1)</f>
        <v>365</v>
      </c>
    </row>
    <row r="9" spans="1:37" ht="18" customHeight="1">
      <c r="A9" s="348"/>
      <c r="B9" s="3216"/>
      <c r="C9" s="350"/>
      <c r="D9" s="351"/>
      <c r="E9" s="346" t="s">
        <v>1408</v>
      </c>
      <c r="F9" s="356">
        <f ca="1">INDIRECT("'数据-取费表'!w"&amp;$G$1)</f>
        <v>0</v>
      </c>
      <c r="G9" s="1853"/>
      <c r="H9" s="348"/>
      <c r="I9" s="3216"/>
      <c r="J9" s="350"/>
      <c r="K9" s="351"/>
      <c r="L9" s="357" t="s">
        <v>1408</v>
      </c>
      <c r="M9" s="358">
        <f ca="1">INDIRECT("'数据-取费表'!ab"&amp;$G$1)</f>
        <v>0.1</v>
      </c>
    </row>
    <row r="10" spans="1:37" ht="18" customHeight="1">
      <c r="A10" s="1293" t="s">
        <v>1039</v>
      </c>
      <c r="B10" s="1825" t="s">
        <v>1409</v>
      </c>
      <c r="C10" s="360">
        <f ca="1">ROUND(IF(F10="押一",C6/12*F11,IF(F10="押二",C6/12*2*F11,IF(F10="押三",C6/12*3*F11,C11*F11))),0)</f>
        <v>1</v>
      </c>
      <c r="D10" s="1826" t="s">
        <v>3029</v>
      </c>
      <c r="E10" s="357" t="s">
        <v>1410</v>
      </c>
      <c r="F10" s="1368" t="s">
        <v>3222</v>
      </c>
      <c r="G10" s="1853"/>
      <c r="H10" s="1293" t="s">
        <v>1039</v>
      </c>
      <c r="I10" s="1825" t="s">
        <v>1409</v>
      </c>
      <c r="J10" s="345">
        <f ca="1">ROUND(IF(M10="押一",J6/12*M11,IF(M10="押二",J6/12*2*M11,IF(M10="押三",J6/12*3*M11,J11*M11))),0)</f>
        <v>0</v>
      </c>
      <c r="K10" s="1826" t="s">
        <v>3029</v>
      </c>
      <c r="L10" s="357" t="s">
        <v>1410</v>
      </c>
      <c r="M10" s="1368" t="s">
        <v>3268</v>
      </c>
    </row>
    <row r="11" spans="1:37" ht="18" customHeight="1">
      <c r="A11" s="352"/>
      <c r="B11" s="1827" t="s">
        <v>1388</v>
      </c>
      <c r="C11" s="1180">
        <f>ROUND(土地案例!O23/10000,2)</f>
        <v>36.909999999999997</v>
      </c>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1991</v>
      </c>
      <c r="D13" s="1333" t="s">
        <v>1415</v>
      </c>
      <c r="E13" s="1333" t="s">
        <v>1416</v>
      </c>
      <c r="F13" s="1334">
        <f ca="1">INDIRECT("'数据-取费表'!y"&amp;$G$1)</f>
        <v>0.9</v>
      </c>
      <c r="G13" s="1853"/>
      <c r="H13" s="1331">
        <v>2</v>
      </c>
      <c r="I13" s="1332" t="s">
        <v>1414</v>
      </c>
      <c r="J13" s="1292">
        <f ca="1">ROUND(J14*J15,0)</f>
        <v>1770</v>
      </c>
      <c r="K13" s="1339" t="s">
        <v>1415</v>
      </c>
      <c r="L13" s="1854"/>
      <c r="M13" s="1855"/>
    </row>
    <row r="14" spans="1:37" ht="18" customHeight="1">
      <c r="A14" s="1203" t="s">
        <v>1034</v>
      </c>
      <c r="B14" s="346" t="s">
        <v>1417</v>
      </c>
      <c r="C14" s="362">
        <f ca="1">INDIRECT("'数据-取费表'!m"&amp;$G$1)+INDIRECT("'数据-取费表'!t"&amp;$G$1)</f>
        <v>1555</v>
      </c>
      <c r="D14" s="2963" t="s">
        <v>1418</v>
      </c>
      <c r="E14" s="2962"/>
      <c r="F14" s="363"/>
      <c r="G14" s="1853"/>
      <c r="H14" s="1203" t="s">
        <v>1035</v>
      </c>
      <c r="I14" s="346" t="s">
        <v>1419</v>
      </c>
      <c r="J14" s="24">
        <f ca="1">C29</f>
        <v>2212</v>
      </c>
      <c r="K14" s="2959"/>
      <c r="L14" s="981"/>
      <c r="M14" s="982"/>
    </row>
    <row r="15" spans="1:37" s="1860" customFormat="1" ht="18" customHeight="1" thickBot="1">
      <c r="A15" s="1203" t="s">
        <v>1036</v>
      </c>
      <c r="B15" s="346" t="s">
        <v>1420</v>
      </c>
      <c r="C15" s="24">
        <f ca="1">ROUND(C14*F15,0)</f>
        <v>47</v>
      </c>
      <c r="D15" s="364" t="s">
        <v>1421</v>
      </c>
      <c r="E15" s="364" t="s">
        <v>1422</v>
      </c>
      <c r="F15" s="365">
        <f>'数据-取费表'!B33</f>
        <v>0.03</v>
      </c>
      <c r="G15" s="1856"/>
      <c r="H15" s="1341" t="s">
        <v>1039</v>
      </c>
      <c r="I15" s="1342" t="s">
        <v>1416</v>
      </c>
      <c r="J15" s="1351">
        <f ca="1">INDIRECT("'数据-取费表'!ad"&amp;$G$1)</f>
        <v>0.8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48</v>
      </c>
      <c r="K16" s="1339" t="s">
        <v>1425</v>
      </c>
      <c r="L16" s="2965"/>
      <c r="M16" s="1296"/>
    </row>
    <row r="17" spans="1:37" s="1860" customFormat="1" ht="18" customHeight="1">
      <c r="A17" s="1203" t="s">
        <v>1390</v>
      </c>
      <c r="B17" s="346" t="s">
        <v>1426</v>
      </c>
      <c r="C17" s="24">
        <f ca="1">ROUND(F17*(F43+INDIRECT("'数据-取费表'!S"&amp;$G$1))/10000,0)</f>
        <v>124</v>
      </c>
      <c r="D17" s="346" t="s">
        <v>1427</v>
      </c>
      <c r="E17" s="346" t="s">
        <v>1428</v>
      </c>
      <c r="F17" s="26">
        <f>'数据-取费表'!B35</f>
        <v>200</v>
      </c>
      <c r="G17" s="1856"/>
      <c r="H17" s="1203" t="s">
        <v>1035</v>
      </c>
      <c r="I17" s="346" t="s">
        <v>1429</v>
      </c>
      <c r="J17" s="24">
        <f ca="1">ROUND(IF(项目基本情况!B11="自然人",J5*M17,J18+J19+J20),1)</f>
        <v>32.5</v>
      </c>
      <c r="K17" s="2963" t="s">
        <v>1430</v>
      </c>
      <c r="L17" s="296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23</v>
      </c>
      <c r="D18" s="346" t="s">
        <v>1421</v>
      </c>
      <c r="E18" s="346" t="s">
        <v>1422</v>
      </c>
      <c r="F18" s="366">
        <f>'数据-取费表'!B36</f>
        <v>1.4999999999999999E-2</v>
      </c>
      <c r="G18" s="1856"/>
      <c r="H18" s="1203" t="s">
        <v>1034</v>
      </c>
      <c r="I18" s="346" t="s">
        <v>1433</v>
      </c>
      <c r="J18" s="24">
        <f ca="1">ROUND(J5*M18/(1+'数据-取费表'!C42),2)</f>
        <v>9.81</v>
      </c>
      <c r="K18" s="296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1749</v>
      </c>
      <c r="D19" s="139" t="s">
        <v>1436</v>
      </c>
      <c r="E19" s="2958"/>
      <c r="F19" s="26"/>
      <c r="G19" s="1853"/>
      <c r="H19" s="1203" t="s">
        <v>1036</v>
      </c>
      <c r="I19" s="346" t="s">
        <v>1437</v>
      </c>
      <c r="J19" s="24">
        <f ca="1">IF(K19="按租金收入计税",ROUND(J5*M19,2),ROUND(C29*M19*0.7,2))</f>
        <v>22.08</v>
      </c>
      <c r="K19" s="1830" t="s">
        <v>3267</v>
      </c>
      <c r="L19" s="346" t="s">
        <v>1422</v>
      </c>
      <c r="M19" s="366">
        <f>IF(K19="按租金收入计税",'数据-取费表'!B51,'数据-取费表'!B50)</f>
        <v>0.12</v>
      </c>
    </row>
    <row r="20" spans="1:37" s="1860" customFormat="1" ht="18" customHeight="1">
      <c r="A20" s="1203" t="s">
        <v>1039</v>
      </c>
      <c r="B20" s="346" t="s">
        <v>1439</v>
      </c>
      <c r="C20" s="24">
        <f ca="1">ROUND(C19*F20,0)</f>
        <v>52</v>
      </c>
      <c r="D20" s="368" t="s">
        <v>1440</v>
      </c>
      <c r="E20" s="346" t="s">
        <v>1422</v>
      </c>
      <c r="F20" s="366">
        <f>'数据-取费表'!B37</f>
        <v>0.03</v>
      </c>
      <c r="G20" s="1856"/>
      <c r="H20" s="1203" t="s">
        <v>1389</v>
      </c>
      <c r="I20" s="163" t="s">
        <v>1441</v>
      </c>
      <c r="J20" s="25">
        <f ca="1">ROUND(M20*M21/10000,2)</f>
        <v>0.61</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4067.39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2958"/>
      <c r="F22" s="26"/>
      <c r="G22" s="1853"/>
      <c r="H22" s="1203" t="s">
        <v>1039</v>
      </c>
      <c r="I22" s="346" t="s">
        <v>1449</v>
      </c>
      <c r="J22" s="24">
        <f ca="1">ROUND(J14*M22,1)</f>
        <v>11.1</v>
      </c>
      <c r="K22" s="2964" t="s">
        <v>1450</v>
      </c>
      <c r="L22" s="346" t="s">
        <v>1422</v>
      </c>
      <c r="M22" s="373">
        <f ca="1">INDIRECT("'数据-取费表'!Ak"&amp;$G$1)</f>
        <v>5.0000000000000001E-3</v>
      </c>
    </row>
    <row r="23" spans="1:37" s="1860" customFormat="1" ht="18" customHeight="1">
      <c r="A23" s="1203" t="s">
        <v>1034</v>
      </c>
      <c r="B23" s="346" t="s">
        <v>1451</v>
      </c>
      <c r="C23" s="24">
        <f ca="1">IF('数据-取费表'!B22&lt;=1,ROUND(C19*F24*F23/2,0)+ROUND(C20*F24*F23/2,0),ROUND(C19*(POWER((1+F24),F23/2)-1),0)+ROUND(C20*(POWER((1+F24),F23/2)-1),0))</f>
        <v>39</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ROUND(J13*M23,1)</f>
        <v>2.7</v>
      </c>
      <c r="K23" s="296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6.9999999999999999E-4</v>
      </c>
      <c r="D24" s="374" t="str">
        <f>IF(F23&lt;=1,"销售费用×利率×(建设周期÷2)","销售费用×((1+利率)^(建设周期÷2)-1)")</f>
        <v>销售费用×利率×(建设周期÷2)</v>
      </c>
      <c r="E24" s="346" t="s">
        <v>1458</v>
      </c>
      <c r="F24" s="376">
        <f ca="1">'数据-取费表'!B40</f>
        <v>4.3499999999999997E-2</v>
      </c>
      <c r="G24" s="1856"/>
      <c r="H24" s="1341" t="s">
        <v>1392</v>
      </c>
      <c r="I24" s="1342" t="s">
        <v>1439</v>
      </c>
      <c r="J24" s="1343">
        <f ca="1">ROUND(J5*M24,1)</f>
        <v>1.8</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8"/>
      <c r="F25" s="26"/>
      <c r="G25" s="1853"/>
      <c r="H25" s="1331" t="s">
        <v>1031</v>
      </c>
      <c r="I25" s="1346" t="s">
        <v>1463</v>
      </c>
      <c r="J25" s="354">
        <f ca="1">J5-J16</f>
        <v>136</v>
      </c>
      <c r="K25" s="1347" t="s">
        <v>1464</v>
      </c>
      <c r="L25" s="1348"/>
      <c r="M25" s="1349"/>
    </row>
    <row r="26" spans="1:37">
      <c r="A26" s="1203" t="s">
        <v>1034</v>
      </c>
      <c r="B26" s="346" t="s">
        <v>1465</v>
      </c>
      <c r="C26" s="24">
        <f ca="1">ROUND((C19+C20)*F26,0)</f>
        <v>180</v>
      </c>
      <c r="D26" s="368" t="s">
        <v>1466</v>
      </c>
      <c r="E26" s="357" t="s">
        <v>1467</v>
      </c>
      <c r="F26" s="356">
        <f ca="1">INDIRECT("'数据-取费表'!q"&amp;$G$1)</f>
        <v>0.1</v>
      </c>
      <c r="G26" s="1853"/>
      <c r="H26" s="343" t="s">
        <v>1032</v>
      </c>
      <c r="I26" s="344" t="s">
        <v>1468</v>
      </c>
      <c r="J26" s="345">
        <f ca="1">IF(J5&lt;&gt;0,ROUND(J25*(1-((1+M28)/(1+M26))^M27)/(M26-M28),0),0)</f>
        <v>3019</v>
      </c>
      <c r="K26" s="369" t="s">
        <v>1469</v>
      </c>
      <c r="L26" s="346" t="s">
        <v>1470</v>
      </c>
      <c r="M26" s="356">
        <f ca="1">INDIRECT("'数据-取费表'!I"&amp;$G$1)</f>
        <v>4.4999999999999998E-2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33.44</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0.02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2212</v>
      </c>
      <c r="D29" s="1344"/>
      <c r="E29" s="1342"/>
      <c r="F29" s="1345"/>
      <c r="G29" s="1856"/>
      <c r="H29" s="379" t="s">
        <v>1033</v>
      </c>
      <c r="I29" s="380" t="s">
        <v>1479</v>
      </c>
      <c r="J29" s="381">
        <f ca="1">ROUND(J26/(1+F40)^F41,0)</f>
        <v>2432</v>
      </c>
      <c r="K29" s="382" t="s">
        <v>1480</v>
      </c>
      <c r="L29" s="383"/>
      <c r="M29" s="384">
        <f ca="1">INDIRECT("'数据-取费表'!k"&amp;$G$1)</f>
        <v>6219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44</v>
      </c>
      <c r="D30" s="1339" t="s">
        <v>1425</v>
      </c>
      <c r="E30" s="2965"/>
      <c r="F30" s="1296"/>
      <c r="G30" s="1853"/>
      <c r="H30" s="744"/>
      <c r="I30" s="745"/>
      <c r="J30" s="746"/>
      <c r="K30" s="747"/>
      <c r="L30" s="748"/>
      <c r="M30" s="749"/>
    </row>
    <row r="31" spans="1:37" ht="18" customHeight="1">
      <c r="A31" s="1203" t="s">
        <v>1035</v>
      </c>
      <c r="B31" s="346" t="s">
        <v>1429</v>
      </c>
      <c r="C31" s="24">
        <f ca="1">ROUND(IF(项目基本情况!B11="自然人",C5*F31,C32+C33+C34),1)</f>
        <v>28.3</v>
      </c>
      <c r="D31" s="2963" t="s">
        <v>1430</v>
      </c>
      <c r="E31" s="296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8.5299999999999994</v>
      </c>
      <c r="D32" s="2964"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19.2</v>
      </c>
      <c r="D33" s="1830" t="s">
        <v>3267</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0.61</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4067.39</v>
      </c>
      <c r="G35" s="1853"/>
      <c r="H35" s="744"/>
      <c r="I35" s="1862"/>
      <c r="J35" s="1863"/>
      <c r="K35" s="1864"/>
      <c r="L35" s="1861"/>
      <c r="M35" s="1861"/>
    </row>
    <row r="36" spans="1:18" ht="18" customHeight="1">
      <c r="A36" s="1354" t="s">
        <v>1039</v>
      </c>
      <c r="B36" s="346" t="s">
        <v>1449</v>
      </c>
      <c r="C36" s="24">
        <f ca="1">ROUND(C29*F36,1)</f>
        <v>11.1</v>
      </c>
      <c r="D36" s="2964" t="s">
        <v>1482</v>
      </c>
      <c r="E36" s="346" t="s">
        <v>1422</v>
      </c>
      <c r="F36" s="373">
        <f ca="1">INDIRECT("'数据-取费表'!Ak"&amp;$G$1)</f>
        <v>5.0000000000000001E-3</v>
      </c>
      <c r="G36" s="1853"/>
      <c r="H36" s="1861"/>
      <c r="I36" s="1862"/>
      <c r="J36" s="1863"/>
      <c r="K36" s="750"/>
      <c r="L36" s="1861"/>
      <c r="M36" s="1861"/>
    </row>
    <row r="37" spans="1:18" ht="18" customHeight="1">
      <c r="A37" s="1203" t="s">
        <v>1075</v>
      </c>
      <c r="B37" s="346" t="s">
        <v>1453</v>
      </c>
      <c r="C37" s="24">
        <f ca="1">ROUND(C13*F37,1)</f>
        <v>3</v>
      </c>
      <c r="D37" s="296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1.6</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116</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520</v>
      </c>
      <c r="D40" s="369" t="s">
        <v>1469</v>
      </c>
      <c r="E40" s="346" t="s">
        <v>1470</v>
      </c>
      <c r="F40" s="356">
        <f ca="1">INDIRECT("'数据-取费表'!I"&amp;$G$1)</f>
        <v>4.4999999999999998E-2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4.91</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836</v>
      </c>
      <c r="D43" s="382" t="s">
        <v>1488</v>
      </c>
      <c r="E43" s="383" t="s">
        <v>1489</v>
      </c>
      <c r="F43" s="384">
        <f ca="1">INDIRECT("'数据-取费表'!k"&amp;$G$1)</f>
        <v>6219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-735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3223</v>
      </c>
      <c r="K47" s="1884" t="s">
        <v>1527</v>
      </c>
      <c r="L47" s="1885">
        <f ca="1">INDIRECT("'数据-取费表'!d"&amp;$G$1)</f>
        <v>50</v>
      </c>
      <c r="M47" s="1840" t="str">
        <f>IF(ISNUMBER(FIND("住宅",C1)),"住宅","非住宅")</f>
        <v>非住宅</v>
      </c>
      <c r="O47" s="1886" t="s">
        <v>1040</v>
      </c>
      <c r="P47" s="1887" t="s">
        <v>1528</v>
      </c>
      <c r="Q47" s="1888">
        <f ca="1">C40+J29</f>
        <v>2952</v>
      </c>
      <c r="R47" s="1888" t="s">
        <v>1529</v>
      </c>
    </row>
    <row r="48" spans="1:18" s="1844" customFormat="1" ht="28.5" thickBot="1">
      <c r="A48" s="1362" t="s">
        <v>1135</v>
      </c>
      <c r="B48" s="344" t="s">
        <v>1401</v>
      </c>
      <c r="C48" s="2957">
        <f ca="1">C49+C53+C55</f>
        <v>163</v>
      </c>
      <c r="D48" s="1364"/>
      <c r="E48" s="1365"/>
      <c r="F48" s="1183"/>
      <c r="G48" s="791"/>
      <c r="H48" s="792"/>
      <c r="I48" s="1889" t="s">
        <v>1530</v>
      </c>
      <c r="J48" s="1890" t="s">
        <v>3224</v>
      </c>
      <c r="K48" s="1891" t="s">
        <v>1531</v>
      </c>
      <c r="L48" s="1892">
        <f ca="1">INDIRECT("'数据-取费表'!f"&amp;$G$1)</f>
        <v>38.35</v>
      </c>
      <c r="O48" s="1886" t="s">
        <v>1041</v>
      </c>
      <c r="P48" s="1887" t="s">
        <v>1532</v>
      </c>
      <c r="Q48" s="1888" t="str">
        <f ca="1">J60</f>
        <v>0</v>
      </c>
      <c r="R48" s="1888" t="s">
        <v>1533</v>
      </c>
    </row>
    <row r="49" spans="1:18" s="1844" customFormat="1" ht="13.5" thickBot="1">
      <c r="A49" s="1196" t="s">
        <v>1136</v>
      </c>
      <c r="B49" s="1831" t="s">
        <v>1490</v>
      </c>
      <c r="C49" s="1366">
        <f ca="1">ROUND(F49*F51*F50*(1-F52)/10000,0)</f>
        <v>163</v>
      </c>
      <c r="D49" s="1278" t="s">
        <v>3020</v>
      </c>
      <c r="E49" s="1832" t="s">
        <v>1491</v>
      </c>
      <c r="F49" s="1283">
        <f>'数据-取费表'!U6</f>
        <v>0.8</v>
      </c>
      <c r="G49" s="1893"/>
      <c r="H49" s="792"/>
      <c r="I49" s="1889" t="s">
        <v>1534</v>
      </c>
      <c r="J49" s="1894">
        <v>2013</v>
      </c>
      <c r="K49" s="1891" t="s">
        <v>1535</v>
      </c>
      <c r="L49" s="1895"/>
      <c r="O49" s="1896" t="s">
        <v>1042</v>
      </c>
      <c r="P49" s="1887" t="s">
        <v>1536</v>
      </c>
      <c r="Q49" s="1888">
        <f ca="1">C29</f>
        <v>2212</v>
      </c>
      <c r="R49" s="1888" t="s">
        <v>1529</v>
      </c>
    </row>
    <row r="50" spans="1:18" s="1844" customFormat="1" ht="13.5" thickBot="1">
      <c r="A50" s="1197"/>
      <c r="B50" s="1200"/>
      <c r="C50" s="1370"/>
      <c r="D50" s="1174"/>
      <c r="E50" s="1279" t="s">
        <v>1406</v>
      </c>
      <c r="F50" s="1280">
        <f ca="1">F7</f>
        <v>6219</v>
      </c>
      <c r="H50" s="792"/>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45</v>
      </c>
      <c r="K51" s="1902" t="s">
        <v>1541</v>
      </c>
      <c r="L51" s="1903">
        <f ca="1">ROUND(-PV(INDIRECT("'数据-取费表'!h"&amp;$G$1),L48,(C39-C13*C76),0),0)</f>
        <v>-1035</v>
      </c>
      <c r="M51" s="1904"/>
      <c r="O51" s="1896" t="s">
        <v>1044</v>
      </c>
      <c r="P51" s="1887" t="s">
        <v>1542</v>
      </c>
      <c r="Q51" s="1899">
        <f>J52</f>
        <v>0.09</v>
      </c>
      <c r="R51" s="1888"/>
    </row>
    <row r="52" spans="1:18" s="1844" customFormat="1" ht="13.5" thickBot="1">
      <c r="A52" s="1198"/>
      <c r="B52" s="1200"/>
      <c r="C52" s="1201"/>
      <c r="D52" s="1174"/>
      <c r="E52" s="1202" t="s">
        <v>1408</v>
      </c>
      <c r="F52" s="1277">
        <f>'数据-取费表'!W6</f>
        <v>0.1</v>
      </c>
      <c r="I52" s="1905" t="s">
        <v>1543</v>
      </c>
      <c r="J52" s="1906">
        <v>0.09</v>
      </c>
      <c r="K52" s="1905" t="s">
        <v>1544</v>
      </c>
      <c r="L52" s="1906"/>
      <c r="O52" s="1896" t="s">
        <v>1045</v>
      </c>
      <c r="P52" s="1887" t="s">
        <v>1545</v>
      </c>
      <c r="Q52" s="1888">
        <f ca="1">J53</f>
        <v>38.35</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t="s">
        <v>3268</v>
      </c>
      <c r="I53" s="1907" t="s">
        <v>1547</v>
      </c>
      <c r="J53" s="1908">
        <f ca="1">IF(M47="住宅",J51,IF(D1="——",MIN(J51,L48),IF(D1="在建（套用方法）",MIN(J51,L48-'数据-取费表'!B24),IF(D1="土地（套用方法）",MIN(J51,L48-'数据-取费表'!B20)))))</f>
        <v>38.35</v>
      </c>
      <c r="K53" s="3212" t="s">
        <v>1548</v>
      </c>
      <c r="L53" s="3213"/>
      <c r="O53" s="1886" t="s">
        <v>1046</v>
      </c>
      <c r="P53" s="1887" t="s">
        <v>1549</v>
      </c>
      <c r="Q53" s="1888">
        <f ca="1">Q47+Q48</f>
        <v>2952</v>
      </c>
      <c r="R53" s="1888" t="s">
        <v>1047</v>
      </c>
    </row>
    <row r="54" spans="1:18" s="1844" customFormat="1" ht="13.5" thickBot="1">
      <c r="A54" s="1408"/>
      <c r="B54" s="1827" t="s">
        <v>1388</v>
      </c>
      <c r="C54" s="1180"/>
      <c r="D54" s="1826"/>
      <c r="E54" s="296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6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1991</v>
      </c>
      <c r="D56" s="1916"/>
      <c r="E56" s="1917"/>
      <c r="F56" s="1909"/>
      <c r="I56" s="1918" t="s">
        <v>1554</v>
      </c>
      <c r="J56" s="1919" t="s">
        <v>3057</v>
      </c>
      <c r="K56" s="1889" t="s">
        <v>1555</v>
      </c>
      <c r="L56" s="1892" t="str">
        <f ca="1">IF(L48&lt;J51,"——",L48-J53)</f>
        <v>——</v>
      </c>
      <c r="O56" s="1886" t="s">
        <v>1040</v>
      </c>
      <c r="P56" s="1887" t="s">
        <v>1528</v>
      </c>
      <c r="Q56" s="1888">
        <f ca="1">C40+J29</f>
        <v>2952</v>
      </c>
      <c r="R56" s="1888" t="s">
        <v>1529</v>
      </c>
    </row>
    <row r="57" spans="1:18" s="1844" customFormat="1" ht="24.75" thickBot="1">
      <c r="A57" s="1920"/>
      <c r="B57" s="1171" t="s">
        <v>1478</v>
      </c>
      <c r="C57" s="281">
        <f ca="1">C29</f>
        <v>2212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211</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195.1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8.69</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185.81</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0.61</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2952</v>
      </c>
      <c r="R62" s="1888" t="s">
        <v>1047</v>
      </c>
    </row>
    <row r="63" spans="1:18" s="1844" customFormat="1" ht="13.5" thickBot="1">
      <c r="A63" s="371"/>
      <c r="B63" s="1177"/>
      <c r="C63" s="29"/>
      <c r="D63" s="1187"/>
      <c r="E63" s="1171" t="s">
        <v>1447</v>
      </c>
      <c r="F63" s="347">
        <f t="shared" ca="1" si="0"/>
        <v>4067.39</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11.1</v>
      </c>
      <c r="D64" s="1185" t="s">
        <v>1482</v>
      </c>
      <c r="E64" s="1171" t="s">
        <v>1422</v>
      </c>
      <c r="F64" s="373">
        <f t="shared" ca="1" si="0"/>
        <v>5.0000000000000001E-3</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v>
      </c>
      <c r="D65" s="1185" t="s">
        <v>1454</v>
      </c>
      <c r="E65" s="1171" t="s">
        <v>1422</v>
      </c>
      <c r="F65" s="375">
        <f t="shared" ca="1" si="0"/>
        <v>1.5E-3</v>
      </c>
      <c r="I65" s="1931" t="s">
        <v>1579</v>
      </c>
      <c r="J65" s="1932">
        <v>40</v>
      </c>
      <c r="K65" s="1932">
        <v>30</v>
      </c>
      <c r="L65" s="1932">
        <v>50</v>
      </c>
      <c r="M65" s="1934">
        <v>0.02</v>
      </c>
      <c r="O65" s="1886" t="s">
        <v>1040</v>
      </c>
      <c r="P65" s="1887" t="s">
        <v>1528</v>
      </c>
      <c r="Q65" s="1888">
        <f ca="1">C40+J29</f>
        <v>2952</v>
      </c>
      <c r="R65" s="1888" t="s">
        <v>1529</v>
      </c>
    </row>
    <row r="66" spans="1:18" s="1844" customFormat="1" ht="16.5" thickBot="1">
      <c r="A66" s="1203" t="s">
        <v>1504</v>
      </c>
      <c r="B66" s="1171" t="s">
        <v>1439</v>
      </c>
      <c r="C66" s="24">
        <f ca="1">ROUND(C48*F66,1)</f>
        <v>1.6</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-48</v>
      </c>
      <c r="D67" s="1184" t="s">
        <v>1464</v>
      </c>
      <c r="E67" s="1189"/>
      <c r="F67" s="1190"/>
      <c r="O67" s="1896" t="s">
        <v>1042</v>
      </c>
      <c r="P67" s="1887" t="s">
        <v>1562</v>
      </c>
      <c r="Q67" s="1935">
        <f ca="1">L51</f>
        <v>-1035</v>
      </c>
      <c r="R67" s="1888" t="s">
        <v>1582</v>
      </c>
    </row>
    <row r="68" spans="1:18" s="1844" customFormat="1" ht="16.5" thickBot="1">
      <c r="A68" s="1168" t="s">
        <v>1032</v>
      </c>
      <c r="B68" s="1169" t="s">
        <v>1485</v>
      </c>
      <c r="C68" s="345">
        <f ca="1">ROUND(C67*(1-((1+F70)/(1+F68))^F69)/(F68-F70),0)</f>
        <v>-215</v>
      </c>
      <c r="D68" s="1186" t="s">
        <v>1469</v>
      </c>
      <c r="E68" s="1171" t="s">
        <v>1470</v>
      </c>
      <c r="F68" s="356">
        <f ca="1">F40</f>
        <v>4.4999999999999998E-2</v>
      </c>
      <c r="O68" s="1896" t="s">
        <v>1043</v>
      </c>
      <c r="P68" s="1936" t="s">
        <v>1583</v>
      </c>
      <c r="Q68" s="1888">
        <f ca="1">ROUND(Q69-Q70*Q71,0)</f>
        <v>-53</v>
      </c>
      <c r="R68" s="1888" t="s">
        <v>1051</v>
      </c>
    </row>
    <row r="69" spans="1:18" s="1844" customFormat="1" ht="13.5" thickBot="1">
      <c r="A69" s="1172"/>
      <c r="B69" s="1173"/>
      <c r="C69" s="350"/>
      <c r="D69" s="1191" t="s">
        <v>1473</v>
      </c>
      <c r="E69" s="1171" t="s">
        <v>1474</v>
      </c>
      <c r="F69" s="378">
        <f ca="1">F41</f>
        <v>4.91</v>
      </c>
      <c r="O69" s="1896" t="s">
        <v>1048</v>
      </c>
      <c r="P69" s="1936" t="s">
        <v>1584</v>
      </c>
      <c r="Q69" s="1888">
        <f ca="1">C39</f>
        <v>116</v>
      </c>
      <c r="R69" s="1888" t="s">
        <v>1529</v>
      </c>
    </row>
    <row r="70" spans="1:18" s="1844" customFormat="1" ht="13.5" thickBot="1">
      <c r="A70" s="1175"/>
      <c r="B70" s="1176"/>
      <c r="C70" s="354"/>
      <c r="D70" s="1187"/>
      <c r="E70" s="1171" t="s">
        <v>1477</v>
      </c>
      <c r="F70" s="1277">
        <f>'数据-取费表'!V6</f>
        <v>0.02</v>
      </c>
      <c r="O70" s="1896" t="s">
        <v>1049</v>
      </c>
      <c r="P70" s="1936" t="s">
        <v>1585</v>
      </c>
      <c r="Q70" s="1888">
        <f ca="1">C13</f>
        <v>1991</v>
      </c>
      <c r="R70" s="1888" t="s">
        <v>1529</v>
      </c>
    </row>
    <row r="71" spans="1:18" s="1844" customFormat="1" ht="13.5" thickBot="1">
      <c r="A71" s="1192" t="s">
        <v>1033</v>
      </c>
      <c r="B71" s="1193" t="s">
        <v>1487</v>
      </c>
      <c r="C71" s="381">
        <f ca="1">ROUND(C68*10000/F71,0)</f>
        <v>-346</v>
      </c>
      <c r="D71" s="1194" t="s">
        <v>1488</v>
      </c>
      <c r="E71" s="1195" t="s">
        <v>1489</v>
      </c>
      <c r="F71" s="384">
        <f ca="1">F43</f>
        <v>6219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169</v>
      </c>
      <c r="D75" s="1844"/>
      <c r="E75" s="1844"/>
      <c r="F75" s="1844"/>
      <c r="K75" s="1870"/>
      <c r="L75" s="1844"/>
      <c r="O75" s="1886" t="s">
        <v>1046</v>
      </c>
      <c r="P75" s="1887" t="s">
        <v>1549</v>
      </c>
      <c r="Q75" s="1888">
        <f ca="1">Q65+Q66</f>
        <v>2952</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-0.45700000000000007</v>
      </c>
    </row>
    <row r="80" spans="1:18">
      <c r="B80" s="385" t="s">
        <v>1511</v>
      </c>
      <c r="C80" s="317">
        <f ca="1">ROUND(C75/C39,3)</f>
        <v>1.4570000000000001</v>
      </c>
    </row>
    <row r="81" spans="2:3">
      <c r="B81" s="313" t="s">
        <v>1512</v>
      </c>
      <c r="C81" s="281"/>
    </row>
    <row r="82" spans="2:3">
      <c r="B82" s="316" t="s">
        <v>1513</v>
      </c>
      <c r="C82" s="318">
        <f ca="1">1-C83</f>
        <v>-2.8290000000000002</v>
      </c>
    </row>
    <row r="83" spans="2:3">
      <c r="B83" s="316" t="s">
        <v>1514</v>
      </c>
      <c r="C83" s="317">
        <f ca="1">ROUND(C13/C40,3)</f>
        <v>3.8290000000000002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
  <sheetViews>
    <sheetView workbookViewId="0">
      <selection activeCell="J41" sqref="J41"/>
    </sheetView>
  </sheetViews>
  <sheetFormatPr defaultRowHeight="13.5"/>
  <cols>
    <col min="2" max="2" width="15.625" bestFit="1" customWidth="1"/>
    <col min="7" max="7" width="9.5" bestFit="1" customWidth="1"/>
    <col min="8" max="8" width="11.625" bestFit="1" customWidth="1"/>
  </cols>
  <sheetData>
    <row r="1" spans="1:44" s="2972" customFormat="1">
      <c r="A1" s="2972" t="s">
        <v>3129</v>
      </c>
      <c r="B1" s="2972" t="s">
        <v>3039</v>
      </c>
      <c r="C1" s="2972" t="s">
        <v>3112</v>
      </c>
      <c r="D1" s="2972" t="s">
        <v>3113</v>
      </c>
      <c r="E1" s="2972" t="s">
        <v>1331</v>
      </c>
      <c r="F1" s="2972" t="s">
        <v>3130</v>
      </c>
      <c r="G1" s="2972" t="s">
        <v>3115</v>
      </c>
      <c r="H1" s="2972">
        <v>201713301</v>
      </c>
      <c r="I1" s="2972" t="s">
        <v>3112</v>
      </c>
      <c r="J1" s="2972">
        <v>9002.2999999999993</v>
      </c>
      <c r="K1" s="2972">
        <v>7832</v>
      </c>
      <c r="L1" s="2972">
        <v>0.87</v>
      </c>
      <c r="M1" s="2972" t="s">
        <v>1331</v>
      </c>
      <c r="N1" s="2972">
        <v>0.48499999999999999</v>
      </c>
      <c r="O1" s="2972">
        <v>0</v>
      </c>
      <c r="P1" s="2972" t="s">
        <v>1331</v>
      </c>
      <c r="Q1" s="2972" t="s">
        <v>1331</v>
      </c>
      <c r="R1" s="2972" t="s">
        <v>1331</v>
      </c>
      <c r="S1" s="2972" t="s">
        <v>1331</v>
      </c>
      <c r="T1" s="2972" t="s">
        <v>1331</v>
      </c>
      <c r="U1" s="2972" t="s">
        <v>1331</v>
      </c>
      <c r="V1" s="2972" t="s">
        <v>1331</v>
      </c>
      <c r="W1" s="2972" t="s">
        <v>3116</v>
      </c>
      <c r="X1" s="2972" t="s">
        <v>3131</v>
      </c>
      <c r="Y1" s="2972" t="s">
        <v>3132</v>
      </c>
      <c r="Z1" s="2972" t="s">
        <v>3132</v>
      </c>
      <c r="AA1" s="2972" t="s">
        <v>3132</v>
      </c>
      <c r="AB1" s="2972" t="s">
        <v>3133</v>
      </c>
      <c r="AC1" s="2972" t="s">
        <v>3121</v>
      </c>
      <c r="AD1" s="2972" t="s">
        <v>3134</v>
      </c>
      <c r="AE1" s="2972">
        <v>80</v>
      </c>
      <c r="AF1" s="2972">
        <v>758</v>
      </c>
      <c r="AG1" s="2972">
        <v>758</v>
      </c>
      <c r="AH1" s="2972">
        <v>56.13</v>
      </c>
      <c r="AI1" s="2972">
        <v>56.13</v>
      </c>
      <c r="AJ1" s="2972">
        <v>967.82</v>
      </c>
      <c r="AK1" s="2972">
        <v>967.82</v>
      </c>
      <c r="AL1" s="2972">
        <f t="shared" ref="AL1:AL3" si="0">ROUND(AG1*10000/J1,0)</f>
        <v>842</v>
      </c>
      <c r="AM1" s="2972" t="s">
        <v>1331</v>
      </c>
      <c r="AN1" s="2972">
        <v>0</v>
      </c>
      <c r="AO1" s="2972">
        <v>20</v>
      </c>
      <c r="AP1" s="2972" t="s">
        <v>1331</v>
      </c>
      <c r="AQ1" s="2972" t="s">
        <v>1331</v>
      </c>
      <c r="AR1" s="2972" t="s">
        <v>1331</v>
      </c>
    </row>
    <row r="2" spans="1:44" s="2972" customFormat="1" ht="15.75" customHeight="1">
      <c r="A2" s="2972" t="s">
        <v>3135</v>
      </c>
      <c r="B2" s="2972" t="s">
        <v>3039</v>
      </c>
      <c r="C2" s="2972" t="s">
        <v>3112</v>
      </c>
      <c r="D2" s="2972" t="s">
        <v>3113</v>
      </c>
      <c r="E2" s="2972" t="s">
        <v>1331</v>
      </c>
      <c r="F2" s="2972" t="s">
        <v>3136</v>
      </c>
      <c r="G2" s="2972" t="s">
        <v>3115</v>
      </c>
      <c r="H2" s="2972">
        <v>201710902</v>
      </c>
      <c r="I2" s="2972" t="s">
        <v>3112</v>
      </c>
      <c r="J2" s="2972">
        <v>105516.7</v>
      </c>
      <c r="K2" s="2972">
        <v>86523.69</v>
      </c>
      <c r="L2" s="2972">
        <v>0.82</v>
      </c>
      <c r="M2" s="2972" t="s">
        <v>1331</v>
      </c>
      <c r="N2" s="2972">
        <v>0.57379999999999998</v>
      </c>
      <c r="O2" s="2972" t="s">
        <v>1331</v>
      </c>
      <c r="P2" s="2972" t="s">
        <v>1331</v>
      </c>
      <c r="Q2" s="2972" t="s">
        <v>1331</v>
      </c>
      <c r="R2" s="2972" t="s">
        <v>1331</v>
      </c>
      <c r="S2" s="2972" t="s">
        <v>1331</v>
      </c>
      <c r="T2" s="2972" t="s">
        <v>1331</v>
      </c>
      <c r="U2" s="2972" t="s">
        <v>1331</v>
      </c>
      <c r="V2" s="2972" t="s">
        <v>1331</v>
      </c>
      <c r="W2" s="2972" t="s">
        <v>3116</v>
      </c>
      <c r="X2" s="2972" t="s">
        <v>3137</v>
      </c>
      <c r="Y2" s="2972" t="s">
        <v>3138</v>
      </c>
      <c r="Z2" s="2972" t="s">
        <v>3138</v>
      </c>
      <c r="AA2" s="2972" t="s">
        <v>3138</v>
      </c>
      <c r="AB2" s="2972" t="s">
        <v>3139</v>
      </c>
      <c r="AC2" s="2972" t="s">
        <v>3121</v>
      </c>
      <c r="AD2" s="2972" t="s">
        <v>3140</v>
      </c>
      <c r="AE2" s="2972">
        <v>890</v>
      </c>
      <c r="AF2" s="2972">
        <v>8853</v>
      </c>
      <c r="AG2" s="2972">
        <v>8853</v>
      </c>
      <c r="AH2" s="2972">
        <v>55.93</v>
      </c>
      <c r="AI2" s="2972">
        <v>55.93</v>
      </c>
      <c r="AJ2" s="2972">
        <v>1023.18</v>
      </c>
      <c r="AK2" s="2972">
        <v>1023.19</v>
      </c>
      <c r="AL2" s="2972">
        <f t="shared" si="0"/>
        <v>839</v>
      </c>
      <c r="AM2" s="2972" t="s">
        <v>1331</v>
      </c>
      <c r="AN2" s="2972">
        <v>0</v>
      </c>
      <c r="AO2" s="2972">
        <v>20</v>
      </c>
      <c r="AP2" s="2972" t="s">
        <v>1331</v>
      </c>
      <c r="AQ2" s="2972" t="s">
        <v>1331</v>
      </c>
      <c r="AR2" s="2972" t="s">
        <v>1331</v>
      </c>
    </row>
    <row r="3" spans="1:44" s="2972" customFormat="1">
      <c r="A3" s="2972" t="s">
        <v>3158</v>
      </c>
      <c r="B3" s="2972" t="s">
        <v>3039</v>
      </c>
      <c r="C3" s="2972" t="s">
        <v>3112</v>
      </c>
      <c r="D3" s="2972" t="s">
        <v>3113</v>
      </c>
      <c r="E3" s="2972" t="s">
        <v>1331</v>
      </c>
      <c r="F3" s="2972" t="s">
        <v>3159</v>
      </c>
      <c r="G3" s="2972" t="s">
        <v>3115</v>
      </c>
      <c r="H3" s="2972">
        <v>201703801</v>
      </c>
      <c r="I3" s="2972" t="s">
        <v>3112</v>
      </c>
      <c r="J3" s="2972">
        <v>16350.6</v>
      </c>
      <c r="K3" s="2972">
        <v>14715.54</v>
      </c>
      <c r="L3" s="2972">
        <v>0.9</v>
      </c>
      <c r="M3" s="2972" t="s">
        <v>1331</v>
      </c>
      <c r="N3" s="2972">
        <v>0</v>
      </c>
      <c r="O3" s="2972">
        <v>0</v>
      </c>
      <c r="P3" s="2972">
        <v>0</v>
      </c>
      <c r="Q3" s="2972" t="s">
        <v>1331</v>
      </c>
      <c r="R3" s="2972" t="s">
        <v>1331</v>
      </c>
      <c r="S3" s="2972" t="s">
        <v>1331</v>
      </c>
      <c r="T3" s="2972" t="s">
        <v>1331</v>
      </c>
      <c r="U3" s="2972" t="s">
        <v>1331</v>
      </c>
      <c r="V3" s="2972" t="s">
        <v>1331</v>
      </c>
      <c r="W3" s="2972" t="s">
        <v>3153</v>
      </c>
      <c r="X3" s="2972" t="s">
        <v>3161</v>
      </c>
      <c r="Y3" s="2972" t="s">
        <v>3162</v>
      </c>
      <c r="Z3" s="2972" t="s">
        <v>3163</v>
      </c>
      <c r="AA3" s="2972" t="s">
        <v>3162</v>
      </c>
      <c r="AB3" s="2972" t="s">
        <v>3164</v>
      </c>
      <c r="AC3" s="2972" t="s">
        <v>3121</v>
      </c>
      <c r="AD3" s="2972" t="s">
        <v>3165</v>
      </c>
      <c r="AE3" s="2972">
        <v>160</v>
      </c>
      <c r="AF3" s="2972">
        <v>1593</v>
      </c>
      <c r="AG3" s="2972">
        <v>1593</v>
      </c>
      <c r="AH3" s="2972">
        <v>64.95</v>
      </c>
      <c r="AI3" s="2972">
        <v>64.95</v>
      </c>
      <c r="AJ3" s="2972">
        <v>1082.52</v>
      </c>
      <c r="AK3" s="2972">
        <v>1082.52</v>
      </c>
      <c r="AL3" s="2972">
        <f t="shared" si="0"/>
        <v>974</v>
      </c>
      <c r="AM3" s="2972" t="s">
        <v>1331</v>
      </c>
      <c r="AN3" s="2972">
        <v>0</v>
      </c>
      <c r="AO3" s="2972">
        <v>20</v>
      </c>
      <c r="AP3" s="2972" t="s">
        <v>1331</v>
      </c>
      <c r="AQ3" s="2972" t="s">
        <v>1331</v>
      </c>
      <c r="AR3" s="2972" t="s">
        <v>1331</v>
      </c>
    </row>
    <row r="4" spans="1:44" s="2949" customFormat="1">
      <c r="A4" s="2949" t="s">
        <v>3067</v>
      </c>
      <c r="B4" s="2949" t="s">
        <v>3068</v>
      </c>
      <c r="C4" s="2949" t="s">
        <v>3069</v>
      </c>
      <c r="D4" s="2949" t="s">
        <v>3070</v>
      </c>
      <c r="E4" s="2949" t="s">
        <v>3071</v>
      </c>
      <c r="F4" s="2949" t="s">
        <v>3072</v>
      </c>
      <c r="G4" s="2949" t="s">
        <v>3073</v>
      </c>
      <c r="H4" s="2949" t="s">
        <v>3074</v>
      </c>
      <c r="I4" s="2949" t="s">
        <v>3075</v>
      </c>
      <c r="J4" s="2949" t="s">
        <v>3076</v>
      </c>
      <c r="K4" s="2949" t="s">
        <v>3077</v>
      </c>
      <c r="L4" s="2949" t="s">
        <v>3078</v>
      </c>
      <c r="M4" s="2949" t="s">
        <v>3079</v>
      </c>
      <c r="N4" s="2949" t="s">
        <v>3080</v>
      </c>
      <c r="O4" s="2949" t="s">
        <v>3081</v>
      </c>
      <c r="P4" s="2949" t="s">
        <v>3082</v>
      </c>
      <c r="Q4" s="2949" t="s">
        <v>3083</v>
      </c>
      <c r="R4" s="2949" t="s">
        <v>3084</v>
      </c>
      <c r="S4" s="2949" t="s">
        <v>3085</v>
      </c>
      <c r="T4" s="2949" t="s">
        <v>3086</v>
      </c>
      <c r="U4" s="2949" t="s">
        <v>3087</v>
      </c>
      <c r="V4" s="2949" t="s">
        <v>3088</v>
      </c>
      <c r="W4" s="2949" t="s">
        <v>3089</v>
      </c>
      <c r="X4" s="2949" t="s">
        <v>3090</v>
      </c>
      <c r="Y4" s="2949" t="s">
        <v>3091</v>
      </c>
      <c r="Z4" s="2949" t="s">
        <v>3092</v>
      </c>
      <c r="AA4" s="2949" t="s">
        <v>3093</v>
      </c>
      <c r="AB4" s="2949" t="s">
        <v>3094</v>
      </c>
      <c r="AC4" s="2949" t="s">
        <v>3095</v>
      </c>
      <c r="AD4" s="2949" t="s">
        <v>3096</v>
      </c>
      <c r="AE4" s="2949" t="s">
        <v>3097</v>
      </c>
      <c r="AF4" s="2949" t="s">
        <v>3098</v>
      </c>
      <c r="AG4" s="2949" t="s">
        <v>3099</v>
      </c>
      <c r="AH4" s="2949" t="s">
        <v>3100</v>
      </c>
      <c r="AI4" s="2949" t="s">
        <v>3101</v>
      </c>
      <c r="AJ4" s="2949" t="s">
        <v>3102</v>
      </c>
      <c r="AK4" s="2950" t="s">
        <v>3103</v>
      </c>
      <c r="AL4" s="2951" t="s">
        <v>3104</v>
      </c>
      <c r="AM4" s="2949" t="s">
        <v>3105</v>
      </c>
      <c r="AN4" s="2949" t="s">
        <v>3106</v>
      </c>
      <c r="AO4" s="2949" t="s">
        <v>3107</v>
      </c>
      <c r="AP4" s="2949" t="s">
        <v>3108</v>
      </c>
      <c r="AQ4" s="2949" t="s">
        <v>3109</v>
      </c>
      <c r="AR4" s="2949" t="s">
        <v>3110</v>
      </c>
    </row>
    <row r="5" spans="1:44" s="2949" customFormat="1">
      <c r="A5" s="2949" t="s">
        <v>3111</v>
      </c>
      <c r="B5" s="2949" t="s">
        <v>3039</v>
      </c>
      <c r="C5" s="2949" t="s">
        <v>3112</v>
      </c>
      <c r="D5" s="2949" t="s">
        <v>3113</v>
      </c>
      <c r="E5" s="2949" t="s">
        <v>1331</v>
      </c>
      <c r="F5" s="2949" t="s">
        <v>3114</v>
      </c>
      <c r="G5" s="2949" t="s">
        <v>3115</v>
      </c>
      <c r="H5" s="2949">
        <v>201803101</v>
      </c>
      <c r="I5" s="2949" t="s">
        <v>3112</v>
      </c>
      <c r="J5" s="2949">
        <v>11869.9</v>
      </c>
      <c r="K5" s="2949">
        <v>15074.77</v>
      </c>
      <c r="L5" s="2949">
        <v>1.27</v>
      </c>
      <c r="M5" s="2949" t="s">
        <v>1331</v>
      </c>
      <c r="N5" s="2949">
        <v>0.44500000000000001</v>
      </c>
      <c r="O5" s="2949">
        <v>0</v>
      </c>
      <c r="P5" s="2949" t="s">
        <v>1331</v>
      </c>
      <c r="Q5" s="2949" t="s">
        <v>1331</v>
      </c>
      <c r="R5" s="2949" t="s">
        <v>1331</v>
      </c>
      <c r="S5" s="2949" t="s">
        <v>1331</v>
      </c>
      <c r="T5" s="2949" t="s">
        <v>1331</v>
      </c>
      <c r="U5" s="2949" t="s">
        <v>1331</v>
      </c>
      <c r="V5" s="2949" t="s">
        <v>1331</v>
      </c>
      <c r="W5" s="2949" t="s">
        <v>3116</v>
      </c>
      <c r="X5" s="2949" t="s">
        <v>3117</v>
      </c>
      <c r="Y5" s="2949" t="s">
        <v>3118</v>
      </c>
      <c r="Z5" s="2949" t="s">
        <v>3119</v>
      </c>
      <c r="AA5" s="2949" t="s">
        <v>3119</v>
      </c>
      <c r="AB5" s="2949" t="s">
        <v>3120</v>
      </c>
      <c r="AC5" s="2949" t="s">
        <v>3121</v>
      </c>
      <c r="AD5" s="2949" t="s">
        <v>3122</v>
      </c>
      <c r="AE5" s="2949">
        <v>80</v>
      </c>
      <c r="AF5" s="2949">
        <v>798</v>
      </c>
      <c r="AG5" s="2949">
        <v>798</v>
      </c>
      <c r="AH5" s="2949">
        <v>44.82</v>
      </c>
      <c r="AI5" s="2949">
        <v>44.82</v>
      </c>
      <c r="AJ5" s="2949">
        <v>529.36</v>
      </c>
      <c r="AK5" s="2950">
        <v>529.36</v>
      </c>
      <c r="AL5" s="2949">
        <f>ROUND(AG5*10000/J5,0)</f>
        <v>672</v>
      </c>
      <c r="AM5" s="2949" t="s">
        <v>1331</v>
      </c>
      <c r="AN5" s="2949">
        <v>0</v>
      </c>
      <c r="AO5" s="2949">
        <v>50</v>
      </c>
      <c r="AP5" s="2949" t="s">
        <v>1331</v>
      </c>
      <c r="AQ5" s="2949" t="s">
        <v>1331</v>
      </c>
      <c r="AR5" s="2949" t="s">
        <v>1331</v>
      </c>
    </row>
    <row r="6" spans="1:44" s="2949" customFormat="1">
      <c r="A6" s="2949" t="s">
        <v>3123</v>
      </c>
      <c r="B6" s="2949" t="s">
        <v>3039</v>
      </c>
      <c r="C6" s="2949" t="s">
        <v>3112</v>
      </c>
      <c r="D6" s="2949" t="s">
        <v>3113</v>
      </c>
      <c r="E6" s="2949" t="s">
        <v>1331</v>
      </c>
      <c r="F6" s="2949" t="s">
        <v>3124</v>
      </c>
      <c r="G6" s="2949" t="s">
        <v>3115</v>
      </c>
      <c r="H6" s="2949">
        <v>201800601</v>
      </c>
      <c r="I6" s="2949" t="s">
        <v>3112</v>
      </c>
      <c r="J6" s="2949">
        <v>53873.7</v>
      </c>
      <c r="K6" s="2949">
        <v>56567.39</v>
      </c>
      <c r="L6" s="2949">
        <v>1.05</v>
      </c>
      <c r="M6" s="2949" t="s">
        <v>1331</v>
      </c>
      <c r="N6" s="2949">
        <v>0.376</v>
      </c>
      <c r="O6" s="2949">
        <v>0</v>
      </c>
      <c r="P6" s="2949" t="s">
        <v>1331</v>
      </c>
      <c r="Q6" s="2949" t="s">
        <v>1331</v>
      </c>
      <c r="R6" s="2949" t="s">
        <v>1331</v>
      </c>
      <c r="S6" s="2949" t="s">
        <v>1331</v>
      </c>
      <c r="T6" s="2949" t="s">
        <v>1331</v>
      </c>
      <c r="U6" s="2949" t="s">
        <v>1331</v>
      </c>
      <c r="V6" s="2949" t="s">
        <v>1331</v>
      </c>
      <c r="W6" s="2949" t="s">
        <v>3116</v>
      </c>
      <c r="X6" s="2949" t="s">
        <v>3125</v>
      </c>
      <c r="Y6" s="2949" t="s">
        <v>3126</v>
      </c>
      <c r="Z6" s="2949" t="s">
        <v>3126</v>
      </c>
      <c r="AA6" s="2949" t="s">
        <v>3126</v>
      </c>
      <c r="AB6" s="2949" t="s">
        <v>3127</v>
      </c>
      <c r="AC6" s="2949" t="s">
        <v>3121</v>
      </c>
      <c r="AD6" s="2949" t="s">
        <v>3128</v>
      </c>
      <c r="AE6" s="2949">
        <v>460</v>
      </c>
      <c r="AF6" s="2949">
        <v>4596</v>
      </c>
      <c r="AG6" s="2949">
        <v>4596</v>
      </c>
      <c r="AH6" s="2949">
        <v>56.87</v>
      </c>
      <c r="AI6" s="2949">
        <v>56.87</v>
      </c>
      <c r="AJ6" s="2949">
        <v>812.48</v>
      </c>
      <c r="AK6" s="2950">
        <v>812.48</v>
      </c>
      <c r="AL6" s="2949">
        <f t="shared" ref="AL6:AL17" si="1">ROUND(AG6*10000/J6,0)</f>
        <v>853</v>
      </c>
      <c r="AM6" s="2949" t="s">
        <v>1331</v>
      </c>
      <c r="AN6" s="2949">
        <v>0</v>
      </c>
      <c r="AO6" s="2949">
        <v>50</v>
      </c>
      <c r="AP6" s="2949" t="s">
        <v>1331</v>
      </c>
      <c r="AQ6" s="2949" t="s">
        <v>1331</v>
      </c>
      <c r="AR6" s="2949" t="s">
        <v>1331</v>
      </c>
    </row>
    <row r="7" spans="1:44" s="2949" customFormat="1">
      <c r="A7" s="2949" t="s">
        <v>3129</v>
      </c>
      <c r="B7" s="2949" t="s">
        <v>3039</v>
      </c>
      <c r="C7" s="2949" t="s">
        <v>3112</v>
      </c>
      <c r="D7" s="2949" t="s">
        <v>3113</v>
      </c>
      <c r="E7" s="2949" t="s">
        <v>1331</v>
      </c>
      <c r="F7" s="2949" t="s">
        <v>3130</v>
      </c>
      <c r="G7" s="2949" t="s">
        <v>3115</v>
      </c>
      <c r="H7" s="2949">
        <v>201713301</v>
      </c>
      <c r="I7" s="2949" t="s">
        <v>3112</v>
      </c>
      <c r="J7" s="2949">
        <v>9002.2999999999993</v>
      </c>
      <c r="K7" s="2949">
        <v>7832</v>
      </c>
      <c r="L7" s="2949">
        <v>0.87</v>
      </c>
      <c r="M7" s="2949" t="s">
        <v>1331</v>
      </c>
      <c r="N7" s="2949">
        <v>0.48499999999999999</v>
      </c>
      <c r="O7" s="2949">
        <v>0</v>
      </c>
      <c r="P7" s="2949" t="s">
        <v>1331</v>
      </c>
      <c r="Q7" s="2949" t="s">
        <v>1331</v>
      </c>
      <c r="R7" s="2949" t="s">
        <v>1331</v>
      </c>
      <c r="S7" s="2949" t="s">
        <v>1331</v>
      </c>
      <c r="T7" s="2949" t="s">
        <v>1331</v>
      </c>
      <c r="U7" s="2949" t="s">
        <v>1331</v>
      </c>
      <c r="V7" s="2949" t="s">
        <v>1331</v>
      </c>
      <c r="W7" s="2949" t="s">
        <v>3116</v>
      </c>
      <c r="X7" s="2949" t="s">
        <v>3131</v>
      </c>
      <c r="Y7" s="2949" t="s">
        <v>3132</v>
      </c>
      <c r="Z7" s="2949" t="s">
        <v>3132</v>
      </c>
      <c r="AA7" s="2949" t="s">
        <v>3132</v>
      </c>
      <c r="AB7" s="2949" t="s">
        <v>3133</v>
      </c>
      <c r="AC7" s="2949" t="s">
        <v>3121</v>
      </c>
      <c r="AD7" s="2949" t="s">
        <v>3134</v>
      </c>
      <c r="AE7" s="2949">
        <v>80</v>
      </c>
      <c r="AF7" s="2949">
        <v>758</v>
      </c>
      <c r="AG7" s="2949">
        <v>758</v>
      </c>
      <c r="AH7" s="2949">
        <v>56.13</v>
      </c>
      <c r="AI7" s="2949">
        <v>56.13</v>
      </c>
      <c r="AJ7" s="2949">
        <v>967.82</v>
      </c>
      <c r="AK7" s="2950">
        <v>967.82</v>
      </c>
      <c r="AL7" s="2949">
        <f t="shared" si="1"/>
        <v>842</v>
      </c>
      <c r="AM7" s="2949" t="s">
        <v>1331</v>
      </c>
      <c r="AN7" s="2949">
        <v>0</v>
      </c>
      <c r="AO7" s="2949">
        <v>20</v>
      </c>
      <c r="AP7" s="2949" t="s">
        <v>1331</v>
      </c>
      <c r="AQ7" s="2949" t="s">
        <v>1331</v>
      </c>
      <c r="AR7" s="2949" t="s">
        <v>1331</v>
      </c>
    </row>
    <row r="8" spans="1:44" s="2949" customFormat="1" ht="15.75" customHeight="1">
      <c r="A8" s="2949" t="s">
        <v>3135</v>
      </c>
      <c r="B8" s="2949" t="s">
        <v>3039</v>
      </c>
      <c r="C8" s="2949" t="s">
        <v>3112</v>
      </c>
      <c r="D8" s="2949" t="s">
        <v>3113</v>
      </c>
      <c r="E8" s="2949" t="s">
        <v>1331</v>
      </c>
      <c r="F8" s="2949" t="s">
        <v>3136</v>
      </c>
      <c r="G8" s="2949" t="s">
        <v>3115</v>
      </c>
      <c r="H8" s="2949">
        <v>201710902</v>
      </c>
      <c r="I8" s="2949" t="s">
        <v>3112</v>
      </c>
      <c r="J8" s="2949">
        <v>105516.7</v>
      </c>
      <c r="K8" s="2949">
        <v>86523.69</v>
      </c>
      <c r="L8" s="2949">
        <v>0.82</v>
      </c>
      <c r="M8" s="2949" t="s">
        <v>1331</v>
      </c>
      <c r="N8" s="2949">
        <v>0.57379999999999998</v>
      </c>
      <c r="O8" s="2949" t="s">
        <v>1331</v>
      </c>
      <c r="P8" s="2949" t="s">
        <v>1331</v>
      </c>
      <c r="Q8" s="2949" t="s">
        <v>1331</v>
      </c>
      <c r="R8" s="2949" t="s">
        <v>1331</v>
      </c>
      <c r="S8" s="2949" t="s">
        <v>1331</v>
      </c>
      <c r="T8" s="2949" t="s">
        <v>1331</v>
      </c>
      <c r="U8" s="2949" t="s">
        <v>1331</v>
      </c>
      <c r="V8" s="2949" t="s">
        <v>1331</v>
      </c>
      <c r="W8" s="2949" t="s">
        <v>3116</v>
      </c>
      <c r="X8" s="2949" t="s">
        <v>3137</v>
      </c>
      <c r="Y8" s="2949" t="s">
        <v>3138</v>
      </c>
      <c r="Z8" s="2949" t="s">
        <v>3138</v>
      </c>
      <c r="AA8" s="2949" t="s">
        <v>3138</v>
      </c>
      <c r="AB8" s="2949" t="s">
        <v>3139</v>
      </c>
      <c r="AC8" s="2949" t="s">
        <v>3121</v>
      </c>
      <c r="AD8" s="2949" t="s">
        <v>3140</v>
      </c>
      <c r="AE8" s="2949">
        <v>890</v>
      </c>
      <c r="AF8" s="2949">
        <v>8853</v>
      </c>
      <c r="AG8" s="2949">
        <v>8853</v>
      </c>
      <c r="AH8" s="2949">
        <v>55.93</v>
      </c>
      <c r="AI8" s="2949">
        <v>55.93</v>
      </c>
      <c r="AJ8" s="2949">
        <v>1023.18</v>
      </c>
      <c r="AK8" s="2950">
        <v>1023.19</v>
      </c>
      <c r="AL8" s="2949">
        <f t="shared" si="1"/>
        <v>839</v>
      </c>
      <c r="AM8" s="2949" t="s">
        <v>1331</v>
      </c>
      <c r="AN8" s="2949">
        <v>0</v>
      </c>
      <c r="AO8" s="2949">
        <v>20</v>
      </c>
      <c r="AP8" s="2949" t="s">
        <v>1331</v>
      </c>
      <c r="AQ8" s="2949" t="s">
        <v>1331</v>
      </c>
      <c r="AR8" s="2949" t="s">
        <v>1331</v>
      </c>
    </row>
    <row r="9" spans="1:44" s="2952" customFormat="1">
      <c r="A9" s="2952" t="s">
        <v>3141</v>
      </c>
      <c r="B9" s="2952" t="s">
        <v>3039</v>
      </c>
      <c r="C9" s="2952" t="s">
        <v>3112</v>
      </c>
      <c r="D9" s="2952" t="s">
        <v>3113</v>
      </c>
      <c r="E9" s="2952" t="s">
        <v>1331</v>
      </c>
      <c r="F9" s="2952" t="s">
        <v>3142</v>
      </c>
      <c r="G9" s="2952" t="s">
        <v>3115</v>
      </c>
      <c r="H9" s="2952">
        <v>201710903</v>
      </c>
      <c r="I9" s="2952" t="s">
        <v>3112</v>
      </c>
      <c r="J9" s="2952">
        <v>69726.100000000006</v>
      </c>
      <c r="K9" s="2952">
        <v>99011.06</v>
      </c>
      <c r="L9" s="2952">
        <v>1.42</v>
      </c>
      <c r="M9" s="2952" t="s">
        <v>1331</v>
      </c>
      <c r="N9" s="2952">
        <v>44.27</v>
      </c>
      <c r="O9" s="2952" t="s">
        <v>1331</v>
      </c>
      <c r="P9" s="2952" t="s">
        <v>1331</v>
      </c>
      <c r="Q9" s="2952" t="s">
        <v>1331</v>
      </c>
      <c r="R9" s="2952" t="s">
        <v>1331</v>
      </c>
      <c r="S9" s="2952" t="s">
        <v>1331</v>
      </c>
      <c r="T9" s="2952" t="s">
        <v>1331</v>
      </c>
      <c r="U9" s="2952" t="s">
        <v>1331</v>
      </c>
      <c r="V9" s="2952" t="s">
        <v>1331</v>
      </c>
      <c r="W9" s="2952" t="s">
        <v>3116</v>
      </c>
      <c r="X9" s="2952" t="s">
        <v>3137</v>
      </c>
      <c r="Y9" s="2952" t="s">
        <v>3138</v>
      </c>
      <c r="Z9" s="2952" t="s">
        <v>3138</v>
      </c>
      <c r="AA9" s="2952" t="s">
        <v>3138</v>
      </c>
      <c r="AB9" s="2952" t="s">
        <v>3139</v>
      </c>
      <c r="AC9" s="2952" t="s">
        <v>3121</v>
      </c>
      <c r="AD9" s="2952" t="s">
        <v>3143</v>
      </c>
      <c r="AE9" s="2952">
        <v>830</v>
      </c>
      <c r="AF9" s="2952">
        <v>8298</v>
      </c>
      <c r="AG9" s="2952">
        <v>8298</v>
      </c>
      <c r="AH9" s="2952">
        <v>79.34</v>
      </c>
      <c r="AI9" s="2952">
        <v>79.34</v>
      </c>
      <c r="AJ9" s="2952">
        <v>838.08</v>
      </c>
      <c r="AK9" s="2952">
        <v>838.09</v>
      </c>
      <c r="AL9" s="2952">
        <f t="shared" si="1"/>
        <v>1190</v>
      </c>
      <c r="AM9" s="2952" t="s">
        <v>1331</v>
      </c>
      <c r="AN9" s="2952">
        <v>0</v>
      </c>
      <c r="AO9" s="2952">
        <v>50</v>
      </c>
      <c r="AP9" s="2952" t="s">
        <v>1331</v>
      </c>
      <c r="AQ9" s="2952" t="s">
        <v>1331</v>
      </c>
      <c r="AR9" s="2952" t="s">
        <v>1331</v>
      </c>
    </row>
    <row r="10" spans="1:44" s="2952" customFormat="1">
      <c r="A10" s="2952" t="s">
        <v>3144</v>
      </c>
      <c r="B10" s="2952" t="s">
        <v>3039</v>
      </c>
      <c r="C10" s="2952" t="s">
        <v>3112</v>
      </c>
      <c r="D10" s="2952" t="s">
        <v>3113</v>
      </c>
      <c r="E10" s="2952" t="s">
        <v>1331</v>
      </c>
      <c r="F10" s="2952" t="s">
        <v>3145</v>
      </c>
      <c r="G10" s="2952" t="s">
        <v>3115</v>
      </c>
      <c r="H10" s="2952">
        <v>201710401</v>
      </c>
      <c r="I10" s="2952" t="s">
        <v>3112</v>
      </c>
      <c r="J10" s="2952">
        <v>48248.4</v>
      </c>
      <c r="K10" s="2952">
        <v>84434.7</v>
      </c>
      <c r="L10" s="2952">
        <v>1.75</v>
      </c>
      <c r="M10" s="2952" t="s">
        <v>1331</v>
      </c>
      <c r="N10" s="2952" t="s">
        <v>3146</v>
      </c>
      <c r="O10" s="2952">
        <v>0</v>
      </c>
      <c r="P10" s="2952" t="s">
        <v>1331</v>
      </c>
      <c r="Q10" s="2952" t="s">
        <v>1331</v>
      </c>
      <c r="R10" s="2952" t="s">
        <v>1331</v>
      </c>
      <c r="S10" s="2952" t="s">
        <v>1331</v>
      </c>
      <c r="T10" s="2952" t="s">
        <v>1331</v>
      </c>
      <c r="U10" s="2952" t="s">
        <v>1331</v>
      </c>
      <c r="V10" s="2952" t="s">
        <v>1331</v>
      </c>
      <c r="W10" s="2952" t="s">
        <v>3116</v>
      </c>
      <c r="X10" s="2952" t="s">
        <v>3147</v>
      </c>
      <c r="Y10" s="2952" t="s">
        <v>3148</v>
      </c>
      <c r="Z10" s="2952" t="s">
        <v>3148</v>
      </c>
      <c r="AA10" s="2952" t="s">
        <v>3148</v>
      </c>
      <c r="AB10" s="2952" t="s">
        <v>3149</v>
      </c>
      <c r="AC10" s="2952" t="s">
        <v>3121</v>
      </c>
      <c r="AD10" s="2952" t="s">
        <v>3150</v>
      </c>
      <c r="AE10" s="2952">
        <v>580</v>
      </c>
      <c r="AF10" s="2952">
        <v>5783</v>
      </c>
      <c r="AG10" s="2952">
        <v>5783</v>
      </c>
      <c r="AH10" s="2952">
        <v>79.91</v>
      </c>
      <c r="AI10" s="2952">
        <v>79.91</v>
      </c>
      <c r="AJ10" s="2952">
        <v>684.9</v>
      </c>
      <c r="AK10" s="2952">
        <v>684.9</v>
      </c>
      <c r="AL10" s="2952">
        <f t="shared" si="1"/>
        <v>1199</v>
      </c>
      <c r="AM10" s="2952" t="s">
        <v>1331</v>
      </c>
      <c r="AN10" s="2952">
        <v>0</v>
      </c>
      <c r="AO10" s="2952">
        <v>50</v>
      </c>
      <c r="AP10" s="2952" t="s">
        <v>1331</v>
      </c>
      <c r="AQ10" s="2952" t="s">
        <v>1331</v>
      </c>
      <c r="AR10" s="2952" t="s">
        <v>1331</v>
      </c>
    </row>
    <row r="11" spans="1:44" s="2949" customFormat="1">
      <c r="A11" s="2949" t="s">
        <v>3151</v>
      </c>
      <c r="B11" s="2949" t="s">
        <v>3039</v>
      </c>
      <c r="C11" s="2949" t="s">
        <v>3112</v>
      </c>
      <c r="D11" s="2949" t="s">
        <v>3113</v>
      </c>
      <c r="E11" s="2949" t="s">
        <v>1331</v>
      </c>
      <c r="F11" s="2949" t="s">
        <v>3152</v>
      </c>
      <c r="G11" s="2949" t="s">
        <v>3115</v>
      </c>
      <c r="H11" s="2949">
        <v>201706301</v>
      </c>
      <c r="I11" s="2949" t="s">
        <v>3112</v>
      </c>
      <c r="J11" s="2949">
        <v>14371.1</v>
      </c>
      <c r="K11" s="2949">
        <v>19975.830000000002</v>
      </c>
      <c r="L11" s="2949">
        <v>1.39</v>
      </c>
      <c r="M11" s="2949" t="s">
        <v>1331</v>
      </c>
      <c r="N11" s="2949">
        <v>0</v>
      </c>
      <c r="O11" s="2949">
        <v>0</v>
      </c>
      <c r="P11" s="2949" t="s">
        <v>1331</v>
      </c>
      <c r="Q11" s="2949" t="s">
        <v>1331</v>
      </c>
      <c r="R11" s="2949" t="s">
        <v>1331</v>
      </c>
      <c r="S11" s="2949" t="s">
        <v>1331</v>
      </c>
      <c r="T11" s="2949" t="s">
        <v>1331</v>
      </c>
      <c r="U11" s="2949" t="s">
        <v>1331</v>
      </c>
      <c r="V11" s="2949" t="s">
        <v>1331</v>
      </c>
      <c r="W11" s="2949" t="s">
        <v>3153</v>
      </c>
      <c r="X11" s="2949" t="s">
        <v>3154</v>
      </c>
      <c r="Y11" s="2949" t="s">
        <v>3155</v>
      </c>
      <c r="Z11" s="2949" t="s">
        <v>3155</v>
      </c>
      <c r="AA11" s="2949" t="s">
        <v>3155</v>
      </c>
      <c r="AB11" s="2949" t="s">
        <v>3156</v>
      </c>
      <c r="AC11" s="2949" t="s">
        <v>3121</v>
      </c>
      <c r="AD11" s="2949" t="s">
        <v>3157</v>
      </c>
      <c r="AE11" s="2949">
        <v>120</v>
      </c>
      <c r="AF11" s="2949">
        <v>1186</v>
      </c>
      <c r="AG11" s="2949">
        <v>1186</v>
      </c>
      <c r="AH11" s="2949">
        <v>55.02</v>
      </c>
      <c r="AI11" s="2949">
        <v>55.02</v>
      </c>
      <c r="AJ11" s="2949">
        <v>593.71</v>
      </c>
      <c r="AK11" s="2950">
        <v>593.72</v>
      </c>
      <c r="AL11" s="2949">
        <f t="shared" si="1"/>
        <v>825</v>
      </c>
      <c r="AM11" s="2949" t="s">
        <v>1331</v>
      </c>
      <c r="AN11" s="2949">
        <v>0</v>
      </c>
      <c r="AO11" s="2949">
        <v>20</v>
      </c>
      <c r="AP11" s="2949" t="s">
        <v>1331</v>
      </c>
      <c r="AQ11" s="2949" t="s">
        <v>1331</v>
      </c>
      <c r="AR11" s="2949" t="s">
        <v>1331</v>
      </c>
    </row>
    <row r="12" spans="1:44" s="2949" customFormat="1">
      <c r="A12" s="2949" t="s">
        <v>3158</v>
      </c>
      <c r="B12" s="2949" t="s">
        <v>3039</v>
      </c>
      <c r="C12" s="2949" t="s">
        <v>3112</v>
      </c>
      <c r="D12" s="2949" t="s">
        <v>3113</v>
      </c>
      <c r="E12" s="2949" t="s">
        <v>1331</v>
      </c>
      <c r="F12" s="2949" t="s">
        <v>3159</v>
      </c>
      <c r="G12" s="2949" t="s">
        <v>3115</v>
      </c>
      <c r="H12" s="2949">
        <v>201703801</v>
      </c>
      <c r="I12" s="2949" t="s">
        <v>3112</v>
      </c>
      <c r="J12" s="2949">
        <v>16350.6</v>
      </c>
      <c r="K12" s="2949">
        <v>14715.54</v>
      </c>
      <c r="L12" s="2949" t="s">
        <v>3160</v>
      </c>
      <c r="M12" s="2949" t="s">
        <v>1331</v>
      </c>
      <c r="N12" s="2949">
        <v>0</v>
      </c>
      <c r="O12" s="2949">
        <v>0</v>
      </c>
      <c r="P12" s="2949">
        <v>0</v>
      </c>
      <c r="Q12" s="2949" t="s">
        <v>1331</v>
      </c>
      <c r="R12" s="2949" t="s">
        <v>1331</v>
      </c>
      <c r="S12" s="2949" t="s">
        <v>1331</v>
      </c>
      <c r="T12" s="2949" t="s">
        <v>1331</v>
      </c>
      <c r="U12" s="2949" t="s">
        <v>1331</v>
      </c>
      <c r="V12" s="2949" t="s">
        <v>1331</v>
      </c>
      <c r="W12" s="2949" t="s">
        <v>3153</v>
      </c>
      <c r="X12" s="2949" t="s">
        <v>3161</v>
      </c>
      <c r="Y12" s="2949" t="s">
        <v>3162</v>
      </c>
      <c r="Z12" s="2949" t="s">
        <v>3163</v>
      </c>
      <c r="AA12" s="2949" t="s">
        <v>3162</v>
      </c>
      <c r="AB12" s="2949" t="s">
        <v>3164</v>
      </c>
      <c r="AC12" s="2949" t="s">
        <v>3121</v>
      </c>
      <c r="AD12" s="2949" t="s">
        <v>3165</v>
      </c>
      <c r="AE12" s="2949">
        <v>160</v>
      </c>
      <c r="AF12" s="2949">
        <v>1593</v>
      </c>
      <c r="AG12" s="2949">
        <v>1593</v>
      </c>
      <c r="AH12" s="2949">
        <v>64.95</v>
      </c>
      <c r="AI12" s="2949">
        <v>64.95</v>
      </c>
      <c r="AJ12" s="2949">
        <v>1082.52</v>
      </c>
      <c r="AK12" s="2950">
        <v>1082.52</v>
      </c>
      <c r="AL12" s="2949">
        <f t="shared" si="1"/>
        <v>974</v>
      </c>
      <c r="AM12" s="2949" t="s">
        <v>1331</v>
      </c>
      <c r="AN12" s="2949">
        <v>0</v>
      </c>
      <c r="AO12" s="2949">
        <v>20</v>
      </c>
      <c r="AP12" s="2949" t="s">
        <v>1331</v>
      </c>
      <c r="AQ12" s="2949" t="s">
        <v>1331</v>
      </c>
      <c r="AR12" s="2949" t="s">
        <v>1331</v>
      </c>
    </row>
    <row r="13" spans="1:44" s="2949" customFormat="1">
      <c r="A13" s="2949" t="s">
        <v>3166</v>
      </c>
      <c r="B13" s="2949" t="s">
        <v>3039</v>
      </c>
      <c r="C13" s="2949" t="s">
        <v>3112</v>
      </c>
      <c r="D13" s="2949" t="s">
        <v>3113</v>
      </c>
      <c r="E13" s="2949" t="s">
        <v>1331</v>
      </c>
      <c r="F13" s="2949" t="s">
        <v>3167</v>
      </c>
      <c r="G13" s="2949" t="s">
        <v>3115</v>
      </c>
      <c r="H13" s="2949">
        <v>201614201</v>
      </c>
      <c r="I13" s="2949" t="s">
        <v>3112</v>
      </c>
      <c r="J13" s="2949">
        <v>95638.6</v>
      </c>
      <c r="K13" s="2949">
        <v>121461</v>
      </c>
      <c r="L13" s="2949">
        <v>1.27</v>
      </c>
      <c r="M13" s="2949" t="s">
        <v>1331</v>
      </c>
      <c r="N13" s="2949" t="s">
        <v>1331</v>
      </c>
      <c r="O13" s="2949" t="s">
        <v>1331</v>
      </c>
      <c r="P13" s="2949" t="s">
        <v>1331</v>
      </c>
      <c r="Q13" s="2949" t="s">
        <v>1331</v>
      </c>
      <c r="R13" s="2949" t="s">
        <v>1331</v>
      </c>
      <c r="S13" s="2949" t="s">
        <v>1331</v>
      </c>
      <c r="T13" s="2949" t="s">
        <v>1331</v>
      </c>
      <c r="U13" s="2949" t="s">
        <v>1331</v>
      </c>
      <c r="V13" s="2949" t="s">
        <v>1331</v>
      </c>
      <c r="W13" s="2949" t="s">
        <v>3153</v>
      </c>
      <c r="X13" s="2949" t="s">
        <v>3168</v>
      </c>
      <c r="Y13" s="2949" t="s">
        <v>3169</v>
      </c>
      <c r="Z13" s="2949" t="s">
        <v>3169</v>
      </c>
      <c r="AA13" s="2949" t="s">
        <v>3169</v>
      </c>
      <c r="AB13" s="2949" t="s">
        <v>3170</v>
      </c>
      <c r="AC13" s="2949" t="s">
        <v>3121</v>
      </c>
      <c r="AD13" s="2949" t="s">
        <v>3171</v>
      </c>
      <c r="AE13" s="2949">
        <v>460</v>
      </c>
      <c r="AF13" s="2949">
        <v>4581</v>
      </c>
      <c r="AG13" s="2949">
        <v>4581</v>
      </c>
      <c r="AH13" s="2949">
        <v>31.93</v>
      </c>
      <c r="AI13" s="2949">
        <v>31.93</v>
      </c>
      <c r="AJ13" s="2949">
        <v>377.15</v>
      </c>
      <c r="AK13" s="2950">
        <v>377.16</v>
      </c>
      <c r="AL13" s="2949">
        <f t="shared" si="1"/>
        <v>479</v>
      </c>
      <c r="AM13" s="2949" t="s">
        <v>1331</v>
      </c>
      <c r="AN13" s="2949">
        <v>0</v>
      </c>
      <c r="AO13" s="2949" t="s">
        <v>3172</v>
      </c>
      <c r="AP13" s="2949" t="s">
        <v>1331</v>
      </c>
      <c r="AQ13" s="2949" t="s">
        <v>1331</v>
      </c>
      <c r="AR13" s="2949" t="s">
        <v>1331</v>
      </c>
    </row>
    <row r="14" spans="1:44" s="2952" customFormat="1">
      <c r="A14" s="2952" t="s">
        <v>3173</v>
      </c>
      <c r="B14" s="2952" t="s">
        <v>3039</v>
      </c>
      <c r="C14" s="2952" t="s">
        <v>3112</v>
      </c>
      <c r="D14" s="2952" t="s">
        <v>3113</v>
      </c>
      <c r="E14" s="2952" t="s">
        <v>1331</v>
      </c>
      <c r="F14" s="2952" t="s">
        <v>3174</v>
      </c>
      <c r="G14" s="2952" t="s">
        <v>3115</v>
      </c>
      <c r="H14" s="2952">
        <v>201609201</v>
      </c>
      <c r="I14" s="2952" t="s">
        <v>3112</v>
      </c>
      <c r="J14" s="2952">
        <v>384367.5</v>
      </c>
      <c r="K14" s="2952">
        <v>753360.3</v>
      </c>
      <c r="L14" s="2952">
        <v>1.96</v>
      </c>
      <c r="M14" s="2952" t="s">
        <v>1331</v>
      </c>
      <c r="N14" s="2952" t="s">
        <v>1331</v>
      </c>
      <c r="O14" s="2952" t="s">
        <v>1331</v>
      </c>
      <c r="P14" s="2952" t="s">
        <v>1331</v>
      </c>
      <c r="Q14" s="2952" t="s">
        <v>1331</v>
      </c>
      <c r="R14" s="2952" t="s">
        <v>1331</v>
      </c>
      <c r="S14" s="2952" t="s">
        <v>1331</v>
      </c>
      <c r="T14" s="2952" t="s">
        <v>1331</v>
      </c>
      <c r="U14" s="2952" t="s">
        <v>1331</v>
      </c>
      <c r="V14" s="2952" t="s">
        <v>1331</v>
      </c>
      <c r="W14" s="2952" t="s">
        <v>3153</v>
      </c>
      <c r="X14" s="2952" t="s">
        <v>3175</v>
      </c>
      <c r="Y14" s="2952" t="s">
        <v>3176</v>
      </c>
      <c r="Z14" s="2952" t="s">
        <v>3176</v>
      </c>
      <c r="AA14" s="2952" t="s">
        <v>3176</v>
      </c>
      <c r="AB14" s="2952" t="s">
        <v>3177</v>
      </c>
      <c r="AC14" s="2952" t="s">
        <v>3121</v>
      </c>
      <c r="AD14" s="2952" t="s">
        <v>3178</v>
      </c>
      <c r="AE14" s="2952">
        <v>4620</v>
      </c>
      <c r="AF14" s="2952">
        <v>46155</v>
      </c>
      <c r="AG14" s="2952">
        <v>46155</v>
      </c>
      <c r="AH14" s="2952">
        <v>80.05</v>
      </c>
      <c r="AI14" s="2952">
        <v>80.05</v>
      </c>
      <c r="AJ14" s="2952">
        <v>612.65</v>
      </c>
      <c r="AK14" s="2952">
        <v>612.65</v>
      </c>
      <c r="AL14" s="2952">
        <f t="shared" si="1"/>
        <v>1201</v>
      </c>
      <c r="AM14" s="2952" t="s">
        <v>1331</v>
      </c>
      <c r="AN14" s="2952">
        <v>0</v>
      </c>
      <c r="AO14" s="2952" t="s">
        <v>3172</v>
      </c>
      <c r="AP14" s="2952" t="s">
        <v>1331</v>
      </c>
      <c r="AQ14" s="2952" t="s">
        <v>1331</v>
      </c>
      <c r="AR14" s="2952" t="s">
        <v>1331</v>
      </c>
    </row>
    <row r="15" spans="1:44" s="2949" customFormat="1">
      <c r="A15" s="2949" t="s">
        <v>3179</v>
      </c>
      <c r="B15" s="2949" t="s">
        <v>3039</v>
      </c>
      <c r="C15" s="2949" t="s">
        <v>3112</v>
      </c>
      <c r="D15" s="2949" t="s">
        <v>3113</v>
      </c>
      <c r="E15" s="2949" t="s">
        <v>1331</v>
      </c>
      <c r="F15" s="2949" t="s">
        <v>3180</v>
      </c>
      <c r="G15" s="2949" t="s">
        <v>3115</v>
      </c>
      <c r="H15" s="2949">
        <v>201600501</v>
      </c>
      <c r="I15" s="2949" t="s">
        <v>3112</v>
      </c>
      <c r="J15" s="2949">
        <v>24315.599999999999</v>
      </c>
      <c r="K15" s="2949">
        <v>43768.08</v>
      </c>
      <c r="L15" s="2949">
        <v>1.8</v>
      </c>
      <c r="M15" s="2949" t="s">
        <v>1331</v>
      </c>
      <c r="N15" s="2949" t="s">
        <v>1331</v>
      </c>
      <c r="O15" s="2949" t="s">
        <v>1331</v>
      </c>
      <c r="P15" s="2949" t="s">
        <v>1331</v>
      </c>
      <c r="Q15" s="2949" t="s">
        <v>1331</v>
      </c>
      <c r="R15" s="2949" t="s">
        <v>1331</v>
      </c>
      <c r="S15" s="2949" t="s">
        <v>1331</v>
      </c>
      <c r="T15" s="2949" t="s">
        <v>1331</v>
      </c>
      <c r="U15" s="2949" t="s">
        <v>1331</v>
      </c>
      <c r="V15" s="2949" t="s">
        <v>1331</v>
      </c>
      <c r="W15" s="2949" t="s">
        <v>3153</v>
      </c>
      <c r="X15" s="2949" t="s">
        <v>3181</v>
      </c>
      <c r="Y15" s="2949" t="s">
        <v>3182</v>
      </c>
      <c r="Z15" s="2949" t="s">
        <v>3182</v>
      </c>
      <c r="AA15" s="2949" t="s">
        <v>3182</v>
      </c>
      <c r="AB15" s="2949" t="s">
        <v>3183</v>
      </c>
      <c r="AC15" s="2949" t="s">
        <v>3121</v>
      </c>
      <c r="AD15" s="2949" t="s">
        <v>3184</v>
      </c>
      <c r="AE15" s="2949">
        <v>325</v>
      </c>
      <c r="AF15" s="2949">
        <v>3219</v>
      </c>
      <c r="AG15" s="2949">
        <v>3219</v>
      </c>
      <c r="AH15" s="2949">
        <v>88.26</v>
      </c>
      <c r="AI15" s="2949">
        <v>88.26</v>
      </c>
      <c r="AJ15" s="2949">
        <v>735.46</v>
      </c>
      <c r="AK15" s="2950">
        <v>735.47</v>
      </c>
      <c r="AL15" s="2949">
        <f t="shared" si="1"/>
        <v>1324</v>
      </c>
      <c r="AM15" s="2949" t="s">
        <v>1331</v>
      </c>
      <c r="AN15" s="2949">
        <v>0</v>
      </c>
      <c r="AO15" s="2949">
        <v>50</v>
      </c>
      <c r="AP15" s="2949" t="s">
        <v>1331</v>
      </c>
      <c r="AQ15" s="2949" t="s">
        <v>1331</v>
      </c>
      <c r="AR15" s="2949" t="s">
        <v>1331</v>
      </c>
    </row>
    <row r="16" spans="1:44" s="2949" customFormat="1">
      <c r="A16" s="2949" t="s">
        <v>3185</v>
      </c>
      <c r="B16" s="2949" t="s">
        <v>3039</v>
      </c>
      <c r="C16" s="2949" t="s">
        <v>3112</v>
      </c>
      <c r="D16" s="2949" t="s">
        <v>3113</v>
      </c>
      <c r="E16" s="2949" t="s">
        <v>1331</v>
      </c>
      <c r="F16" s="2949" t="s">
        <v>3186</v>
      </c>
      <c r="G16" s="2949" t="s">
        <v>3115</v>
      </c>
      <c r="H16" s="2949">
        <v>201600401</v>
      </c>
      <c r="I16" s="2949" t="s">
        <v>3112</v>
      </c>
      <c r="J16" s="2949">
        <v>17505</v>
      </c>
      <c r="K16" s="2949">
        <v>35010</v>
      </c>
      <c r="L16" s="2949">
        <v>2</v>
      </c>
      <c r="M16" s="2949" t="s">
        <v>1331</v>
      </c>
      <c r="N16" s="2949" t="s">
        <v>3187</v>
      </c>
      <c r="O16" s="2949" t="s">
        <v>1331</v>
      </c>
      <c r="P16" s="2949" t="s">
        <v>1331</v>
      </c>
      <c r="Q16" s="2949" t="s">
        <v>1331</v>
      </c>
      <c r="R16" s="2949" t="s">
        <v>1331</v>
      </c>
      <c r="S16" s="2949" t="s">
        <v>1331</v>
      </c>
      <c r="T16" s="2949" t="s">
        <v>1331</v>
      </c>
      <c r="U16" s="2949" t="s">
        <v>1331</v>
      </c>
      <c r="V16" s="2949" t="s">
        <v>1331</v>
      </c>
      <c r="W16" s="2949" t="s">
        <v>3153</v>
      </c>
      <c r="X16" s="2949" t="s">
        <v>3188</v>
      </c>
      <c r="Y16" s="2949" t="s">
        <v>3189</v>
      </c>
      <c r="Z16" s="2949" t="s">
        <v>3189</v>
      </c>
      <c r="AA16" s="2949" t="s">
        <v>3189</v>
      </c>
      <c r="AB16" s="2949" t="s">
        <v>3190</v>
      </c>
      <c r="AC16" s="2949" t="s">
        <v>3121</v>
      </c>
      <c r="AD16" s="2949" t="s">
        <v>3191</v>
      </c>
      <c r="AE16" s="2949">
        <v>170</v>
      </c>
      <c r="AF16" s="2949">
        <v>1676</v>
      </c>
      <c r="AG16" s="2949">
        <v>1676</v>
      </c>
      <c r="AH16" s="2949">
        <v>63.83</v>
      </c>
      <c r="AI16" s="2949">
        <v>63.83</v>
      </c>
      <c r="AJ16" s="2949">
        <v>478.72</v>
      </c>
      <c r="AK16" s="2950">
        <v>478.72</v>
      </c>
      <c r="AL16" s="2949">
        <f t="shared" si="1"/>
        <v>957</v>
      </c>
      <c r="AM16" s="2949" t="s">
        <v>1331</v>
      </c>
      <c r="AN16" s="2949">
        <v>0</v>
      </c>
      <c r="AO16" s="2949" t="s">
        <v>3172</v>
      </c>
      <c r="AP16" s="2949" t="s">
        <v>1331</v>
      </c>
      <c r="AQ16" s="2949" t="s">
        <v>1331</v>
      </c>
      <c r="AR16" s="2949" t="s">
        <v>1331</v>
      </c>
    </row>
    <row r="17" spans="1:44" s="2949" customFormat="1">
      <c r="A17" s="2949" t="s">
        <v>3192</v>
      </c>
      <c r="B17" s="2949" t="s">
        <v>3039</v>
      </c>
      <c r="C17" s="2949" t="s">
        <v>3112</v>
      </c>
      <c r="D17" s="2949" t="s">
        <v>3113</v>
      </c>
      <c r="E17" s="2949" t="s">
        <v>1331</v>
      </c>
      <c r="F17" s="2949" t="s">
        <v>3193</v>
      </c>
      <c r="G17" s="2949" t="s">
        <v>3115</v>
      </c>
      <c r="H17" s="2949">
        <v>201505601</v>
      </c>
      <c r="I17" s="2949" t="s">
        <v>3112</v>
      </c>
      <c r="J17" s="2949">
        <v>32609.599999999999</v>
      </c>
      <c r="K17" s="2949">
        <v>39783.71</v>
      </c>
      <c r="L17" s="2949">
        <v>1.22</v>
      </c>
      <c r="M17" s="2949" t="s">
        <v>1331</v>
      </c>
      <c r="N17" s="2949" t="s">
        <v>1331</v>
      </c>
      <c r="O17" s="2949" t="s">
        <v>1331</v>
      </c>
      <c r="P17" s="2949" t="s">
        <v>1331</v>
      </c>
      <c r="Q17" s="2949" t="s">
        <v>1331</v>
      </c>
      <c r="R17" s="2949" t="s">
        <v>1331</v>
      </c>
      <c r="S17" s="2949" t="s">
        <v>1331</v>
      </c>
      <c r="T17" s="2949" t="s">
        <v>1331</v>
      </c>
      <c r="U17" s="2949" t="s">
        <v>1331</v>
      </c>
      <c r="V17" s="2949" t="s">
        <v>1331</v>
      </c>
      <c r="W17" s="2949" t="s">
        <v>3194</v>
      </c>
      <c r="X17" s="2949" t="s">
        <v>3195</v>
      </c>
      <c r="Y17" s="2949" t="s">
        <v>3196</v>
      </c>
      <c r="Z17" s="2949" t="s">
        <v>3196</v>
      </c>
      <c r="AA17" s="2949" t="s">
        <v>3196</v>
      </c>
      <c r="AB17" s="2949" t="s">
        <v>3197</v>
      </c>
      <c r="AC17" s="2949" t="s">
        <v>3121</v>
      </c>
      <c r="AD17" s="2949" t="s">
        <v>3165</v>
      </c>
      <c r="AE17" s="2949">
        <v>270</v>
      </c>
      <c r="AF17" s="2949">
        <v>2687</v>
      </c>
      <c r="AG17" s="2949">
        <v>2687</v>
      </c>
      <c r="AH17" s="2949">
        <v>54.93</v>
      </c>
      <c r="AI17" s="2949">
        <v>54.93</v>
      </c>
      <c r="AJ17" s="2949">
        <v>675.4</v>
      </c>
      <c r="AK17" s="2950">
        <v>675.39</v>
      </c>
      <c r="AL17" s="2949">
        <f t="shared" si="1"/>
        <v>824</v>
      </c>
      <c r="AM17" s="2949" t="s">
        <v>1331</v>
      </c>
      <c r="AN17" s="2949">
        <v>0</v>
      </c>
      <c r="AO17" s="2949">
        <v>20</v>
      </c>
      <c r="AP17" s="2949" t="s">
        <v>1331</v>
      </c>
      <c r="AQ17" s="2949" t="s">
        <v>1331</v>
      </c>
      <c r="AR17" s="2949" t="s">
        <v>1331</v>
      </c>
    </row>
    <row r="20" spans="1:44">
      <c r="D20" s="2973" t="s">
        <v>3250</v>
      </c>
      <c r="E20" s="2973" t="s">
        <v>3251</v>
      </c>
      <c r="F20" s="2973" t="s">
        <v>3252</v>
      </c>
      <c r="J20" s="2956" t="s">
        <v>3253</v>
      </c>
      <c r="K20" s="2956" t="s">
        <v>3254</v>
      </c>
      <c r="L20" s="2956" t="s">
        <v>3256</v>
      </c>
      <c r="M20" s="2973" t="s">
        <v>3257</v>
      </c>
      <c r="N20" s="2973" t="s">
        <v>3258</v>
      </c>
      <c r="O20" s="2973" t="s">
        <v>3259</v>
      </c>
      <c r="P20" s="2973" t="s">
        <v>3260</v>
      </c>
      <c r="R20" s="2973" t="s">
        <v>3273</v>
      </c>
      <c r="S20" s="2973" t="s">
        <v>3274</v>
      </c>
      <c r="T20" s="2973" t="s">
        <v>3275</v>
      </c>
      <c r="U20" s="2973" t="s">
        <v>3276</v>
      </c>
      <c r="V20" s="3304" t="s">
        <v>3277</v>
      </c>
      <c r="W20" s="2973" t="s">
        <v>3278</v>
      </c>
      <c r="X20" s="2973" t="s">
        <v>3279</v>
      </c>
    </row>
    <row r="21" spans="1:44">
      <c r="B21" s="2956" t="s">
        <v>3248</v>
      </c>
      <c r="C21" s="2956" t="s">
        <v>3249</v>
      </c>
      <c r="D21">
        <v>2989</v>
      </c>
      <c r="E21">
        <v>330</v>
      </c>
      <c r="F21">
        <f>D21+E21</f>
        <v>3319</v>
      </c>
      <c r="G21" s="2974">
        <v>43101</v>
      </c>
      <c r="H21" s="2974">
        <v>44925</v>
      </c>
      <c r="I21">
        <v>5</v>
      </c>
      <c r="J21">
        <v>4.66</v>
      </c>
      <c r="K21" s="2956" t="s">
        <v>3255</v>
      </c>
      <c r="L21" s="2975">
        <v>0.06</v>
      </c>
      <c r="M21" s="2976">
        <f>L21/I21</f>
        <v>1.2E-2</v>
      </c>
      <c r="N21">
        <f>ROUND(70833*12,0)</f>
        <v>849996</v>
      </c>
      <c r="O21">
        <v>212500</v>
      </c>
      <c r="P21">
        <f>ROUND(70833/F21/30,2)</f>
        <v>0.71</v>
      </c>
      <c r="R21">
        <f>N21</f>
        <v>849996</v>
      </c>
      <c r="S21">
        <f>ROUND(R21*(1+L21),0)</f>
        <v>900996</v>
      </c>
      <c r="T21">
        <f>ROUND(S21*(1+L21),0)</f>
        <v>955056</v>
      </c>
      <c r="V21">
        <f>ROUND(R21*(1+W21)^I21,1)</f>
        <v>955142.7</v>
      </c>
      <c r="W21" s="2976">
        <v>2.3599999999999999E-2</v>
      </c>
      <c r="X21">
        <f>T21-V21</f>
        <v>-86.699999999953434</v>
      </c>
    </row>
    <row r="22" spans="1:44">
      <c r="B22" s="2956" t="s">
        <v>3261</v>
      </c>
      <c r="C22" s="2956" t="s">
        <v>3262</v>
      </c>
      <c r="D22">
        <v>2900</v>
      </c>
      <c r="E22">
        <v>0</v>
      </c>
      <c r="F22">
        <f>D22+E22</f>
        <v>2900</v>
      </c>
      <c r="G22" s="2974">
        <v>42826</v>
      </c>
      <c r="H22" s="2974">
        <v>45016</v>
      </c>
      <c r="I22">
        <v>6</v>
      </c>
      <c r="J22">
        <v>4.91</v>
      </c>
      <c r="K22" s="2956" t="s">
        <v>3255</v>
      </c>
      <c r="L22" s="2975">
        <v>0.06</v>
      </c>
      <c r="M22" s="2976">
        <f>L22/I22</f>
        <v>0.01</v>
      </c>
      <c r="N22">
        <f>ROUND(52200*12,0)</f>
        <v>626400</v>
      </c>
      <c r="O22">
        <v>156600</v>
      </c>
      <c r="P22">
        <f>ROUND(52200/F22/30,2)</f>
        <v>0.6</v>
      </c>
      <c r="R22">
        <f>N22</f>
        <v>626400</v>
      </c>
      <c r="S22">
        <f>ROUND(R22*(1+L22),0)</f>
        <v>663984</v>
      </c>
      <c r="T22">
        <f>ROUND(S22*(1+L22),0)</f>
        <v>703823</v>
      </c>
      <c r="U22">
        <f>ROUND(T22*(1+L22),0)</f>
        <v>746052</v>
      </c>
      <c r="V22">
        <f>ROUND(R22*(1+W22)^I22,1)</f>
        <v>703769.9</v>
      </c>
      <c r="W22" s="2976">
        <v>1.9599999999999999E-2</v>
      </c>
      <c r="X22">
        <f>T22-V22</f>
        <v>53.099999999976717</v>
      </c>
    </row>
    <row r="23" spans="1:44">
      <c r="F23" s="2977">
        <f>F22+F21</f>
        <v>6219</v>
      </c>
      <c r="N23" s="2977">
        <f>N22+N21</f>
        <v>1476396</v>
      </c>
      <c r="O23">
        <f>O22+O21</f>
        <v>369100</v>
      </c>
    </row>
    <row r="24" spans="1:44">
      <c r="N24">
        <f>ROUND(N23/365/F23,1)</f>
        <v>0.7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27:O129"/>
  <sheetViews>
    <sheetView workbookViewId="0">
      <selection activeCell="O115" sqref="O115"/>
    </sheetView>
  </sheetViews>
  <sheetFormatPr defaultRowHeight="13.5"/>
  <sheetData>
    <row r="127" spans="7:15">
      <c r="G127" s="2956"/>
      <c r="K127" s="2956"/>
      <c r="O127" s="2956"/>
    </row>
    <row r="128" spans="7:15">
      <c r="G128" s="2956"/>
      <c r="O128" s="2956"/>
    </row>
    <row r="129" spans="7:15">
      <c r="G129" s="2956"/>
      <c r="O129" s="2956"/>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95"/>
      <c r="B3" s="2995"/>
      <c r="C3" s="2995"/>
      <c r="D3" s="1046" t="s">
        <v>1638</v>
      </c>
      <c r="E3" s="1046" t="s">
        <v>1644</v>
      </c>
      <c r="F3" s="1046" t="s">
        <v>1638</v>
      </c>
      <c r="G3" s="1046" t="s">
        <v>1639</v>
      </c>
      <c r="H3" s="1046" t="s">
        <v>1638</v>
      </c>
      <c r="I3" s="1046" t="s">
        <v>1639</v>
      </c>
    </row>
    <row r="4" spans="1:9" ht="45">
      <c r="A4" s="1975" t="str">
        <f>项目基本情况!S2</f>
        <v>上海市金山区山阳镇阳乐路188号6幢工业用房房地产房地产</v>
      </c>
      <c r="B4" s="1046">
        <f>项目基本情况!C17</f>
        <v>17933.88</v>
      </c>
      <c r="C4" s="1046">
        <f>项目基本情况!C18</f>
        <v>11729.24</v>
      </c>
      <c r="D4" s="1046">
        <f ca="1">结果表!D118</f>
        <v>2309</v>
      </c>
      <c r="E4" s="1046">
        <f ca="1">结果表!E118</f>
        <v>1287</v>
      </c>
      <c r="F4" s="1046">
        <f ca="1">结果表!F118</f>
        <v>5880</v>
      </c>
      <c r="G4" s="1046">
        <f ca="1">结果表!G118</f>
        <v>3279</v>
      </c>
      <c r="H4" s="1046">
        <f ca="1">结果表!H118</f>
        <v>8189</v>
      </c>
      <c r="I4" s="1046">
        <f ca="1">结果表!I118</f>
        <v>4566</v>
      </c>
    </row>
    <row r="5" spans="1:9" ht="30" customHeight="1">
      <c r="A5" s="2995" t="s">
        <v>1640</v>
      </c>
      <c r="B5" s="2995"/>
      <c r="C5" s="2995"/>
      <c r="D5" s="2996" t="str">
        <f ca="1">结果表!D119</f>
        <v>贰仟叁佰零玖万元整</v>
      </c>
      <c r="E5" s="2996"/>
      <c r="F5" s="2996" t="str">
        <f ca="1">结果表!F119</f>
        <v>伍仟捌佰捌拾万元整</v>
      </c>
      <c r="G5" s="2996"/>
      <c r="H5" s="2996" t="str">
        <f ca="1">结果表!H119</f>
        <v>捌仟壹佰捌拾玖万元整</v>
      </c>
      <c r="I5" s="2996"/>
    </row>
    <row r="6" spans="1:9" ht="15.75">
      <c r="A6" s="2997" t="str">
        <f>结果表!A120</f>
        <v>估价师知悉的除抵押担保权以外的法定优先受偿款</v>
      </c>
      <c r="B6" s="2997"/>
      <c r="C6" s="2997"/>
      <c r="D6" s="2997">
        <f>结果表!D120</f>
        <v>0</v>
      </c>
      <c r="E6" s="2997"/>
      <c r="F6" s="2997"/>
      <c r="G6" s="2997"/>
      <c r="H6" s="2997"/>
      <c r="I6" s="2997"/>
    </row>
    <row r="7" spans="1:9" ht="15">
      <c r="A7" s="2995" t="s">
        <v>1640</v>
      </c>
      <c r="B7" s="2995"/>
      <c r="C7" s="2995"/>
      <c r="D7" s="2998" t="str">
        <f>结果表!D121</f>
        <v>零元整</v>
      </c>
      <c r="E7" s="2999"/>
      <c r="F7" s="2999"/>
      <c r="G7" s="2999"/>
      <c r="H7" s="2999"/>
      <c r="I7" s="3000"/>
    </row>
    <row r="8" spans="1:9" ht="15.75">
      <c r="A8" s="2997" t="str">
        <f>结果表!A122</f>
        <v/>
      </c>
      <c r="B8" s="2997"/>
      <c r="C8" s="2997"/>
      <c r="D8" s="2997" t="str">
        <f>结果表!D122</f>
        <v>——</v>
      </c>
      <c r="E8" s="2997"/>
      <c r="F8" s="2997"/>
      <c r="G8" s="2997"/>
      <c r="H8" s="2997"/>
      <c r="I8" s="2997"/>
    </row>
    <row r="9" spans="1:9" ht="15">
      <c r="A9" s="2995" t="s">
        <v>1640</v>
      </c>
      <c r="B9" s="2995"/>
      <c r="C9" s="2995"/>
      <c r="D9" s="2996" t="e">
        <f>结果表!D123</f>
        <v>#VALUE!</v>
      </c>
      <c r="E9" s="2996"/>
      <c r="F9" s="2996"/>
      <c r="G9" s="2996"/>
      <c r="H9" s="2996"/>
      <c r="I9" s="2996"/>
    </row>
    <row r="10" spans="1:9" ht="15.75">
      <c r="A10" s="2997" t="str">
        <f>结果表!A124</f>
        <v>抵押担保权已注销时的房地产抵押价值</v>
      </c>
      <c r="B10" s="2997"/>
      <c r="C10" s="2997"/>
      <c r="D10" s="2997">
        <f ca="1">结果表!D124</f>
        <v>8189</v>
      </c>
      <c r="E10" s="2997"/>
      <c r="F10" s="2997"/>
      <c r="G10" s="2997"/>
      <c r="H10" s="2997"/>
      <c r="I10" s="2997"/>
    </row>
    <row r="11" spans="1:9" ht="15">
      <c r="A11" s="2995" t="s">
        <v>1640</v>
      </c>
      <c r="B11" s="2995"/>
      <c r="C11" s="2995"/>
      <c r="D11" s="2996" t="str">
        <f ca="1">结果表!D125</f>
        <v>捌仟壹佰捌拾玖万元整</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4" t="s">
        <v>1662</v>
      </c>
      <c r="B1" s="3004"/>
      <c r="C1" s="3004"/>
      <c r="D1" s="3004"/>
    </row>
    <row r="2" spans="1:4" ht="18">
      <c r="A2" s="3005" t="s">
        <v>1646</v>
      </c>
      <c r="B2" s="3005"/>
      <c r="C2" s="3005"/>
      <c r="D2" s="3005"/>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05" t="s">
        <v>1652</v>
      </c>
      <c r="B6" s="3005"/>
      <c r="C6" s="3005"/>
      <c r="D6" s="3005"/>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6" t="s">
        <v>1655</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10" t="s">
        <v>1656</v>
      </c>
      <c r="B16" s="3010"/>
      <c r="C16" s="3010"/>
      <c r="D16" s="3010"/>
    </row>
    <row r="17" spans="1:4" ht="144" customHeight="1">
      <c r="A17" s="3010" t="s">
        <v>1657</v>
      </c>
      <c r="B17" s="3010"/>
      <c r="C17" s="3010"/>
      <c r="D17" s="3010"/>
    </row>
    <row r="18" spans="1:4" ht="15.75" customHeight="1">
      <c r="A18" s="3007" t="str">
        <f>IF(项目基本情况!B8="抵押",结果表!K120,"——")</f>
        <v>故，本次评估不存在估价师知悉的除抵押担保权以外的法定优先受偿款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1658</v>
      </c>
      <c r="B22" s="3012"/>
      <c r="C22" s="3012"/>
      <c r="D22" s="301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8" t="s">
        <v>1669</v>
      </c>
      <c r="B15" s="3013" t="s">
        <v>136</v>
      </c>
      <c r="C15" s="3014"/>
    </row>
    <row r="16" spans="1:7" ht="13.5">
      <c r="A16" s="3019"/>
      <c r="B16" s="3013" t="s">
        <v>69</v>
      </c>
      <c r="C16" s="3014"/>
    </row>
    <row r="17" spans="1:3" ht="13.5">
      <c r="A17" s="3019"/>
      <c r="B17" s="3016" t="s">
        <v>1670</v>
      </c>
      <c r="C17" s="2002" t="s">
        <v>1669</v>
      </c>
    </row>
    <row r="18" spans="1:3" ht="13.5">
      <c r="A18" s="3019"/>
      <c r="B18" s="3016"/>
      <c r="C18" s="2002" t="s">
        <v>1671</v>
      </c>
    </row>
    <row r="19" spans="1:3" ht="13.5">
      <c r="A19" s="3019"/>
      <c r="B19" s="3016"/>
      <c r="C19" s="2002" t="s">
        <v>1672</v>
      </c>
    </row>
    <row r="20" spans="1:3" ht="13.5">
      <c r="A20" s="3020"/>
      <c r="B20" s="3015" t="s">
        <v>1673</v>
      </c>
      <c r="C20" s="3014"/>
    </row>
    <row r="21" spans="1:3" ht="13.5">
      <c r="A21" s="2003" t="s">
        <v>1674</v>
      </c>
      <c r="B21" s="2004"/>
      <c r="C21" s="2005"/>
    </row>
    <row r="22" spans="1:3" ht="13.5">
      <c r="A22" s="3017" t="s">
        <v>1675</v>
      </c>
      <c r="B22" s="3015" t="s">
        <v>1676</v>
      </c>
      <c r="C22" s="3014"/>
    </row>
    <row r="23" spans="1:3" ht="13.5">
      <c r="A23" s="3017"/>
      <c r="B23" s="3015" t="s">
        <v>1677</v>
      </c>
      <c r="C23" s="3014"/>
    </row>
    <row r="24" spans="1:3" ht="13.5">
      <c r="A24" s="3017"/>
      <c r="B24" s="3015" t="s">
        <v>1678</v>
      </c>
      <c r="C24" s="3014"/>
    </row>
    <row r="25" spans="1:3" ht="13.5">
      <c r="A25" s="3017"/>
      <c r="B25" s="3016" t="s">
        <v>1679</v>
      </c>
      <c r="C25" s="2002" t="s">
        <v>1680</v>
      </c>
    </row>
    <row r="26" spans="1:3" ht="13.5">
      <c r="A26" s="3017"/>
      <c r="B26" s="3016"/>
      <c r="C26" s="2002" t="s">
        <v>1681</v>
      </c>
    </row>
    <row r="27" spans="1:3" ht="13.5">
      <c r="A27" s="3017"/>
      <c r="B27" s="3016"/>
      <c r="C27" s="2002" t="s">
        <v>1682</v>
      </c>
    </row>
    <row r="28" spans="1:3" ht="13.5">
      <c r="A28" s="3017"/>
      <c r="B28" s="3016"/>
      <c r="C28" s="2002" t="s">
        <v>1683</v>
      </c>
    </row>
    <row r="29" spans="1:3" ht="13.5">
      <c r="A29" s="3017"/>
      <c r="B29" s="3016"/>
      <c r="C29" s="2002" t="s">
        <v>1684</v>
      </c>
    </row>
    <row r="30" spans="1:3" ht="13.5">
      <c r="A30" s="3017"/>
      <c r="B30" s="3016"/>
      <c r="C30" s="2002" t="s">
        <v>1685</v>
      </c>
    </row>
    <row r="31" spans="1:3" ht="13.5">
      <c r="A31" s="3017"/>
      <c r="B31" s="3016"/>
      <c r="C31" s="2002" t="s">
        <v>1686</v>
      </c>
    </row>
    <row r="32" spans="1:3" ht="13.5">
      <c r="A32" s="3017"/>
      <c r="B32" s="3016"/>
      <c r="C32" s="2002" t="s">
        <v>1687</v>
      </c>
    </row>
    <row r="33" spans="1:3" ht="13.5">
      <c r="A33" s="3017"/>
      <c r="B33" s="301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43227</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c r="B12" s="1024"/>
      <c r="C12" s="2347"/>
      <c r="D12" s="2350"/>
      <c r="E12" s="1024"/>
      <c r="F12" s="1024"/>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347">
        <v>43304</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21" t="s">
        <v>846</v>
      </c>
      <c r="B25" s="3021"/>
      <c r="C25" s="3021"/>
      <c r="D25" s="3021"/>
      <c r="E25" s="3021"/>
      <c r="F25" s="3021"/>
      <c r="G25" s="3021"/>
    </row>
    <row r="26" spans="1:7" s="1027" customFormat="1" ht="24" customHeight="1">
      <c r="A26" s="3022" t="s">
        <v>847</v>
      </c>
      <c r="B26" s="3022"/>
      <c r="C26" s="3023"/>
      <c r="D26" s="3024" t="s">
        <v>848</v>
      </c>
      <c r="E26" s="3022"/>
      <c r="F26" s="3022"/>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收益法（汇总）</vt:lpstr>
      <vt:lpstr>收益法-未出租</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收益法-已出租</vt:lpstr>
      <vt:lpstr>土地案例</vt:lpstr>
      <vt:lpstr>案例</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2018-05-07T11:23:05Z</dcterms:modified>
</cp:coreProperties>
</file>