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90" windowWidth="11430" windowHeight="9615" tabRatio="875" firstSheet="33" activeTab="3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剩余法-现房" sheetId="43" state="hidden" r:id="rId20"/>
    <sheet name="基准地价（汇总）" sheetId="67" r:id="rId21"/>
    <sheet name="比较法-工业" sheetId="40" state="hidden" r:id="rId22"/>
    <sheet name="基准地价住宅" sheetId="73" r:id="rId23"/>
    <sheet name="基准地价商业" sheetId="46" r:id="rId24"/>
    <sheet name="修正" sheetId="49" state="hidden" r:id="rId25"/>
    <sheet name="区片价" sheetId="48" state="hidden" r:id="rId26"/>
    <sheet name="容积率修正" sheetId="45" state="hidden" r:id="rId27"/>
    <sheet name="因素修正幅度" sheetId="56" state="hidden" r:id="rId28"/>
    <sheet name="基准地价办公" sheetId="74" r:id="rId29"/>
    <sheet name="地价" sheetId="59" r:id="rId30"/>
    <sheet name="收益还原法" sheetId="44" state="hidden" r:id="rId31"/>
    <sheet name="酒店收入计算" sheetId="57"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不动产收益法办公" sheetId="15" r:id="rId43"/>
    <sheet name="不动产收益法车库" sheetId="70" r:id="rId44"/>
    <sheet name="不动产收益法仓储" sheetId="71" r:id="rId45"/>
    <sheet name="不动产收益法商业" sheetId="72" r:id="rId46"/>
    <sheet name="土地案例" sheetId="75" r:id="rId47"/>
    <sheet name="公寓销售情况" sheetId="69" r:id="rId48"/>
    <sheet name="住宅案例" sheetId="76" r:id="rId49"/>
    <sheet name="车位案例" sheetId="77" r:id="rId50"/>
  </sheets>
  <externalReferences>
    <externalReference r:id="rId51"/>
    <externalReference r:id="rId52"/>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不动产收益法办公!$A$1:$F$43,不动产收益法办公!$H$3:$M$29,不动产收益法办公!$A$46:$F$70,不动产收益法办公!$I$46:$M$60</definedName>
    <definedName name="_xlnm.Print_Area" localSheetId="44">不动产收益法仓储!$A$1:$F$43,不动产收益法仓储!$H$3:$M$29,不动产收益法仓储!$A$46:$F$70,不动产收益法仓储!$I$46:$M$60</definedName>
    <definedName name="_xlnm.Print_Area" localSheetId="43">不动产收益法车库!$A$1:$F$43,不动产收益法车库!$H$3:$M$29,不动产收益法车库!$A$46:$F$70,不动产收益法车库!$I$46:$M$60</definedName>
    <definedName name="_xlnm.Print_Area" localSheetId="45">不动产收益法商业!$A$1:$F$43,不动产收益法商业!$H$3:$M$29,不动产收益法商业!$A$46:$F$70,不动产收益法商业!$I$46:$M$60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0">'基准地价（汇总）'!$A$1:$F$14</definedName>
    <definedName name="_xlnm.Print_Area" localSheetId="28">基准地价办公!$A$1:$J$41,基准地价办公!$A$44:$N$87,基准地价办公!$R$1:$V$16</definedName>
    <definedName name="_xlnm.Print_Area" localSheetId="23">基准地价商业!$A$1:$J$41,基准地价商业!$A$44:$N$87,基准地价商业!$R$1:$V$16</definedName>
    <definedName name="_xlnm.Print_Area" localSheetId="22">基准地价住宅!$A$1:$J$41,基准地价住宅!$A$44:$N$87,基准地价住宅!$R$1:$V$16</definedName>
    <definedName name="_xlnm.Print_Area" localSheetId="17">结果表!$A$1:$I$46,结果表!$K$25:$O$44,结果表!$A$62:$I$115,结果表!$K$64:$P$81</definedName>
    <definedName name="_xlnm.Print_Area" localSheetId="33">'剩余法-待开发'!$A$1:$K$36</definedName>
    <definedName name="_xlnm.Print_Area" localSheetId="19">'剩余法-现房'!$A$1:$K$32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2">'[1]比较法-办公'!$B$119:$M$119</definedName>
    <definedName name="办公层高">'不动产比较法-办公'!$B$119:$M$119</definedName>
    <definedName name="办公朝向" localSheetId="12">'[1]比较法-办公'!$B$91:$M$91</definedName>
    <definedName name="办公朝向">'不动产比较法-办公'!$B$91:$M$91</definedName>
    <definedName name="办公道路级别" localSheetId="12">'[1]比较法-办公'!$B$87:$M$87</definedName>
    <definedName name="办公道路级别">'不动产比较法-办公'!$B$87:$M$87</definedName>
    <definedName name="办公公共部分装修" localSheetId="12">'[1]比较法-办公'!$B$108:$M$108</definedName>
    <definedName name="办公公共部分装修">'不动产比较法-办公'!$B$108:$M$108</definedName>
    <definedName name="办公基础设施水平" localSheetId="12">'[1]比较法-办公'!$B$117:$M$117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'不动产比较法-办公'!$B$106:$M$106</definedName>
    <definedName name="办公建筑类型" localSheetId="12">'[1]比较法-办公'!$B$101:$M$101</definedName>
    <definedName name="办公建筑类型">'不动产比较法-办公'!$B$101:$M$101</definedName>
    <definedName name="办公交易情况" localSheetId="12">'[1]比较法-办公'!$A$62:$M$62</definedName>
    <definedName name="办公交易情况">'不动产比较法-办公'!$A$62:$M$62</definedName>
    <definedName name="办公楼层" localSheetId="12">'[1]比较法-办公'!$B$89:$M$89</definedName>
    <definedName name="办公楼层">'不动产比较法-办公'!$B$89:$M$89</definedName>
    <definedName name="办公内部装修" localSheetId="12">'[1]比较法-办公'!$B$123:$M$123</definedName>
    <definedName name="办公内部装修">'不动产比较法-办公'!$B$123:$M$123</definedName>
    <definedName name="办公物业管理" localSheetId="12">'[1]比较法-办公'!$B$115:$M$115</definedName>
    <definedName name="办公物业管理">'不动产比较法-办公'!$B$115:$M$115</definedName>
    <definedName name="办公用途" localSheetId="12">'[1]比较法-办公'!$B$64:$M$64</definedName>
    <definedName name="办公用途">'不动产比较法-办公'!$B$64:$M$64</definedName>
    <definedName name="仓储公共部分装修" localSheetId="12">'[1]比较法-仓储'!$B$77:$M$77</definedName>
    <definedName name="仓储公共部分装修">'不动产比较法-仓储'!$B$77:$M$77</definedName>
    <definedName name="仓储交易情况" localSheetId="12">'[1]比较法-仓储'!$A$49:$M$49</definedName>
    <definedName name="仓储交易情况">'不动产比较法-仓储'!$A$49:$M$49</definedName>
    <definedName name="仓储楼层" localSheetId="12">'[1]比较法-仓储'!$B$69:$M$69</definedName>
    <definedName name="仓储楼层">'不动产比较法-仓储'!$B$69:$M$69</definedName>
    <definedName name="仓储物业等级" localSheetId="12">'[1]比较法-仓储'!$B$82:$M$82</definedName>
    <definedName name="仓储物业等级">'不动产比较法-仓储'!$B$82:$M$82</definedName>
    <definedName name="仓储用途" localSheetId="12">'[1]比较法-仓储'!$B$51:$M$51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'不动产比较法-车位'!$B$83:$M$83</definedName>
    <definedName name="车位交易情况" localSheetId="12">'[1]比较法-车位'!$A$51:$M$51</definedName>
    <definedName name="车位交易情况">'不动产比较法-车位'!$A$51:$M$51</definedName>
    <definedName name="车位类型" localSheetId="12">'[1]比较法-车位'!$B$93:$M$93</definedName>
    <definedName name="车位类型">'不动产比较法-车位'!$B$93:$M$93</definedName>
    <definedName name="车位楼层" localSheetId="12">'[1]比较法-车位'!$B$71:$M$71</definedName>
    <definedName name="车位楼层">'不动产比较法-车位'!$B$71:$M$71</definedName>
    <definedName name="车位配套类型" localSheetId="12">'[1]比较法-车位'!$B$79:$M$79</definedName>
    <definedName name="车位配套类型">'不动产比较法-车位'!$B$79:$M$79</definedName>
    <definedName name="车位物业等级" localSheetId="12">'[1]比较法-车位'!$B$88:$M$88</definedName>
    <definedName name="车位物业等级">'不动产比较法-车位'!$B$88:$M$88</definedName>
    <definedName name="车位用途" localSheetId="12">'[1]比较法-车位'!$B$53:$M$53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区片价!$J$1:$J$20</definedName>
    <definedName name="二级分类" localSheetId="12">[1]修正!$C$17:$C$39</definedName>
    <definedName name="二级分类">修正!$C$17:$C$39</definedName>
    <definedName name="法定最高年限" localSheetId="12">[1]定义!$G$1:$G$4</definedName>
    <definedName name="法定最高年限">定义!$G$2:$G$4</definedName>
    <definedName name="工业公共部分装修" localSheetId="12">'[1]比较法-工业'!$B$95:$M$95</definedName>
    <definedName name="工业公共部分装修">'不动产比较法-工业'!$B$95:$M$95</definedName>
    <definedName name="工业基础设施水平" localSheetId="12">'[1]比较法-工业'!$B$102:$M$102</definedName>
    <definedName name="工业基础设施水平">'不动产比较法-工业'!$B$102:$M$102</definedName>
    <definedName name="工业建筑结构" localSheetId="12">'[1]比较法-工业'!$B$93:$M$93</definedName>
    <definedName name="工业建筑结构">'不动产比较法-工业'!$B$93:$M$93</definedName>
    <definedName name="工业建筑类型" localSheetId="12">'[1]比较法-工业'!$B$88:$M$88</definedName>
    <definedName name="工业建筑类型">'不动产比较法-工业'!$B$88:$M$88</definedName>
    <definedName name="工业交易情况" localSheetId="12">'[1]比较法-工业'!$A$55:$M$55</definedName>
    <definedName name="工业交易情况">'不动产比较法-工业'!$A$55:$M$55</definedName>
    <definedName name="工业内部装修" localSheetId="12">'[1]比较法-工业'!$B$104:$M$104</definedName>
    <definedName name="工业内部装修">'不动产比较法-工业'!$B$104:$M$104</definedName>
    <definedName name="工业物业管理" localSheetId="12">'[1]比较法-工业'!$B$100:$M$100</definedName>
    <definedName name="工业物业管理">'不动产比较法-工业'!$B$100:$M$100</definedName>
    <definedName name="工业用途" localSheetId="12">'[1]比较法-工业'!$B$57:$M$57</definedName>
    <definedName name="工业用途">'不动产比较法-工业'!$B$57:$M$57</definedName>
    <definedName name="公共配套设施" localSheetId="12">[1]定义!$Q$1:$Q$6</definedName>
    <definedName name="公共配套设施">定义!$Q$1:$Q$6</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8">基准地价办公!$N$19:$AB$19</definedName>
    <definedName name="季度" localSheetId="22">基准地价住宅!$N$19:$AB$19</definedName>
    <definedName name="季度">基准地价商业!$N$19:$AB$19</definedName>
    <definedName name="季度2014">地价!$A$2:$A$32</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区片价!$Q$1:$Q$46</definedName>
    <definedName name="居住社区成熟度" localSheetId="12">[1]定义!$K$1:$K$6</definedName>
    <definedName name="居住社区成熟度">定义!$K$1:$K$6</definedName>
    <definedName name="看看看">'[2]比较法-办公'!$B$119:$M$119</definedName>
    <definedName name="类别" localSheetId="12">[1]定义!$J$1:$J$3</definedName>
    <definedName name="类别">定义!$J$1:$J$3</definedName>
    <definedName name="临街状况" localSheetId="12">[1]定义!$T$1:$T$5</definedName>
    <definedName name="临街状况">定义!$T$1:$T$5</definedName>
    <definedName name="六级">区片价!$N$1:$N$49</definedName>
    <definedName name="内部装修维护情况" localSheetId="12">[1]定义!$U$1:$U$6</definedName>
    <definedName name="内部装修维护情况">定义!$U$1:$U$6</definedName>
    <definedName name="判定" localSheetId="12">[1]定义!$D$1:$D$4</definedName>
    <definedName name="判定">定义!$D$1:$D$4</definedName>
    <definedName name="七级">区片价!$O$1:$O$49</definedName>
    <definedName name="七通一平" localSheetId="12">[1]修正!$A$6:$A$14</definedName>
    <definedName name="七通一平">修正!$A$6:$A$14</definedName>
    <definedName name="区域土地利用方向" localSheetId="12">[1]定义!$P$1:$P$6</definedName>
    <definedName name="区域土地利用方向">定义!$P$1:$P$6</definedName>
    <definedName name="三级">区片价!$K$1:$K$21</definedName>
    <definedName name="商业层高" localSheetId="12">'[1]比较法-商业'!$B$116:$M$116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'不动产比较法-商业'!$B$107:$M$107</definedName>
    <definedName name="商业基础设施水平" localSheetId="12">'[1]比较法-商业'!$B$112:$M$112</definedName>
    <definedName name="商业基础设施水平">'不动产比较法-商业'!$B$112:$M$112</definedName>
    <definedName name="商业建筑结构" localSheetId="12">'[1]比较法-商业'!$B$105:$M$105</definedName>
    <definedName name="商业建筑结构">'不动产比较法-商业'!$B$105:$M$105</definedName>
    <definedName name="商业交易情况" localSheetId="12">'[1]比较法-商业'!$A$61:$M$61</definedName>
    <definedName name="商业交易情况">'不动产比较法-商业'!$A$61:$M$61</definedName>
    <definedName name="商业街名称" localSheetId="12">[1]修正!$C$59:$C$119</definedName>
    <definedName name="商业街名称">修正!$C$59:$C$119</definedName>
    <definedName name="商业进深比" localSheetId="12">'[1]比较法-商业'!$B$120:$M$120</definedName>
    <definedName name="商业进深比">'不动产比较法-商业'!$B$120:$M$120</definedName>
    <definedName name="商业类型" localSheetId="12">'[1]比较法-商业'!$B$100:$M$100</definedName>
    <definedName name="商业类型">'不动产比较法-商业'!$B$100:$M$100</definedName>
    <definedName name="商业临街状况" localSheetId="12">'[1]比较法-商业'!$B$86:$M$86</definedName>
    <definedName name="商业临街状况">'不动产比较法-商业'!$B$86:$M$86</definedName>
    <definedName name="商业楼层" localSheetId="12">'[1]比较法-商业'!$B$92:$M$92</definedName>
    <definedName name="商业楼层">'不动产比较法-商业'!$B$92:$M$92</definedName>
    <definedName name="商业内部装修" localSheetId="12">'[1]比较法-商业'!$B$122:$M$122</definedName>
    <definedName name="商业内部装修">'不动产比较法-商业'!$B$122:$M$122</definedName>
    <definedName name="商业人流量" localSheetId="12">'[1]比较法-商业'!$B$90:$M$90</definedName>
    <definedName name="商业人流量">'不动产比较法-商业'!$B$90:$M$90</definedName>
    <definedName name="商业业态" localSheetId="12">'[1]比较法-商业'!$B$114:$M$114</definedName>
    <definedName name="商业业态">'不动产比较法-商业'!$B$114:$M$114</definedName>
    <definedName name="商业用途" localSheetId="12">'[1]比较法-商业'!$B$63:$M$63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2">'[1]比较法-仓储'!$B$89:$M$89</definedName>
    <definedName name="是否封闭">'不动产比较法-仓储'!$B$89:$M$89</definedName>
    <definedName name="是否直接入户" localSheetId="12">'[1]比较法-车位'!$B$95:$M$95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12">'[1]土地比较法-住宅、综合'!$A$73:$M$73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12">'[1]土地比较法-工业'!$B$99:$M$99</definedName>
    <definedName name="套工土地级别">'比较法-工业'!$B$101:$M$101</definedName>
    <definedName name="套工用途" localSheetId="12">'[1]土地比较法-工业'!$B$70:$M$70</definedName>
    <definedName name="套工用途">'比较法-工业'!$B$72:$M$72</definedName>
    <definedName name="套工宗地开发程度">'[1]土地比较法-工业'!$B$112:$M$112</definedName>
    <definedName name="套工宗地形状" localSheetId="12">'[1]土地比较法-工业'!$B$110:$M$110</definedName>
    <definedName name="套工宗地形状">'比较法-工业'!$B$112:$M$112</definedName>
    <definedName name="套综道路等级" localSheetId="12">'[1]土地比较法-住宅、综合'!$B$106:$M$106</definedName>
    <definedName name="套综道路等级">'比较法-住宅、综合'!$B$108:$M$108</definedName>
    <definedName name="套综工程地质条件" localSheetId="12">'[1]土地比较法-住宅、综合'!$B$125:$M$125</definedName>
    <definedName name="套综工程地质条件">'比较法-住宅、综合'!$B$127:$M$127</definedName>
    <definedName name="套综交易情况" localSheetId="12">'[1]土地比较法-住宅、综合'!$A$73:$M$73</definedName>
    <definedName name="套综交易情况">'比较法-住宅、综合'!$A$75:$M$75</definedName>
    <definedName name="套综临街宽度及深度" localSheetId="12">'[1]土地比较法-住宅、综合'!$B$121:$M$121</definedName>
    <definedName name="套综临街宽度及深度">'比较法-住宅、综合'!$B$123:$M$123</definedName>
    <definedName name="套综土地级别" localSheetId="12">'[1]土地比较法-住宅、综合'!$B$108:$M$108</definedName>
    <definedName name="套综土地级别">'比较法-住宅、综合'!$B$110:$M$110</definedName>
    <definedName name="套综用途" localSheetId="12">'[1]土地比较法-住宅、综合'!$B$75:$M$75</definedName>
    <definedName name="套综用途">'比较法-住宅、综合'!$B$77:$M$77</definedName>
    <definedName name="套综宗地内开发程度" localSheetId="12">'[1]土地比较法-住宅、综合'!$B$123:$M$123</definedName>
    <definedName name="套综宗地内开发程度">'比较法-住宅、综合'!$B$125:$M$125</definedName>
    <definedName name="套综宗地形状" localSheetId="12">'[1]土地比较法-住宅、综合'!$B$119:$M$119</definedName>
    <definedName name="套综宗地形状">'比较法-住宅、综合'!$B$121:$M$121</definedName>
    <definedName name="土地估价师">估价师及机构信息!$D$3:$D$16</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定义!$I$1:$I$8</definedName>
    <definedName name="位置" localSheetId="12">[1]定义!$E$2:$E$4</definedName>
    <definedName name="位置">定义!$E$2:$E$4</definedName>
    <definedName name="五等判定" localSheetId="12">[1]定义!$W$1:$W$6</definedName>
    <definedName name="五等判定">定义!$W$1:$W$6</definedName>
    <definedName name="五级">区片价!$M$1:$M$35</definedName>
    <definedName name="项目类型" localSheetId="12">'[1]数据-汇总表'!$C$17:$C$26</definedName>
    <definedName name="项目类型">'数据-汇总表'!$C$17:$C$26</definedName>
    <definedName name="写字楼等级" localSheetId="12">'[1]比较法-办公'!$B$113:$M$113</definedName>
    <definedName name="写字楼等级">'不动产比较法-办公'!$B$113:$M$113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'不动产比较法-仓储'!$B$84:$M$84</definedName>
    <definedName name="主用途" localSheetId="12">[1]定义!$F$1:$F$10</definedName>
    <definedName name="主用途">定义!$F$1:$F$10</definedName>
    <definedName name="住宅朝向" localSheetId="12">'[1]比较法-住宅'!$B$88:$M$88</definedName>
    <definedName name="住宅朝向">'不动产比较法-住宅'!$B$88:$M$88</definedName>
    <definedName name="住宅房型" localSheetId="12">'[1]比较法-住宅'!$B$118:$M$118</definedName>
    <definedName name="住宅房型">'不动产比较法-住宅'!$B$118:$M$118</definedName>
    <definedName name="住宅公共部分装修" localSheetId="12">'[1]比较法-住宅'!$B$109:$M$109</definedName>
    <definedName name="住宅公共部分装修">'不动产比较法-住宅'!$B$109:$M$109</definedName>
    <definedName name="住宅基础设施水平" localSheetId="12">'[1]比较法-住宅'!$B$116:$M$116</definedName>
    <definedName name="住宅基础设施水平">'不动产比较法-住宅'!$B$116:$M$116</definedName>
    <definedName name="住宅建筑结构" localSheetId="12">'[1]比较法-住宅'!$B$105:$M$105</definedName>
    <definedName name="住宅建筑结构">'不动产比较法-住宅'!$B$105:$M$105</definedName>
    <definedName name="住宅建筑类型" localSheetId="12">'[1]比较法-住宅'!$B$100:$M$100</definedName>
    <definedName name="住宅建筑类型">'不动产比较法-住宅'!$B$100:$M$100</definedName>
    <definedName name="住宅建筑品质" localSheetId="12">'[1]比较法-住宅'!$B$107:$M$107</definedName>
    <definedName name="住宅建筑品质">'不动产比较法-住宅'!$B$107:$M$107</definedName>
    <definedName name="住宅交易情况" localSheetId="12">'[1]比较法-住宅'!$A$61:$M$61</definedName>
    <definedName name="住宅交易情况">'不动产比较法-住宅'!$A$61:$M$61</definedName>
    <definedName name="住宅楼层" localSheetId="12">'[1]比较法-住宅'!$B$86:$M$86</definedName>
    <definedName name="住宅楼层">'不动产比较法-住宅'!$B$86:$M$86</definedName>
    <definedName name="住宅内部装修" localSheetId="12">'[1]比较法-住宅'!$B$122:$M$122</definedName>
    <definedName name="住宅内部装修">'不动产比较法-住宅'!$B$122:$M$122</definedName>
    <definedName name="住宅物业管理" localSheetId="12">'[1]比较法-住宅'!$B$114:$M$114</definedName>
    <definedName name="住宅物业管理">'不动产比较法-住宅'!$B$114:$M$114</definedName>
    <definedName name="住宅用途" localSheetId="12">'[1]比较法-住宅'!$B$63:$M$63</definedName>
    <definedName name="住宅用途">'不动产比较法-住宅'!$B$63:$M$63</definedName>
    <definedName name="住宅主力户型面积">'不动产比较法-住宅'!$B$120:$M$120</definedName>
    <definedName name="注册房地产估价师" localSheetId="12">[1]估价师及机构信息!$A$3:$A$16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U2" i="46" l="1"/>
  <c r="G59" i="74" l="1"/>
  <c r="G60" i="74"/>
  <c r="G61" i="74"/>
  <c r="G62" i="74"/>
  <c r="G63" i="74"/>
  <c r="G64" i="74"/>
  <c r="G65" i="74"/>
  <c r="G66" i="74"/>
  <c r="G58" i="74"/>
  <c r="G70" i="73"/>
  <c r="G71" i="73"/>
  <c r="G72" i="73"/>
  <c r="G73" i="73"/>
  <c r="G74" i="73"/>
  <c r="G75" i="73"/>
  <c r="G76" i="73"/>
  <c r="G77" i="73"/>
  <c r="G69" i="73"/>
  <c r="G48" i="46"/>
  <c r="G49" i="46"/>
  <c r="G50" i="46"/>
  <c r="G51" i="46"/>
  <c r="G52" i="46"/>
  <c r="G53" i="46"/>
  <c r="G54" i="46"/>
  <c r="G55" i="46"/>
  <c r="G47" i="46"/>
  <c r="K4" i="68"/>
  <c r="K3" i="68"/>
  <c r="K2" i="68"/>
  <c r="B28" i="9"/>
  <c r="B27" i="9"/>
  <c r="L26" i="68"/>
  <c r="J20" i="68"/>
  <c r="J26" i="68"/>
  <c r="K26" i="68"/>
  <c r="I26" i="68"/>
  <c r="L24" i="68"/>
  <c r="L23" i="68"/>
  <c r="K24" i="68"/>
  <c r="K23" i="68"/>
  <c r="J24" i="68"/>
  <c r="J23" i="68"/>
  <c r="I24" i="68"/>
  <c r="I23" i="68"/>
  <c r="J19" i="68"/>
  <c r="J18" i="68"/>
  <c r="I19" i="68"/>
  <c r="I18" i="68"/>
  <c r="L8" i="1"/>
  <c r="D39" i="74"/>
  <c r="H10" i="12"/>
  <c r="H8" i="12"/>
  <c r="AM11" i="1"/>
  <c r="AL11" i="1"/>
  <c r="AK11" i="1"/>
  <c r="AH9" i="1"/>
  <c r="G22" i="6"/>
  <c r="G24" i="6" s="1"/>
  <c r="Q11" i="1"/>
  <c r="L11" i="1"/>
  <c r="V10" i="1" l="1"/>
  <c r="L10" i="1" l="1"/>
  <c r="L14" i="1" s="1"/>
  <c r="V19" i="1" l="1"/>
  <c r="I48" i="39"/>
  <c r="G48" i="39"/>
  <c r="E48" i="39"/>
  <c r="I40" i="39"/>
  <c r="G40" i="39"/>
  <c r="E40" i="39"/>
  <c r="I9" i="39"/>
  <c r="G9" i="39"/>
  <c r="E9" i="39"/>
  <c r="I7" i="39"/>
  <c r="G7" i="39"/>
  <c r="E7" i="39"/>
  <c r="F113" i="74"/>
  <c r="L100" i="74"/>
  <c r="D100" i="74"/>
  <c r="N99" i="74"/>
  <c r="N108" i="74" s="1"/>
  <c r="M99" i="74"/>
  <c r="L99" i="74"/>
  <c r="L108" i="74" s="1"/>
  <c r="K99" i="74"/>
  <c r="J99" i="74"/>
  <c r="J108" i="74" s="1"/>
  <c r="I99" i="74"/>
  <c r="H99" i="74"/>
  <c r="H100" i="74" s="1"/>
  <c r="G99" i="74"/>
  <c r="F99" i="74"/>
  <c r="F108" i="74" s="1"/>
  <c r="E99" i="74"/>
  <c r="D99" i="74"/>
  <c r="D108" i="74" s="1"/>
  <c r="C99" i="74"/>
  <c r="M87" i="74"/>
  <c r="N87" i="74" s="1"/>
  <c r="K87" i="74"/>
  <c r="J87" i="74" s="1"/>
  <c r="D87" i="74"/>
  <c r="N86" i="74"/>
  <c r="M86" i="74"/>
  <c r="K86" i="74"/>
  <c r="J86" i="74" s="1"/>
  <c r="D86" i="74"/>
  <c r="N85" i="74"/>
  <c r="M85" i="74"/>
  <c r="K85" i="74"/>
  <c r="J85" i="74" s="1"/>
  <c r="D85" i="74"/>
  <c r="M84" i="74"/>
  <c r="N84" i="74" s="1"/>
  <c r="K84" i="74"/>
  <c r="J84" i="74" s="1"/>
  <c r="D84" i="74"/>
  <c r="N83" i="74"/>
  <c r="M83" i="74"/>
  <c r="K83" i="74"/>
  <c r="J83" i="74" s="1"/>
  <c r="D83" i="74"/>
  <c r="B83" i="74"/>
  <c r="M82" i="74"/>
  <c r="N82" i="74" s="1"/>
  <c r="K82" i="74"/>
  <c r="J82" i="74" s="1"/>
  <c r="D82" i="74"/>
  <c r="B82" i="74"/>
  <c r="N81" i="74"/>
  <c r="M81" i="74"/>
  <c r="K81" i="74"/>
  <c r="J81" i="74" s="1"/>
  <c r="D81" i="74"/>
  <c r="M80" i="74"/>
  <c r="N80" i="74" s="1"/>
  <c r="K80" i="74"/>
  <c r="J80" i="74" s="1"/>
  <c r="F80" i="74"/>
  <c r="H86" i="74" s="1"/>
  <c r="D80" i="74"/>
  <c r="M77" i="74"/>
  <c r="N77" i="74" s="1"/>
  <c r="K77" i="74"/>
  <c r="J77" i="74" s="1"/>
  <c r="D77" i="74"/>
  <c r="M76" i="74"/>
  <c r="N76" i="74" s="1"/>
  <c r="K76" i="74"/>
  <c r="J76" i="74" s="1"/>
  <c r="D76" i="74"/>
  <c r="N75" i="74"/>
  <c r="M75" i="74"/>
  <c r="K75" i="74"/>
  <c r="J75" i="74" s="1"/>
  <c r="D75" i="74"/>
  <c r="N74" i="74"/>
  <c r="M74" i="74"/>
  <c r="K74" i="74"/>
  <c r="J74" i="74" s="1"/>
  <c r="D74" i="74"/>
  <c r="M73" i="74"/>
  <c r="N73" i="74" s="1"/>
  <c r="K73" i="74"/>
  <c r="J73" i="74" s="1"/>
  <c r="D73" i="74"/>
  <c r="N72" i="74"/>
  <c r="M72" i="74"/>
  <c r="K72" i="74"/>
  <c r="J72" i="74" s="1"/>
  <c r="D72" i="74"/>
  <c r="M71" i="74"/>
  <c r="N71" i="74" s="1"/>
  <c r="K71" i="74"/>
  <c r="J71" i="74" s="1"/>
  <c r="D71" i="74"/>
  <c r="B71" i="74"/>
  <c r="N70" i="74"/>
  <c r="M70" i="74"/>
  <c r="K70" i="74"/>
  <c r="J70" i="74" s="1"/>
  <c r="D70" i="74"/>
  <c r="M69" i="74"/>
  <c r="N69" i="74" s="1"/>
  <c r="K69" i="74"/>
  <c r="J69" i="74" s="1"/>
  <c r="F69" i="74"/>
  <c r="H75" i="74" s="1"/>
  <c r="D69" i="74"/>
  <c r="M66" i="74"/>
  <c r="N66" i="74" s="1"/>
  <c r="K66" i="74"/>
  <c r="J66" i="74" s="1"/>
  <c r="D66" i="74"/>
  <c r="M65" i="74"/>
  <c r="N65" i="74" s="1"/>
  <c r="K65" i="74"/>
  <c r="J65" i="74" s="1"/>
  <c r="D65" i="74"/>
  <c r="M64" i="74"/>
  <c r="N64" i="74" s="1"/>
  <c r="K64" i="74"/>
  <c r="J64" i="74" s="1"/>
  <c r="N63" i="74"/>
  <c r="M63" i="74"/>
  <c r="K63" i="74"/>
  <c r="J63" i="74" s="1"/>
  <c r="N62" i="74"/>
  <c r="M62" i="74"/>
  <c r="K62" i="74"/>
  <c r="J62" i="74" s="1"/>
  <c r="D62" i="74"/>
  <c r="M61" i="74"/>
  <c r="N61" i="74" s="1"/>
  <c r="K61" i="74"/>
  <c r="J61" i="74" s="1"/>
  <c r="D61" i="74"/>
  <c r="M60" i="74"/>
  <c r="N60" i="74" s="1"/>
  <c r="K60" i="74"/>
  <c r="J60" i="74" s="1"/>
  <c r="B60" i="74"/>
  <c r="M59" i="74"/>
  <c r="N59" i="74" s="1"/>
  <c r="K59" i="74"/>
  <c r="J59" i="74" s="1"/>
  <c r="D59" i="74"/>
  <c r="M58" i="74"/>
  <c r="N58" i="74" s="1"/>
  <c r="K58" i="74"/>
  <c r="J58" i="74" s="1"/>
  <c r="D58" i="74"/>
  <c r="M55" i="74"/>
  <c r="N55" i="74" s="1"/>
  <c r="K55" i="74"/>
  <c r="J55" i="74"/>
  <c r="D55" i="74"/>
  <c r="M54" i="74"/>
  <c r="N54" i="74" s="1"/>
  <c r="K54" i="74"/>
  <c r="J54" i="74" s="1"/>
  <c r="D54" i="74"/>
  <c r="M53" i="74"/>
  <c r="N53" i="74" s="1"/>
  <c r="K53" i="74"/>
  <c r="J53" i="74"/>
  <c r="D53" i="74"/>
  <c r="M52" i="74"/>
  <c r="N52" i="74" s="1"/>
  <c r="K52" i="74"/>
  <c r="J52" i="74" s="1"/>
  <c r="D52" i="74"/>
  <c r="M51" i="74"/>
  <c r="N51" i="74" s="1"/>
  <c r="K51" i="74"/>
  <c r="J51" i="74" s="1"/>
  <c r="D51" i="74"/>
  <c r="M50" i="74"/>
  <c r="N50" i="74" s="1"/>
  <c r="K50" i="74"/>
  <c r="J50" i="74"/>
  <c r="D50" i="74"/>
  <c r="M49" i="74"/>
  <c r="N49" i="74" s="1"/>
  <c r="K49" i="74"/>
  <c r="J49" i="74"/>
  <c r="D49" i="74"/>
  <c r="B49" i="74"/>
  <c r="M48" i="74"/>
  <c r="N48" i="74" s="1"/>
  <c r="K48" i="74"/>
  <c r="J48" i="74" s="1"/>
  <c r="D48" i="74"/>
  <c r="M47" i="74"/>
  <c r="N47" i="74" s="1"/>
  <c r="K47" i="74"/>
  <c r="J47" i="74"/>
  <c r="F47" i="74"/>
  <c r="H54" i="74" s="1"/>
  <c r="D47" i="74"/>
  <c r="E47" i="74" s="1"/>
  <c r="B45" i="74" s="1"/>
  <c r="H37" i="74"/>
  <c r="H36" i="74"/>
  <c r="H35" i="74"/>
  <c r="H34" i="74"/>
  <c r="H33" i="74"/>
  <c r="J20" i="74"/>
  <c r="I19" i="74"/>
  <c r="C18" i="74"/>
  <c r="F15" i="74"/>
  <c r="E15" i="74"/>
  <c r="D15" i="74"/>
  <c r="C15" i="74"/>
  <c r="C12" i="74" s="1"/>
  <c r="Y12" i="74"/>
  <c r="Y10" i="74"/>
  <c r="C10" i="74"/>
  <c r="C11" i="74" s="1"/>
  <c r="E11" i="74" s="1"/>
  <c r="AJ9" i="74"/>
  <c r="AJ12" i="74" s="1"/>
  <c r="AI9" i="74"/>
  <c r="AI10" i="74" s="1"/>
  <c r="AH9" i="74"/>
  <c r="AH12" i="74" s="1"/>
  <c r="AG9" i="74"/>
  <c r="AG10" i="74" s="1"/>
  <c r="AF9" i="74"/>
  <c r="AF12" i="74" s="1"/>
  <c r="AE9" i="74"/>
  <c r="AE10" i="74" s="1"/>
  <c r="AD9" i="74"/>
  <c r="AD12" i="74" s="1"/>
  <c r="AC9" i="74"/>
  <c r="AC10" i="74" s="1"/>
  <c r="AB9" i="74"/>
  <c r="AB12" i="74" s="1"/>
  <c r="AA9" i="74"/>
  <c r="AA10" i="74" s="1"/>
  <c r="Z9" i="74"/>
  <c r="Z12" i="74" s="1"/>
  <c r="E9" i="74"/>
  <c r="C9" i="74"/>
  <c r="E8" i="74"/>
  <c r="A7" i="74"/>
  <c r="N5" i="74"/>
  <c r="N3" i="74"/>
  <c r="M2" i="74"/>
  <c r="I2" i="74"/>
  <c r="M8" i="74" s="1"/>
  <c r="G2" i="74"/>
  <c r="O17" i="74" s="1"/>
  <c r="N1" i="74"/>
  <c r="M1" i="74"/>
  <c r="F113" i="73"/>
  <c r="N99" i="73"/>
  <c r="M99" i="73"/>
  <c r="M108" i="73" s="1"/>
  <c r="L99" i="73"/>
  <c r="K99" i="73"/>
  <c r="K108" i="73" s="1"/>
  <c r="J99" i="73"/>
  <c r="I99" i="73"/>
  <c r="I108" i="73" s="1"/>
  <c r="H99" i="73"/>
  <c r="G99" i="73"/>
  <c r="G108" i="73" s="1"/>
  <c r="F99" i="73"/>
  <c r="E99" i="73"/>
  <c r="E108" i="73" s="1"/>
  <c r="D99" i="73"/>
  <c r="D108" i="73" s="1"/>
  <c r="C99" i="73"/>
  <c r="C100" i="73" s="1"/>
  <c r="M87" i="73"/>
  <c r="N87" i="73" s="1"/>
  <c r="K87" i="73"/>
  <c r="J87" i="73" s="1"/>
  <c r="D87" i="73"/>
  <c r="N86" i="73"/>
  <c r="M86" i="73"/>
  <c r="K86" i="73"/>
  <c r="J86" i="73" s="1"/>
  <c r="D86" i="73"/>
  <c r="N85" i="73"/>
  <c r="M85" i="73"/>
  <c r="K85" i="73"/>
  <c r="J85" i="73" s="1"/>
  <c r="D85" i="73"/>
  <c r="M84" i="73"/>
  <c r="N84" i="73" s="1"/>
  <c r="K84" i="73"/>
  <c r="J84" i="73" s="1"/>
  <c r="D84" i="73"/>
  <c r="N83" i="73"/>
  <c r="M83" i="73"/>
  <c r="K83" i="73"/>
  <c r="J83" i="73" s="1"/>
  <c r="D83" i="73"/>
  <c r="B83" i="73"/>
  <c r="M82" i="73"/>
  <c r="N82" i="73" s="1"/>
  <c r="K82" i="73"/>
  <c r="J82" i="73" s="1"/>
  <c r="D82" i="73"/>
  <c r="B82" i="73"/>
  <c r="N81" i="73"/>
  <c r="M81" i="73"/>
  <c r="K81" i="73"/>
  <c r="J81" i="73" s="1"/>
  <c r="D81" i="73"/>
  <c r="M80" i="73"/>
  <c r="N80" i="73" s="1"/>
  <c r="K80" i="73"/>
  <c r="J80" i="73" s="1"/>
  <c r="F80" i="73"/>
  <c r="H86" i="73" s="1"/>
  <c r="D80" i="73"/>
  <c r="M77" i="73"/>
  <c r="N77" i="73" s="1"/>
  <c r="K77" i="73"/>
  <c r="J77" i="73" s="1"/>
  <c r="D77" i="73"/>
  <c r="M76" i="73"/>
  <c r="N76" i="73" s="1"/>
  <c r="K76" i="73"/>
  <c r="J76" i="73" s="1"/>
  <c r="M75" i="73"/>
  <c r="N75" i="73" s="1"/>
  <c r="K75" i="73"/>
  <c r="J75" i="73" s="1"/>
  <c r="D75" i="73"/>
  <c r="M74" i="73"/>
  <c r="N74" i="73" s="1"/>
  <c r="K74" i="73"/>
  <c r="J74" i="73" s="1"/>
  <c r="D74" i="73"/>
  <c r="M73" i="73"/>
  <c r="N73" i="73" s="1"/>
  <c r="K73" i="73"/>
  <c r="J73" i="73" s="1"/>
  <c r="N72" i="73"/>
  <c r="M72" i="73"/>
  <c r="K72" i="73"/>
  <c r="J72" i="73" s="1"/>
  <c r="D72" i="73"/>
  <c r="M71" i="73"/>
  <c r="N71" i="73" s="1"/>
  <c r="K71" i="73"/>
  <c r="J71" i="73" s="1"/>
  <c r="D71" i="73"/>
  <c r="B71" i="73"/>
  <c r="N70" i="73"/>
  <c r="M70" i="73"/>
  <c r="K70" i="73"/>
  <c r="J70" i="73" s="1"/>
  <c r="M69" i="73"/>
  <c r="N69" i="73" s="1"/>
  <c r="K69" i="73"/>
  <c r="J69" i="73" s="1"/>
  <c r="D69" i="73"/>
  <c r="M66" i="73"/>
  <c r="N66" i="73" s="1"/>
  <c r="K66" i="73"/>
  <c r="J66" i="73"/>
  <c r="D66" i="73"/>
  <c r="M65" i="73"/>
  <c r="N65" i="73" s="1"/>
  <c r="K65" i="73"/>
  <c r="J65" i="73" s="1"/>
  <c r="D65" i="73"/>
  <c r="M64" i="73"/>
  <c r="N64" i="73" s="1"/>
  <c r="K64" i="73"/>
  <c r="J64" i="73"/>
  <c r="D64" i="73"/>
  <c r="M63" i="73"/>
  <c r="N63" i="73" s="1"/>
  <c r="K63" i="73"/>
  <c r="J63" i="73" s="1"/>
  <c r="D63" i="73"/>
  <c r="M62" i="73"/>
  <c r="N62" i="73" s="1"/>
  <c r="K62" i="73"/>
  <c r="J62" i="73" s="1"/>
  <c r="D62" i="73"/>
  <c r="M61" i="73"/>
  <c r="N61" i="73" s="1"/>
  <c r="K61" i="73"/>
  <c r="J61" i="73"/>
  <c r="D61" i="73"/>
  <c r="M60" i="73"/>
  <c r="N60" i="73" s="1"/>
  <c r="K60" i="73"/>
  <c r="J60" i="73"/>
  <c r="D60" i="73"/>
  <c r="B60" i="73"/>
  <c r="M59" i="73"/>
  <c r="N59" i="73" s="1"/>
  <c r="K59" i="73"/>
  <c r="J59" i="73" s="1"/>
  <c r="D59" i="73"/>
  <c r="M58" i="73"/>
  <c r="N58" i="73" s="1"/>
  <c r="K58" i="73"/>
  <c r="J58" i="73"/>
  <c r="D58" i="73"/>
  <c r="M55" i="73"/>
  <c r="N55" i="73" s="1"/>
  <c r="K55" i="73"/>
  <c r="J55" i="73"/>
  <c r="D55" i="73"/>
  <c r="M54" i="73"/>
  <c r="N54" i="73" s="1"/>
  <c r="K54" i="73"/>
  <c r="J54" i="73" s="1"/>
  <c r="D54" i="73"/>
  <c r="M53" i="73"/>
  <c r="N53" i="73" s="1"/>
  <c r="K53" i="73"/>
  <c r="J53" i="73"/>
  <c r="D53" i="73"/>
  <c r="M52" i="73"/>
  <c r="N52" i="73" s="1"/>
  <c r="K52" i="73"/>
  <c r="J52" i="73" s="1"/>
  <c r="D52" i="73"/>
  <c r="M51" i="73"/>
  <c r="N51" i="73" s="1"/>
  <c r="K51" i="73"/>
  <c r="J51" i="73" s="1"/>
  <c r="D51" i="73"/>
  <c r="N50" i="73"/>
  <c r="M50" i="73"/>
  <c r="K50" i="73"/>
  <c r="J50" i="73" s="1"/>
  <c r="D50" i="73"/>
  <c r="M49" i="73"/>
  <c r="N49" i="73" s="1"/>
  <c r="K49" i="73"/>
  <c r="J49" i="73"/>
  <c r="D49" i="73"/>
  <c r="B49" i="73"/>
  <c r="M48" i="73"/>
  <c r="N48" i="73" s="1"/>
  <c r="K48" i="73"/>
  <c r="J48" i="73" s="1"/>
  <c r="D48" i="73"/>
  <c r="M47" i="73"/>
  <c r="N47" i="73" s="1"/>
  <c r="K47" i="73"/>
  <c r="J47" i="73"/>
  <c r="D47" i="73"/>
  <c r="H39" i="73"/>
  <c r="H38" i="73"/>
  <c r="H37" i="73"/>
  <c r="H36" i="73"/>
  <c r="H35" i="73"/>
  <c r="H34" i="73"/>
  <c r="H33" i="73"/>
  <c r="J20" i="73"/>
  <c r="I19" i="73"/>
  <c r="C18" i="73"/>
  <c r="F15" i="73"/>
  <c r="E15" i="73"/>
  <c r="D15" i="73"/>
  <c r="C15" i="73"/>
  <c r="Y12" i="73"/>
  <c r="Y10" i="73"/>
  <c r="C10" i="73"/>
  <c r="C11" i="73" s="1"/>
  <c r="AJ9" i="73"/>
  <c r="AJ12" i="73" s="1"/>
  <c r="AI9" i="73"/>
  <c r="AI10" i="73" s="1"/>
  <c r="AH9" i="73"/>
  <c r="AH12" i="73" s="1"/>
  <c r="AG9" i="73"/>
  <c r="AG10" i="73" s="1"/>
  <c r="AF9" i="73"/>
  <c r="AF12" i="73" s="1"/>
  <c r="AE9" i="73"/>
  <c r="AE10" i="73" s="1"/>
  <c r="AD9" i="73"/>
  <c r="AD12" i="73" s="1"/>
  <c r="AC9" i="73"/>
  <c r="AC10" i="73" s="1"/>
  <c r="AB9" i="73"/>
  <c r="AB12" i="73" s="1"/>
  <c r="AA9" i="73"/>
  <c r="AA10" i="73" s="1"/>
  <c r="Z9" i="73"/>
  <c r="Z12" i="73" s="1"/>
  <c r="C9" i="73"/>
  <c r="A7" i="73"/>
  <c r="I2" i="73"/>
  <c r="N12" i="73" s="1"/>
  <c r="G2" i="73"/>
  <c r="H113" i="73" s="1"/>
  <c r="N1" i="73"/>
  <c r="Q73" i="72"/>
  <c r="Q60" i="72"/>
  <c r="D60" i="72"/>
  <c r="Q59" i="72"/>
  <c r="K59" i="72"/>
  <c r="P75" i="72" s="1"/>
  <c r="F58" i="72"/>
  <c r="Q52" i="72"/>
  <c r="J50" i="72"/>
  <c r="M47" i="72"/>
  <c r="F33" i="72"/>
  <c r="F60" i="72" s="1"/>
  <c r="F31" i="72"/>
  <c r="F23" i="72"/>
  <c r="D24" i="72" s="1"/>
  <c r="D23" i="72"/>
  <c r="D22" i="72"/>
  <c r="F21" i="72"/>
  <c r="F20" i="72"/>
  <c r="M19" i="72"/>
  <c r="F18" i="72"/>
  <c r="M17" i="72"/>
  <c r="F17" i="72"/>
  <c r="F15" i="72"/>
  <c r="Q73" i="71"/>
  <c r="Q60" i="71"/>
  <c r="D60" i="71"/>
  <c r="Q59" i="71"/>
  <c r="K59" i="71"/>
  <c r="P75" i="71" s="1"/>
  <c r="F58" i="71"/>
  <c r="Q52" i="71"/>
  <c r="J50" i="71"/>
  <c r="M47" i="71"/>
  <c r="F33" i="71"/>
  <c r="F60" i="71" s="1"/>
  <c r="F31" i="71"/>
  <c r="F23" i="71"/>
  <c r="D24" i="71" s="1"/>
  <c r="D22" i="71"/>
  <c r="F21" i="71"/>
  <c r="F20" i="71"/>
  <c r="M19" i="71"/>
  <c r="F18" i="71"/>
  <c r="M17" i="71"/>
  <c r="F17" i="71"/>
  <c r="F15" i="71"/>
  <c r="Q73" i="70"/>
  <c r="Q60" i="70"/>
  <c r="D60" i="70"/>
  <c r="Q59" i="70"/>
  <c r="K59" i="70"/>
  <c r="P75" i="70" s="1"/>
  <c r="F58" i="70"/>
  <c r="Q52" i="70"/>
  <c r="J50" i="70"/>
  <c r="M47" i="70"/>
  <c r="F33" i="70"/>
  <c r="F60" i="70" s="1"/>
  <c r="F31" i="70"/>
  <c r="F23" i="70"/>
  <c r="D24" i="70" s="1"/>
  <c r="D22" i="70"/>
  <c r="F21" i="70"/>
  <c r="F20" i="70"/>
  <c r="M19" i="70"/>
  <c r="F18" i="70"/>
  <c r="M17" i="70"/>
  <c r="F17" i="70"/>
  <c r="F15" i="70"/>
  <c r="D60" i="74" l="1"/>
  <c r="E58" i="74" s="1"/>
  <c r="B56" i="74" s="1"/>
  <c r="C24" i="74" s="1"/>
  <c r="D63" i="74"/>
  <c r="D64" i="74"/>
  <c r="D70" i="73"/>
  <c r="E69" i="73" s="1"/>
  <c r="B67" i="73" s="1"/>
  <c r="D73" i="73"/>
  <c r="D76" i="73"/>
  <c r="D23" i="70"/>
  <c r="P62" i="70"/>
  <c r="D23" i="71"/>
  <c r="P62" i="71"/>
  <c r="P62" i="72"/>
  <c r="C12" i="73"/>
  <c r="H108" i="74"/>
  <c r="E47" i="73"/>
  <c r="B45" i="73" s="1"/>
  <c r="E58" i="73"/>
  <c r="B56" i="73" s="1"/>
  <c r="E80" i="73"/>
  <c r="B78" i="73" s="1"/>
  <c r="M4" i="74"/>
  <c r="N6" i="74"/>
  <c r="M7" i="74"/>
  <c r="E69" i="74"/>
  <c r="B67" i="74" s="1"/>
  <c r="E80" i="74"/>
  <c r="B78" i="74" s="1"/>
  <c r="F69" i="73"/>
  <c r="H75" i="73" s="1"/>
  <c r="H80" i="73"/>
  <c r="AC12" i="73"/>
  <c r="AG12" i="73"/>
  <c r="AA12" i="73"/>
  <c r="AE12" i="73"/>
  <c r="AI12" i="73"/>
  <c r="AE12" i="74"/>
  <c r="E10" i="74"/>
  <c r="C7" i="74" s="1"/>
  <c r="AA12" i="74"/>
  <c r="AI12" i="74"/>
  <c r="C6" i="74"/>
  <c r="N12" i="74"/>
  <c r="M11" i="74"/>
  <c r="M10" i="74"/>
  <c r="N2" i="74"/>
  <c r="M3" i="74"/>
  <c r="N4" i="74"/>
  <c r="M5" i="74"/>
  <c r="M6" i="74"/>
  <c r="N7" i="74"/>
  <c r="X7" i="74"/>
  <c r="N8" i="74"/>
  <c r="N9" i="74"/>
  <c r="N10" i="74"/>
  <c r="AB10" i="74"/>
  <c r="AF10" i="74"/>
  <c r="AJ10" i="74"/>
  <c r="N11" i="74"/>
  <c r="M12" i="74"/>
  <c r="AC12" i="74"/>
  <c r="AG12" i="74"/>
  <c r="K17" i="74"/>
  <c r="H113" i="74"/>
  <c r="F58" i="74"/>
  <c r="F39" i="74"/>
  <c r="F38" i="74"/>
  <c r="F37" i="74"/>
  <c r="F36" i="74"/>
  <c r="F35" i="74"/>
  <c r="F34" i="74"/>
  <c r="F33" i="74"/>
  <c r="N17" i="74"/>
  <c r="L17" i="74"/>
  <c r="J17" i="74"/>
  <c r="H17" i="74"/>
  <c r="C17" i="74"/>
  <c r="M9" i="74"/>
  <c r="Z10" i="74"/>
  <c r="AD10" i="74"/>
  <c r="AH10" i="74"/>
  <c r="D17" i="74"/>
  <c r="I17" i="74"/>
  <c r="M17" i="74"/>
  <c r="H47" i="74"/>
  <c r="H49" i="74"/>
  <c r="H50" i="74"/>
  <c r="H53" i="74"/>
  <c r="H55" i="74"/>
  <c r="H69" i="74"/>
  <c r="H71" i="74"/>
  <c r="H73" i="74"/>
  <c r="H76" i="74"/>
  <c r="H77" i="74"/>
  <c r="H80" i="74"/>
  <c r="H82" i="74"/>
  <c r="H84" i="74"/>
  <c r="H87" i="74"/>
  <c r="F100" i="74"/>
  <c r="J100" i="74"/>
  <c r="N100" i="74"/>
  <c r="H48" i="74"/>
  <c r="H51" i="74"/>
  <c r="H52" i="74"/>
  <c r="H70" i="74"/>
  <c r="H72" i="74"/>
  <c r="H74" i="74"/>
  <c r="H81" i="74"/>
  <c r="H83" i="74"/>
  <c r="H85" i="74"/>
  <c r="C108" i="74"/>
  <c r="C100" i="74"/>
  <c r="E108" i="74"/>
  <c r="E100" i="74"/>
  <c r="G108" i="74"/>
  <c r="G100" i="74"/>
  <c r="I108" i="74"/>
  <c r="I100" i="74"/>
  <c r="K108" i="74"/>
  <c r="K100" i="74"/>
  <c r="M108" i="74"/>
  <c r="M100" i="74"/>
  <c r="M4" i="73"/>
  <c r="N6" i="73"/>
  <c r="M7" i="73"/>
  <c r="N10" i="73"/>
  <c r="N11" i="73"/>
  <c r="F58" i="73"/>
  <c r="H63" i="73" s="1"/>
  <c r="M1" i="73"/>
  <c r="M2" i="73"/>
  <c r="N3" i="73"/>
  <c r="N5" i="73"/>
  <c r="M8" i="73"/>
  <c r="M9" i="73"/>
  <c r="M12" i="73"/>
  <c r="E9" i="73"/>
  <c r="E8" i="73"/>
  <c r="E11" i="73"/>
  <c r="E10" i="73"/>
  <c r="F47" i="73"/>
  <c r="C6" i="73"/>
  <c r="Z10" i="73"/>
  <c r="AB10" i="73"/>
  <c r="AD10" i="73"/>
  <c r="AF10" i="73"/>
  <c r="AH10" i="73"/>
  <c r="AJ10" i="73"/>
  <c r="D17" i="73"/>
  <c r="I17" i="73"/>
  <c r="K17" i="73"/>
  <c r="M17" i="73"/>
  <c r="O17" i="73"/>
  <c r="N2" i="73"/>
  <c r="M3" i="73"/>
  <c r="N4" i="73"/>
  <c r="M5" i="73"/>
  <c r="M6" i="73"/>
  <c r="N7" i="73"/>
  <c r="X7" i="73"/>
  <c r="N8" i="73"/>
  <c r="N9" i="73"/>
  <c r="M10" i="73"/>
  <c r="M11" i="73"/>
  <c r="C17" i="73"/>
  <c r="H17" i="73"/>
  <c r="J17" i="73"/>
  <c r="L17" i="73"/>
  <c r="N17" i="73"/>
  <c r="F33" i="73"/>
  <c r="F34" i="73"/>
  <c r="F35" i="73"/>
  <c r="F36" i="73"/>
  <c r="F37" i="73"/>
  <c r="F38" i="73"/>
  <c r="F39" i="73"/>
  <c r="H65" i="73"/>
  <c r="H62" i="73"/>
  <c r="H64" i="73"/>
  <c r="H60" i="73"/>
  <c r="H59" i="73"/>
  <c r="H69" i="73"/>
  <c r="H71" i="73"/>
  <c r="H73" i="73"/>
  <c r="H76" i="73"/>
  <c r="H77" i="73"/>
  <c r="H82" i="73"/>
  <c r="H84" i="73"/>
  <c r="H87" i="73"/>
  <c r="F108" i="73"/>
  <c r="F100" i="73"/>
  <c r="H108" i="73"/>
  <c r="H100" i="73"/>
  <c r="J108" i="73"/>
  <c r="J100" i="73"/>
  <c r="L108" i="73"/>
  <c r="L100" i="73"/>
  <c r="N108" i="73"/>
  <c r="N100" i="73"/>
  <c r="D100" i="73"/>
  <c r="G100" i="73"/>
  <c r="K100" i="73"/>
  <c r="C108" i="73"/>
  <c r="H70" i="73"/>
  <c r="H72" i="73"/>
  <c r="H74" i="73"/>
  <c r="H81" i="73"/>
  <c r="H83" i="73"/>
  <c r="H85" i="73"/>
  <c r="E100" i="73"/>
  <c r="I100" i="73"/>
  <c r="M100" i="73"/>
  <c r="S13" i="3"/>
  <c r="Q13" i="3"/>
  <c r="O13" i="3"/>
  <c r="M13" i="3"/>
  <c r="K13" i="3"/>
  <c r="I13" i="3"/>
  <c r="C24" i="73" l="1"/>
  <c r="H58" i="73"/>
  <c r="H61" i="73"/>
  <c r="H66" i="73"/>
  <c r="G17" i="74"/>
  <c r="H65" i="74"/>
  <c r="H63" i="74"/>
  <c r="H62" i="74"/>
  <c r="H59" i="74"/>
  <c r="H66" i="74"/>
  <c r="H64" i="74"/>
  <c r="H61" i="74"/>
  <c r="H60" i="74"/>
  <c r="H58" i="74"/>
  <c r="G17" i="73"/>
  <c r="H55" i="73"/>
  <c r="H53" i="73"/>
  <c r="H50" i="73"/>
  <c r="H49" i="73"/>
  <c r="H47" i="73"/>
  <c r="H54" i="73"/>
  <c r="H52" i="73"/>
  <c r="H51" i="73"/>
  <c r="H48" i="73"/>
  <c r="C7" i="73"/>
  <c r="G20" i="6"/>
  <c r="D15" i="68"/>
  <c r="F13" i="68"/>
  <c r="F12" i="68"/>
  <c r="F11" i="68"/>
  <c r="H8" i="68"/>
  <c r="D7" i="68"/>
  <c r="H6" i="68"/>
  <c r="H9" i="68" s="1"/>
  <c r="H13" i="68" s="1"/>
  <c r="A3" i="3"/>
  <c r="C40" i="39" s="1"/>
  <c r="D3" i="4"/>
  <c r="E59" i="39" l="1"/>
  <c r="W19" i="1"/>
  <c r="D33" i="46"/>
  <c r="AH5" i="59"/>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AB9" i="59" s="1"/>
  <c r="P9" i="59"/>
  <c r="O9" i="59"/>
  <c r="N9" i="59"/>
  <c r="AH8" i="59"/>
  <c r="AG8" i="59"/>
  <c r="AE8" i="59"/>
  <c r="AF8" i="59" s="1"/>
  <c r="AD8" i="59"/>
  <c r="Q8" i="59"/>
  <c r="P8" i="59"/>
  <c r="AA5" i="59" s="1"/>
  <c r="O8" i="59"/>
  <c r="Y6" i="59" s="1"/>
  <c r="Z6" i="59" s="1"/>
  <c r="N8" i="59"/>
  <c r="X6" i="59" s="1"/>
  <c r="AH9" i="59"/>
  <c r="AG9" i="59"/>
  <c r="AE9" i="59"/>
  <c r="AF9" i="59" s="1"/>
  <c r="AD9" i="59"/>
  <c r="Q10" i="59"/>
  <c r="Q11" i="59"/>
  <c r="P10" i="59"/>
  <c r="AA9" i="59" s="1"/>
  <c r="P11" i="59"/>
  <c r="O10" i="59"/>
  <c r="Y9" i="59" s="1"/>
  <c r="Z9" i="59" s="1"/>
  <c r="O11" i="59"/>
  <c r="N10" i="59"/>
  <c r="X9" i="59" s="1"/>
  <c r="N11" i="59"/>
  <c r="AH10" i="59"/>
  <c r="AG10" i="59"/>
  <c r="AE10" i="59"/>
  <c r="AF10" i="59"/>
  <c r="AD10" i="59"/>
  <c r="F25" i="12"/>
  <c r="AH11" i="59"/>
  <c r="AG11" i="59"/>
  <c r="AE11" i="59"/>
  <c r="AF11" i="59"/>
  <c r="AD11" i="59"/>
  <c r="M15" i="49"/>
  <c r="L15" i="49"/>
  <c r="K15" i="49"/>
  <c r="J15" i="49"/>
  <c r="I15" i="49"/>
  <c r="H15" i="49"/>
  <c r="G15" i="49"/>
  <c r="F15" i="49"/>
  <c r="E15" i="49"/>
  <c r="D15" i="49"/>
  <c r="C15" i="49"/>
  <c r="B15" i="49"/>
  <c r="AH12" i="59"/>
  <c r="AG12" i="59"/>
  <c r="AE12" i="59"/>
  <c r="AF12" i="59" s="1"/>
  <c r="AD12" i="59"/>
  <c r="Q12" i="59"/>
  <c r="AB10" i="59" s="1"/>
  <c r="P12" i="59"/>
  <c r="AA10" i="59" s="1"/>
  <c r="O12" i="59"/>
  <c r="Y10" i="59" s="1"/>
  <c r="N12" i="59"/>
  <c r="X10" i="59" s="1"/>
  <c r="L3" i="59"/>
  <c r="AH3" i="59" s="1"/>
  <c r="K3" i="59"/>
  <c r="AG3" i="59" s="1"/>
  <c r="J3" i="59"/>
  <c r="AE3" i="59" s="1"/>
  <c r="AF3" i="59" s="1"/>
  <c r="I3" i="59"/>
  <c r="AD3" i="59" s="1"/>
  <c r="AH13" i="59"/>
  <c r="AG13" i="59"/>
  <c r="AE13" i="59"/>
  <c r="AF13" i="59" s="1"/>
  <c r="AD13" i="59"/>
  <c r="Q13" i="59"/>
  <c r="Q14" i="59"/>
  <c r="P13" i="59"/>
  <c r="P14" i="59"/>
  <c r="AA13" i="59" s="1"/>
  <c r="O13" i="59"/>
  <c r="O14" i="59"/>
  <c r="N13" i="59"/>
  <c r="N14" i="59"/>
  <c r="AH14" i="59"/>
  <c r="AG14" i="59"/>
  <c r="AE14" i="59"/>
  <c r="AF14" i="59"/>
  <c r="AD14" i="59"/>
  <c r="Q15" i="59"/>
  <c r="P15" i="59"/>
  <c r="O15" i="59"/>
  <c r="N15" i="59"/>
  <c r="X13" i="59" s="1"/>
  <c r="J50" i="15"/>
  <c r="D17" i="59"/>
  <c r="AH15" i="59"/>
  <c r="AG15" i="59"/>
  <c r="AE15" i="59"/>
  <c r="AF15" i="59"/>
  <c r="AD15" i="59"/>
  <c r="AE16" i="59"/>
  <c r="AF16" i="59" s="1"/>
  <c r="AG16" i="59"/>
  <c r="AH16" i="59"/>
  <c r="AD16" i="59"/>
  <c r="Q16" i="59"/>
  <c r="P16" i="59"/>
  <c r="O16" i="59"/>
  <c r="N16" i="59"/>
  <c r="X15" i="59" s="1"/>
  <c r="N17" i="59"/>
  <c r="Q17" i="59"/>
  <c r="P17" i="59"/>
  <c r="AA15" i="59" s="1"/>
  <c r="O17" i="59"/>
  <c r="K59" i="15"/>
  <c r="P62" i="15" s="1"/>
  <c r="P75" i="15"/>
  <c r="Q74" i="44"/>
  <c r="Q61" i="44"/>
  <c r="Q60" i="44"/>
  <c r="Q53" i="44"/>
  <c r="J51" i="44"/>
  <c r="J52" i="44"/>
  <c r="M48" i="44"/>
  <c r="A16" i="55"/>
  <c r="B67" i="63" s="1"/>
  <c r="A15" i="55"/>
  <c r="B66" i="63"/>
  <c r="A10" i="55"/>
  <c r="B61" i="63" s="1"/>
  <c r="A9" i="55"/>
  <c r="B60" i="63" s="1"/>
  <c r="A8" i="55"/>
  <c r="A6" i="54"/>
  <c r="A8" i="54"/>
  <c r="A7" i="54"/>
  <c r="A27" i="51"/>
  <c r="B20" i="63"/>
  <c r="Q18" i="59"/>
  <c r="AB15" i="59" s="1"/>
  <c r="O18" i="59"/>
  <c r="Y15" i="59" s="1"/>
  <c r="Z15" i="59" s="1"/>
  <c r="N19" i="59"/>
  <c r="O19" i="59"/>
  <c r="P19" i="59"/>
  <c r="Q19" i="59"/>
  <c r="N18" i="59"/>
  <c r="X16" i="59" s="1"/>
  <c r="P18" i="59"/>
  <c r="K75" i="9"/>
  <c r="K6" i="4"/>
  <c r="O76" i="9"/>
  <c r="L76" i="9"/>
  <c r="K76" i="9"/>
  <c r="B22" i="31"/>
  <c r="E15" i="66"/>
  <c r="F15" i="66"/>
  <c r="E16" i="66"/>
  <c r="F16" i="66"/>
  <c r="E17" i="66"/>
  <c r="F17" i="66"/>
  <c r="E18" i="66"/>
  <c r="F18" i="66"/>
  <c r="E19" i="66"/>
  <c r="F19" i="66"/>
  <c r="E20" i="66"/>
  <c r="F20" i="66"/>
  <c r="E21" i="66"/>
  <c r="F21" i="66"/>
  <c r="E22" i="66"/>
  <c r="F22" i="66"/>
  <c r="E23" i="66"/>
  <c r="F23" i="66"/>
  <c r="B3" i="66"/>
  <c r="B16" i="59"/>
  <c r="B15" i="59" s="1"/>
  <c r="B14" i="59" s="1"/>
  <c r="E16" i="59"/>
  <c r="E15" i="59" s="1"/>
  <c r="E14" i="59" s="1"/>
  <c r="E13" i="59" s="1"/>
  <c r="E12" i="59" s="1"/>
  <c r="E11" i="59" s="1"/>
  <c r="E10" i="59" s="1"/>
  <c r="E9" i="59" s="1"/>
  <c r="F16" i="59"/>
  <c r="V16" i="59" s="1"/>
  <c r="U16" i="59"/>
  <c r="S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6" i="59"/>
  <c r="C15" i="59"/>
  <c r="C3" i="65"/>
  <c r="C1" i="65"/>
  <c r="N1" i="65" s="1"/>
  <c r="T16" i="59"/>
  <c r="D16"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c r="B40" i="50"/>
  <c r="B3" i="63"/>
  <c r="I19" i="46"/>
  <c r="Q20" i="59"/>
  <c r="AB16" i="59" s="1"/>
  <c r="P20" i="59"/>
  <c r="E20" i="59" s="1"/>
  <c r="O20" i="59"/>
  <c r="Y16" i="59" s="1"/>
  <c r="Z16" i="59" s="1"/>
  <c r="N20" i="59"/>
  <c r="B20" i="59" s="1"/>
  <c r="D81" i="59"/>
  <c r="F80" i="59"/>
  <c r="E80" i="59"/>
  <c r="E79" i="59" s="1"/>
  <c r="E78" i="59" s="1"/>
  <c r="C80" i="59"/>
  <c r="D80" i="59"/>
  <c r="B80" i="59"/>
  <c r="F79" i="59"/>
  <c r="F78" i="59" s="1"/>
  <c r="B79" i="59"/>
  <c r="B78" i="59" s="1"/>
  <c r="D77" i="59"/>
  <c r="F76" i="59"/>
  <c r="E76" i="59"/>
  <c r="E75" i="59" s="1"/>
  <c r="E74" i="59" s="1"/>
  <c r="C76" i="59"/>
  <c r="D76" i="59"/>
  <c r="B76" i="59"/>
  <c r="F75" i="59"/>
  <c r="F74" i="59" s="1"/>
  <c r="B75" i="59"/>
  <c r="B74" i="59" s="1"/>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s="1"/>
  <c r="E60" i="59"/>
  <c r="E59" i="59" s="1"/>
  <c r="C60" i="59"/>
  <c r="B60" i="59"/>
  <c r="N60" i="59" s="1"/>
  <c r="F59" i="59"/>
  <c r="F58"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c r="N53" i="59"/>
  <c r="B54" i="59"/>
  <c r="B55" i="59" s="1"/>
  <c r="B56" i="59" s="1"/>
  <c r="S56" i="59" s="1"/>
  <c r="D53" i="59"/>
  <c r="Q52" i="59"/>
  <c r="P52" i="59"/>
  <c r="O52" i="59"/>
  <c r="N52" i="59"/>
  <c r="Q51" i="59"/>
  <c r="P51" i="59"/>
  <c r="O51" i="59"/>
  <c r="N51" i="59"/>
  <c r="Q50" i="59"/>
  <c r="P50" i="59"/>
  <c r="O50" i="59"/>
  <c r="N50" i="59"/>
  <c r="Q49" i="59"/>
  <c r="F50" i="59"/>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E43" i="59" s="1"/>
  <c r="E44" i="59" s="1"/>
  <c r="U44" i="59" s="1"/>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c r="P37" i="59"/>
  <c r="E38" i="59"/>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c r="D34" i="59" s="1"/>
  <c r="N33" i="59"/>
  <c r="B34" i="59"/>
  <c r="B35" i="59" s="1"/>
  <c r="B36" i="59" s="1"/>
  <c r="S36" i="59" s="1"/>
  <c r="D33" i="59"/>
  <c r="Q32" i="59"/>
  <c r="P32" i="59"/>
  <c r="O32" i="59"/>
  <c r="N32" i="59"/>
  <c r="Q31" i="59"/>
  <c r="AB31" i="59"/>
  <c r="P31" i="59"/>
  <c r="O31" i="59"/>
  <c r="Y31" i="59" s="1"/>
  <c r="Z31" i="59" s="1"/>
  <c r="N31" i="59"/>
  <c r="X31" i="59"/>
  <c r="Q30" i="59"/>
  <c r="AB30" i="59" s="1"/>
  <c r="P30" i="59"/>
  <c r="AA30" i="59" s="1"/>
  <c r="O30" i="59"/>
  <c r="Y30" i="59" s="1"/>
  <c r="Z30" i="59" s="1"/>
  <c r="N30" i="59"/>
  <c r="X30" i="59" s="1"/>
  <c r="Q29" i="59"/>
  <c r="AB29" i="59" s="1"/>
  <c r="F30" i="59"/>
  <c r="P29" i="59"/>
  <c r="AA29" i="59" s="1"/>
  <c r="E30" i="59"/>
  <c r="E31" i="59" s="1"/>
  <c r="E32" i="59" s="1"/>
  <c r="O29" i="59"/>
  <c r="C30" i="59" s="1"/>
  <c r="N29" i="59"/>
  <c r="X29" i="59" s="1"/>
  <c r="D29" i="59"/>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N26" i="59"/>
  <c r="X26" i="59" s="1"/>
  <c r="Q25" i="59"/>
  <c r="AB25" i="59" s="1"/>
  <c r="P25" i="59"/>
  <c r="E26" i="59" s="1"/>
  <c r="E27" i="59" s="1"/>
  <c r="E28" i="59" s="1"/>
  <c r="U28" i="59" s="1"/>
  <c r="O25" i="59"/>
  <c r="Y25" i="59" s="1"/>
  <c r="Z25" i="59" s="1"/>
  <c r="C26" i="59"/>
  <c r="C27" i="59" s="1"/>
  <c r="N25" i="59"/>
  <c r="X25" i="59" s="1"/>
  <c r="B26" i="59"/>
  <c r="B27" i="59" s="1"/>
  <c r="B28" i="59" s="1"/>
  <c r="S28" i="59" s="1"/>
  <c r="D25" i="59"/>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O22" i="59"/>
  <c r="Y22" i="59" s="1"/>
  <c r="Z22" i="59" s="1"/>
  <c r="N22" i="59"/>
  <c r="X22" i="59" s="1"/>
  <c r="Q21" i="59"/>
  <c r="AB21" i="59" s="1"/>
  <c r="F22" i="59"/>
  <c r="P21" i="59"/>
  <c r="AA21" i="59" s="1"/>
  <c r="O21" i="59"/>
  <c r="C22" i="59" s="1"/>
  <c r="N21" i="59"/>
  <c r="X21" i="59" s="1"/>
  <c r="D21" i="59"/>
  <c r="X17" i="59"/>
  <c r="X19" i="59"/>
  <c r="AA3" i="59"/>
  <c r="AA18" i="59"/>
  <c r="AA20" i="59"/>
  <c r="AB3" i="59"/>
  <c r="AB18" i="59"/>
  <c r="E22" i="59"/>
  <c r="E23" i="59"/>
  <c r="E24" i="59" s="1"/>
  <c r="U24" i="59" s="1"/>
  <c r="S60" i="59"/>
  <c r="AA31" i="59"/>
  <c r="F23" i="59"/>
  <c r="F24" i="59" s="1"/>
  <c r="V24" i="59" s="1"/>
  <c r="F31" i="59"/>
  <c r="F32" i="59" s="1"/>
  <c r="V32" i="59" s="1"/>
  <c r="F39" i="59"/>
  <c r="F40" i="59" s="1"/>
  <c r="V40" i="59" s="1"/>
  <c r="F51" i="59"/>
  <c r="F52" i="59" s="1"/>
  <c r="V52" i="59" s="1"/>
  <c r="C35" i="59"/>
  <c r="D46" i="59"/>
  <c r="C55" i="59"/>
  <c r="D54" i="59"/>
  <c r="D26"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D79" i="59"/>
  <c r="C78" i="59"/>
  <c r="D78" i="59"/>
  <c r="D71" i="59"/>
  <c r="C70" i="59"/>
  <c r="D70" i="59" s="1"/>
  <c r="D63" i="59"/>
  <c r="C62" i="59"/>
  <c r="D62" i="59"/>
  <c r="C58" i="59"/>
  <c r="O59" i="59"/>
  <c r="D59" i="59"/>
  <c r="D75" i="59"/>
  <c r="C74" i="59"/>
  <c r="D74" i="59"/>
  <c r="D67" i="59"/>
  <c r="C66" i="59"/>
  <c r="D66" i="59" s="1"/>
  <c r="C28" i="59"/>
  <c r="D27" i="59"/>
  <c r="C56" i="59"/>
  <c r="D55" i="59"/>
  <c r="C48" i="59"/>
  <c r="D47" i="59"/>
  <c r="C36" i="59"/>
  <c r="D35" i="59"/>
  <c r="T36" i="59"/>
  <c r="D36" i="59"/>
  <c r="T48" i="59"/>
  <c r="D48" i="59"/>
  <c r="T56" i="59"/>
  <c r="D56" i="59"/>
  <c r="T28" i="59"/>
  <c r="D28" i="59"/>
  <c r="O58" i="59"/>
  <c r="D58" i="59"/>
  <c r="O5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F113" i="46"/>
  <c r="D99" i="46"/>
  <c r="D108" i="46" s="1"/>
  <c r="E99" i="46"/>
  <c r="E108" i="46" s="1"/>
  <c r="F99" i="46"/>
  <c r="F100" i="46" s="1"/>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s="1"/>
  <c r="K55" i="46"/>
  <c r="J55" i="46" s="1"/>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c r="E19" i="4"/>
  <c r="F7" i="1"/>
  <c r="B2" i="52"/>
  <c r="I2" i="46"/>
  <c r="N12" i="46" s="1"/>
  <c r="A7" i="46"/>
  <c r="F41" i="4"/>
  <c r="J52" i="40"/>
  <c r="H61" i="49"/>
  <c r="H39" i="46"/>
  <c r="H38" i="46"/>
  <c r="H37" i="46"/>
  <c r="H36" i="46"/>
  <c r="H35" i="46"/>
  <c r="H34" i="46"/>
  <c r="H33" i="46"/>
  <c r="J20" i="46"/>
  <c r="C18" i="46"/>
  <c r="F15" i="46"/>
  <c r="E15" i="46"/>
  <c r="D15" i="46"/>
  <c r="C15" i="46"/>
  <c r="C10" i="46"/>
  <c r="C11" i="46" s="1"/>
  <c r="C9" i="4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U30" i="36" s="1"/>
  <c r="F30" i="36"/>
  <c r="AA30" i="36" s="1"/>
  <c r="C26" i="35"/>
  <c r="C79" i="35" s="1"/>
  <c r="J31" i="35"/>
  <c r="W31" i="35" s="1"/>
  <c r="H31" i="35"/>
  <c r="F31" i="35"/>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AB8" i="35" s="1"/>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E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F21" i="6" s="1"/>
  <c r="N5" i="3"/>
  <c r="O5" i="3"/>
  <c r="P5" i="3"/>
  <c r="Q5" i="3"/>
  <c r="R5" i="3"/>
  <c r="S5" i="3"/>
  <c r="G23" i="6" s="1"/>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AB8" i="21" s="1"/>
  <c r="H9" i="21"/>
  <c r="AB9" i="21" s="1"/>
  <c r="H10" i="21"/>
  <c r="U10" i="21" s="1"/>
  <c r="H39" i="21"/>
  <c r="AB39" i="21"/>
  <c r="J34" i="21"/>
  <c r="W34" i="21"/>
  <c r="H36" i="21"/>
  <c r="U36" i="21"/>
  <c r="F35" i="21"/>
  <c r="AA35"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S31" i="35"/>
  <c r="F36" i="34"/>
  <c r="S36" i="34" s="1"/>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B36" i="21"/>
  <c r="AC35" i="21"/>
  <c r="C29" i="39"/>
  <c r="C23" i="39"/>
  <c r="U36" i="39"/>
  <c r="S42" i="39"/>
  <c r="H32" i="33"/>
  <c r="AB32" i="33"/>
  <c r="H11" i="21"/>
  <c r="U11" i="21" s="1"/>
  <c r="J11" i="21"/>
  <c r="W11" i="21" s="1"/>
  <c r="F100" i="40"/>
  <c r="F86" i="40"/>
  <c r="G86" i="40" s="1"/>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S22" i="35"/>
  <c r="H29" i="35"/>
  <c r="U29" i="35" s="1"/>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42" i="21"/>
  <c r="W31" i="34"/>
  <c r="S46" i="33"/>
  <c r="U36" i="37"/>
  <c r="AC13" i="36"/>
  <c r="AB45" i="33"/>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s="1"/>
  <c r="U23" i="37"/>
  <c r="AC41" i="34"/>
  <c r="F123" i="33"/>
  <c r="G123" i="33" s="1"/>
  <c r="H123" i="33" s="1"/>
  <c r="I123" i="33" s="1"/>
  <c r="J123" i="33" s="1"/>
  <c r="K123" i="33" s="1"/>
  <c r="L123" i="33" s="1"/>
  <c r="M123" i="33" s="1"/>
  <c r="H42" i="33"/>
  <c r="U42" i="33" s="1"/>
  <c r="J43" i="33"/>
  <c r="AC43" i="33" s="1"/>
  <c r="J23" i="37"/>
  <c r="W23" i="37"/>
  <c r="F17" i="37"/>
  <c r="AA17" i="37" s="1"/>
  <c r="AB43" i="33"/>
  <c r="AC33" i="36"/>
  <c r="AC12" i="35"/>
  <c r="W23" i="35"/>
  <c r="AC23" i="37"/>
  <c r="S27" i="37"/>
  <c r="U39" i="37"/>
  <c r="AC8" i="37"/>
  <c r="AC36" i="34"/>
  <c r="AB8" i="34"/>
  <c r="AC37" i="33"/>
  <c r="AA13" i="33"/>
  <c r="AC45" i="33"/>
  <c r="U19" i="21"/>
  <c r="AA36" i="21"/>
  <c r="S39" i="33"/>
  <c r="F43" i="33"/>
  <c r="AA43" i="33" s="1"/>
  <c r="AA23" i="37"/>
  <c r="S10" i="35"/>
  <c r="AB44" i="33"/>
  <c r="AA9" i="21"/>
  <c r="H19" i="34"/>
  <c r="AB19" i="34"/>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U40" i="39"/>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c r="S26" i="21"/>
  <c r="AB12" i="21"/>
  <c r="H32" i="21"/>
  <c r="U32" i="21" s="1"/>
  <c r="AB26" i="21"/>
  <c r="U26" i="21"/>
  <c r="U39" i="21"/>
  <c r="J32" i="21"/>
  <c r="AC32" i="21" s="1"/>
  <c r="G13" i="3"/>
  <c r="AC5" i="3"/>
  <c r="F17" i="21"/>
  <c r="S17" i="21" s="1"/>
  <c r="H17" i="21"/>
  <c r="AB17" i="21" s="1"/>
  <c r="J17" i="21"/>
  <c r="AC17" i="21" s="1"/>
  <c r="H37" i="21"/>
  <c r="U37" i="21" s="1"/>
  <c r="F40" i="21"/>
  <c r="S40" i="21"/>
  <c r="H40" i="21"/>
  <c r="AB40" i="21"/>
  <c r="E119" i="21"/>
  <c r="F119" i="21"/>
  <c r="G119" i="21" s="1"/>
  <c r="H119" i="2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H32" i="37"/>
  <c r="AB32" i="37" s="1"/>
  <c r="F43" i="39"/>
  <c r="H43" i="39"/>
  <c r="U43" i="39" s="1"/>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S9" i="35"/>
  <c r="J14" i="35"/>
  <c r="AC14" i="35" s="1"/>
  <c r="F14" i="35"/>
  <c r="S14" i="35" s="1"/>
  <c r="H14" i="35"/>
  <c r="U14" i="35" s="1"/>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U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s="1"/>
  <c r="S23" i="39" s="1"/>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W40" i="40"/>
  <c r="F34" i="44"/>
  <c r="F27" i="43"/>
  <c r="F66" i="9"/>
  <c r="P72" i="9" s="1"/>
  <c r="F71" i="9"/>
  <c r="F72" i="9"/>
  <c r="AC14" i="40"/>
  <c r="W35" i="40"/>
  <c r="S33" i="40"/>
  <c r="AB32" i="40"/>
  <c r="AC47" i="39"/>
  <c r="S47" i="39"/>
  <c r="AB25" i="39"/>
  <c r="U37" i="34"/>
  <c r="AB37" i="34"/>
  <c r="AC41" i="40"/>
  <c r="W41" i="40"/>
  <c r="U41" i="40"/>
  <c r="J23" i="40"/>
  <c r="AC23" i="40" s="1"/>
  <c r="G92" i="40"/>
  <c r="F23" i="40"/>
  <c r="S23" i="40"/>
  <c r="AC15" i="40"/>
  <c r="W15" i="40"/>
  <c r="AB16" i="39"/>
  <c r="W14" i="39"/>
  <c r="U23" i="35"/>
  <c r="AB23" i="35"/>
  <c r="H20" i="35"/>
  <c r="AB20" i="35" s="1"/>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U39" i="39"/>
  <c r="J29" i="39"/>
  <c r="AC29" i="39" s="1"/>
  <c r="AB33" i="36"/>
  <c r="AA11" i="36"/>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I66" i="33"/>
  <c r="J10" i="33"/>
  <c r="AC10" i="33"/>
  <c r="U40" i="21"/>
  <c r="U11" i="37"/>
  <c r="AC13" i="40"/>
  <c r="J11" i="34"/>
  <c r="W11" i="34"/>
  <c r="S17" i="34"/>
  <c r="AC36" i="33"/>
  <c r="F25" i="40"/>
  <c r="AA25" i="40" s="1"/>
  <c r="J11" i="33"/>
  <c r="W11" i="33" s="1"/>
  <c r="H33" i="37"/>
  <c r="AB33" i="37" s="1"/>
  <c r="W15" i="34"/>
  <c r="AC15" i="34"/>
  <c r="W23" i="40"/>
  <c r="B11" i="1"/>
  <c r="E11" i="1" s="1"/>
  <c r="K11" i="1"/>
  <c r="M11" i="1" s="1"/>
  <c r="B9" i="1"/>
  <c r="E9" i="1" s="1"/>
  <c r="B7" i="1"/>
  <c r="E7" i="1" s="1"/>
  <c r="C20" i="43"/>
  <c r="F6"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S23" i="35"/>
  <c r="AC10" i="35"/>
  <c r="U9" i="35"/>
  <c r="W13" i="35"/>
  <c r="AC18" i="35"/>
  <c r="W18" i="35"/>
  <c r="U18" i="35"/>
  <c r="AB18" i="35"/>
  <c r="S30" i="35"/>
  <c r="AA35" i="35"/>
  <c r="AB30" i="35"/>
  <c r="S27" i="35"/>
  <c r="S28" i="35"/>
  <c r="J26" i="35"/>
  <c r="AC26" i="35" s="1"/>
  <c r="F26" i="35"/>
  <c r="AA26" i="35" s="1"/>
  <c r="H26" i="35"/>
  <c r="U26" i="35" s="1"/>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S42"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S27" i="39"/>
  <c r="AC38" i="39"/>
  <c r="S14" i="39"/>
  <c r="U11" i="39"/>
  <c r="U41" i="39"/>
  <c r="AB38" i="39"/>
  <c r="U31" i="39"/>
  <c r="AB31" i="39"/>
  <c r="S25" i="39"/>
  <c r="S38" i="39"/>
  <c r="S22" i="31"/>
  <c r="D18" i="9"/>
  <c r="M44" i="9" s="1"/>
  <c r="M43" i="9"/>
  <c r="M20" i="15"/>
  <c r="D96" i="9"/>
  <c r="F28" i="15"/>
  <c r="M18" i="15"/>
  <c r="BA16" i="3"/>
  <c r="BA17" i="3"/>
  <c r="AZ17" i="3" s="1"/>
  <c r="F3" i="35"/>
  <c r="K1" i="43"/>
  <c r="K1" i="12"/>
  <c r="G1" i="44"/>
  <c r="I4" i="6"/>
  <c r="AZ15" i="3"/>
  <c r="BK5" i="3"/>
  <c r="BO5" i="3"/>
  <c r="BP5" i="3"/>
  <c r="BN5" i="3"/>
  <c r="BL18" i="3"/>
  <c r="AZ18" i="3"/>
  <c r="BC5" i="3"/>
  <c r="BD5" i="3"/>
  <c r="BR5" i="3"/>
  <c r="BS5" i="3"/>
  <c r="BQ5" i="3"/>
  <c r="BL16" i="3"/>
  <c r="BL5" i="3" s="1"/>
  <c r="BM5" i="3"/>
  <c r="BA13" i="3"/>
  <c r="G28" i="12"/>
  <c r="G22" i="43"/>
  <c r="G26" i="12"/>
  <c r="D24" i="44"/>
  <c r="D26" i="44"/>
  <c r="G27" i="12"/>
  <c r="G23" i="43"/>
  <c r="G21" i="43"/>
  <c r="N8" i="46"/>
  <c r="N4" i="46"/>
  <c r="N1" i="46"/>
  <c r="F58" i="46" s="1"/>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B45" i="46" s="1"/>
  <c r="C24" i="46" s="1"/>
  <c r="E58" i="46"/>
  <c r="B56" i="46" s="1"/>
  <c r="A4" i="64"/>
  <c r="A4" i="51"/>
  <c r="C51" i="10"/>
  <c r="I100" i="46"/>
  <c r="N100" i="46"/>
  <c r="H100" i="46"/>
  <c r="F108" i="46"/>
  <c r="H80" i="46"/>
  <c r="E100" i="46"/>
  <c r="G100" i="46"/>
  <c r="H84" i="46"/>
  <c r="C100" i="46"/>
  <c r="J100" i="46"/>
  <c r="M100" i="46"/>
  <c r="AA12" i="36"/>
  <c r="U12" i="35"/>
  <c r="AB12" i="35"/>
  <c r="W11" i="35"/>
  <c r="AA11" i="35"/>
  <c r="S14" i="37"/>
  <c r="U13" i="37"/>
  <c r="S13" i="21"/>
  <c r="C24" i="9"/>
  <c r="C25" i="9"/>
  <c r="I20" i="46"/>
  <c r="B6" i="63"/>
  <c r="B46" i="50"/>
  <c r="B4" i="63" s="1"/>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M52" i="37" s="1"/>
  <c r="N52" i="37" s="1"/>
  <c r="O52" i="37" s="1"/>
  <c r="O19" i="46"/>
  <c r="H86" i="46"/>
  <c r="H82" i="46"/>
  <c r="H10" i="48"/>
  <c r="H87" i="46"/>
  <c r="H85" i="46"/>
  <c r="H83" i="46"/>
  <c r="S13" i="1"/>
  <c r="R13" i="1"/>
  <c r="B6" i="1"/>
  <c r="E6" i="1" s="1"/>
  <c r="B10" i="1"/>
  <c r="E10" i="1" s="1"/>
  <c r="B8" i="1"/>
  <c r="E8" i="1" s="1"/>
  <c r="B12" i="1"/>
  <c r="E12" i="1"/>
  <c r="S12" i="1"/>
  <c r="G1" i="15"/>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5" i="6"/>
  <c r="D12" i="11" s="1"/>
  <c r="C12" i="11" s="1"/>
  <c r="AT6" i="3"/>
  <c r="BA5" i="3"/>
  <c r="AZ13" i="3"/>
  <c r="G29" i="6"/>
  <c r="E29" i="6"/>
  <c r="K15" i="1" s="1"/>
  <c r="AZ16" i="3"/>
  <c r="A9" i="64"/>
  <c r="A9" i="51"/>
  <c r="B9" i="63" s="1"/>
  <c r="G66" i="36"/>
  <c r="J18" i="36"/>
  <c r="AE6" i="1"/>
  <c r="W18" i="36"/>
  <c r="AC18" i="36"/>
  <c r="AG6" i="1"/>
  <c r="L20" i="6"/>
  <c r="C45" i="9"/>
  <c r="H14" i="66" s="1"/>
  <c r="B7" i="66" s="1"/>
  <c r="K31" i="9"/>
  <c r="K32" i="9" s="1"/>
  <c r="N76" i="9"/>
  <c r="C46" i="9"/>
  <c r="K33" i="9" s="1"/>
  <c r="O41" i="9"/>
  <c r="R8" i="54" s="1"/>
  <c r="B54" i="63" s="1"/>
  <c r="D70" i="39"/>
  <c r="E70" i="39" s="1"/>
  <c r="C72" i="39"/>
  <c r="D58" i="33"/>
  <c r="E58" i="33" s="1"/>
  <c r="F58" i="33" s="1"/>
  <c r="C67" i="40"/>
  <c r="D65" i="40"/>
  <c r="E65" i="40" s="1"/>
  <c r="J17" i="46"/>
  <c r="C17" i="46"/>
  <c r="F34" i="46"/>
  <c r="F38" i="46"/>
  <c r="F37" i="46"/>
  <c r="H113" i="46"/>
  <c r="D15" i="59"/>
  <c r="C14" i="59"/>
  <c r="D14" i="59"/>
  <c r="U12" i="59"/>
  <c r="F15" i="59"/>
  <c r="F14" i="59" s="1"/>
  <c r="F13" i="59" s="1"/>
  <c r="F12" i="59" s="1"/>
  <c r="Y14" i="59"/>
  <c r="Z14" i="59" s="1"/>
  <c r="AA14" i="59"/>
  <c r="AB14" i="59"/>
  <c r="Y13" i="59"/>
  <c r="Z13" i="59" s="1"/>
  <c r="Y12" i="59"/>
  <c r="Z12" i="59" s="1"/>
  <c r="Z10" i="59"/>
  <c r="Y11" i="59"/>
  <c r="Z11" i="59" s="1"/>
  <c r="AB13" i="59"/>
  <c r="AB12" i="59"/>
  <c r="AB11" i="59"/>
  <c r="AA16" i="59"/>
  <c r="X14" i="59"/>
  <c r="X12" i="59"/>
  <c r="X11" i="59"/>
  <c r="AA12" i="59"/>
  <c r="AA11" i="59"/>
  <c r="H1" i="65"/>
  <c r="X7" i="46"/>
  <c r="E17" i="46"/>
  <c r="N17" i="46"/>
  <c r="O17" i="46"/>
  <c r="M17" i="46"/>
  <c r="L17" i="46"/>
  <c r="G13" i="1"/>
  <c r="D46" i="36"/>
  <c r="H70" i="46"/>
  <c r="H73" i="46"/>
  <c r="F35" i="46"/>
  <c r="I17" i="46"/>
  <c r="D100" i="46"/>
  <c r="AF12" i="46"/>
  <c r="K100" i="46"/>
  <c r="AB12" i="46"/>
  <c r="AJ12" i="46"/>
  <c r="H74" i="46"/>
  <c r="H75" i="46"/>
  <c r="H72" i="46"/>
  <c r="H69" i="46"/>
  <c r="H77" i="46"/>
  <c r="H76" i="46"/>
  <c r="AD12" i="46"/>
  <c r="AH12" i="46"/>
  <c r="C13" i="59"/>
  <c r="C12" i="59" s="1"/>
  <c r="B13" i="59"/>
  <c r="B12" i="59"/>
  <c r="B11" i="59" s="1"/>
  <c r="B10" i="59" s="1"/>
  <c r="B9" i="59" s="1"/>
  <c r="D13" i="59"/>
  <c r="D67" i="40"/>
  <c r="D72" i="39"/>
  <c r="E46" i="36"/>
  <c r="F46" i="36"/>
  <c r="G46" i="36" s="1"/>
  <c r="H46" i="36" s="1"/>
  <c r="M31" i="44"/>
  <c r="M8" i="15"/>
  <c r="L49" i="44"/>
  <c r="F8" i="44"/>
  <c r="F16" i="15"/>
  <c r="N3" i="65"/>
  <c r="F40" i="44"/>
  <c r="F38" i="15"/>
  <c r="F11" i="44"/>
  <c r="B11" i="67"/>
  <c r="N4" i="65"/>
  <c r="F9" i="15"/>
  <c r="F11" i="67"/>
  <c r="J7" i="65"/>
  <c r="M26" i="44"/>
  <c r="F15" i="44"/>
  <c r="J15" i="15"/>
  <c r="N6" i="65"/>
  <c r="M25" i="44"/>
  <c r="M9" i="15"/>
  <c r="L48" i="15"/>
  <c r="M26" i="15"/>
  <c r="F45" i="44"/>
  <c r="M29" i="44"/>
  <c r="F8" i="15"/>
  <c r="F46" i="44"/>
  <c r="M10" i="44"/>
  <c r="M24" i="44"/>
  <c r="N5" i="65"/>
  <c r="E11" i="67"/>
  <c r="M30" i="44"/>
  <c r="F6" i="15"/>
  <c r="F36" i="15"/>
  <c r="I7" i="65"/>
  <c r="L48" i="44"/>
  <c r="F14" i="67"/>
  <c r="I3" i="65"/>
  <c r="B13" i="67"/>
  <c r="B14" i="67"/>
  <c r="J17" i="44"/>
  <c r="J3" i="65"/>
  <c r="M27" i="15"/>
  <c r="F28" i="44"/>
  <c r="F9" i="44"/>
  <c r="L47" i="15"/>
  <c r="F26" i="15"/>
  <c r="M28" i="44"/>
  <c r="F18" i="44"/>
  <c r="F42" i="15"/>
  <c r="E13" i="67"/>
  <c r="F38" i="44"/>
  <c r="E14" i="67"/>
  <c r="F40" i="15"/>
  <c r="I4" i="65"/>
  <c r="B12" i="67"/>
  <c r="C19" i="44"/>
  <c r="N7" i="65"/>
  <c r="M23" i="15"/>
  <c r="F37" i="15"/>
  <c r="J36" i="15"/>
  <c r="F13" i="67"/>
  <c r="E12" i="67"/>
  <c r="M6" i="15"/>
  <c r="F10" i="44"/>
  <c r="I6" i="65"/>
  <c r="J6" i="65"/>
  <c r="J4" i="65"/>
  <c r="F13" i="15"/>
  <c r="J5" i="65"/>
  <c r="F39" i="44"/>
  <c r="M11" i="44"/>
  <c r="M8" i="44"/>
  <c r="B10" i="67"/>
  <c r="M28" i="15"/>
  <c r="F12" i="67"/>
  <c r="F10" i="67"/>
  <c r="E10" i="67"/>
  <c r="F43" i="44"/>
  <c r="M22" i="15"/>
  <c r="M24" i="15"/>
  <c r="AA29" i="35" l="1"/>
  <c r="W26" i="35"/>
  <c r="S26" i="35"/>
  <c r="W20" i="35"/>
  <c r="AA20" i="35"/>
  <c r="U20" i="35"/>
  <c r="AC16" i="35"/>
  <c r="AB16" i="35"/>
  <c r="S16" i="35"/>
  <c r="W14" i="35"/>
  <c r="AA14" i="35"/>
  <c r="AB14" i="35"/>
  <c r="U8" i="35"/>
  <c r="AB26" i="35"/>
  <c r="G12" i="1"/>
  <c r="A11" i="55"/>
  <c r="B62" i="63" s="1"/>
  <c r="AB10" i="21"/>
  <c r="U9" i="21"/>
  <c r="W9" i="21"/>
  <c r="F65" i="40"/>
  <c r="E67" i="40"/>
  <c r="F70" i="39"/>
  <c r="E72" i="39"/>
  <c r="C58" i="21"/>
  <c r="D58" i="21" s="1"/>
  <c r="E58" i="21" s="1"/>
  <c r="C11" i="59"/>
  <c r="T12" i="59"/>
  <c r="D12" i="59"/>
  <c r="F11" i="59"/>
  <c r="F10" i="59" s="1"/>
  <c r="F9" i="59" s="1"/>
  <c r="F8" i="59" s="1"/>
  <c r="V12" i="59"/>
  <c r="I20" i="73"/>
  <c r="AZ484" i="3"/>
  <c r="AC24" i="35"/>
  <c r="W24" i="35"/>
  <c r="S12" i="59"/>
  <c r="K34" i="9"/>
  <c r="O40" i="9"/>
  <c r="R7" i="54" s="1"/>
  <c r="B52" i="63" s="1"/>
  <c r="F30" i="6"/>
  <c r="F47" i="46"/>
  <c r="U25" i="33"/>
  <c r="AB14" i="40"/>
  <c r="F32" i="72"/>
  <c r="F59" i="72" s="1"/>
  <c r="F28" i="72"/>
  <c r="M18" i="72"/>
  <c r="M18" i="71"/>
  <c r="M18" i="70"/>
  <c r="F32" i="71"/>
  <c r="F59" i="71" s="1"/>
  <c r="F28" i="71"/>
  <c r="F32" i="70"/>
  <c r="F59" i="70" s="1"/>
  <c r="F28" i="70"/>
  <c r="H113" i="21"/>
  <c r="F37" i="21"/>
  <c r="J37" i="21"/>
  <c r="AB27" i="33"/>
  <c r="U27" i="33"/>
  <c r="AB27" i="37"/>
  <c r="U27" i="37"/>
  <c r="U12" i="37"/>
  <c r="E23" i="6"/>
  <c r="D38" i="74"/>
  <c r="H38" i="74" s="1"/>
  <c r="E22" i="6"/>
  <c r="H39" i="74"/>
  <c r="E21" i="6"/>
  <c r="D29" i="74"/>
  <c r="D1" i="74" s="1"/>
  <c r="E19" i="6"/>
  <c r="D29" i="73"/>
  <c r="D1" i="73" s="1"/>
  <c r="H5" i="3"/>
  <c r="B87" i="74"/>
  <c r="B87" i="73"/>
  <c r="AZ411" i="3"/>
  <c r="AZ420" i="3"/>
  <c r="AZ432" i="3"/>
  <c r="AZ447" i="3"/>
  <c r="AZ465" i="3"/>
  <c r="AZ387" i="3"/>
  <c r="AZ219" i="3"/>
  <c r="AZ235" i="3"/>
  <c r="AZ251" i="3"/>
  <c r="AZ271" i="3"/>
  <c r="AZ287" i="3"/>
  <c r="U30" i="33"/>
  <c r="AA39" i="37"/>
  <c r="G27" i="6"/>
  <c r="BT5" i="3"/>
  <c r="BI5" i="3"/>
  <c r="E20" i="6"/>
  <c r="W18" i="1"/>
  <c r="D29" i="46"/>
  <c r="D1" i="46" s="1"/>
  <c r="G7" i="21"/>
  <c r="I7" i="21"/>
  <c r="J7" i="21" s="1"/>
  <c r="B69" i="73"/>
  <c r="B69" i="74"/>
  <c r="B47" i="74"/>
  <c r="B47" i="73"/>
  <c r="B58" i="74"/>
  <c r="B58" i="73"/>
  <c r="B48" i="74"/>
  <c r="B59" i="73"/>
  <c r="B48" i="73"/>
  <c r="B59" i="74"/>
  <c r="B70" i="73"/>
  <c r="B70" i="74"/>
  <c r="B76" i="74"/>
  <c r="B66" i="74"/>
  <c r="B76" i="73"/>
  <c r="B55" i="74"/>
  <c r="B66" i="73"/>
  <c r="B55" i="73"/>
  <c r="B73" i="74"/>
  <c r="B64" i="74"/>
  <c r="B73" i="73"/>
  <c r="B53" i="74"/>
  <c r="B64" i="73"/>
  <c r="B53" i="73"/>
  <c r="B51" i="74"/>
  <c r="B62" i="73"/>
  <c r="B51" i="73"/>
  <c r="B72" i="74"/>
  <c r="B62" i="74"/>
  <c r="B72" i="73"/>
  <c r="B80" i="73"/>
  <c r="B80" i="74"/>
  <c r="B81" i="74"/>
  <c r="B81" i="73"/>
  <c r="B87" i="46"/>
  <c r="F34" i="35"/>
  <c r="H34" i="35"/>
  <c r="F25" i="37"/>
  <c r="J25" i="37"/>
  <c r="G540" i="3"/>
  <c r="G516" i="3"/>
  <c r="G504" i="3"/>
  <c r="G496" i="3"/>
  <c r="G5" i="3" s="1"/>
  <c r="B3" i="3" s="1"/>
  <c r="AZ392" i="3"/>
  <c r="AZ397" i="3"/>
  <c r="AZ408" i="3"/>
  <c r="AZ413" i="3"/>
  <c r="AZ424" i="3"/>
  <c r="AZ437" i="3"/>
  <c r="AZ457" i="3"/>
  <c r="AZ470" i="3"/>
  <c r="AZ473" i="3"/>
  <c r="AZ318" i="3"/>
  <c r="AZ334" i="3"/>
  <c r="AZ350" i="3"/>
  <c r="AZ211" i="3"/>
  <c r="AZ227" i="3"/>
  <c r="AZ243" i="3"/>
  <c r="AZ259" i="3"/>
  <c r="AZ279" i="3"/>
  <c r="AZ132" i="3"/>
  <c r="F34" i="15"/>
  <c r="F61" i="15" s="1"/>
  <c r="F34" i="72"/>
  <c r="M20" i="72"/>
  <c r="M20" i="70"/>
  <c r="F34" i="71"/>
  <c r="M20" i="71"/>
  <c r="F34" i="70"/>
  <c r="G41" i="74"/>
  <c r="G41" i="73"/>
  <c r="G41" i="46"/>
  <c r="D1" i="57"/>
  <c r="E10" i="57" s="1"/>
  <c r="I21" i="57"/>
  <c r="I20" i="74"/>
  <c r="AZ149" i="3"/>
  <c r="AZ160" i="3"/>
  <c r="AZ163" i="3"/>
  <c r="AZ176" i="3"/>
  <c r="AZ182" i="3"/>
  <c r="AZ190" i="3"/>
  <c r="AZ198" i="3"/>
  <c r="AZ204" i="3"/>
  <c r="AZ26" i="3"/>
  <c r="AZ5" i="3" s="1"/>
  <c r="AZ29" i="3"/>
  <c r="AZ36" i="3"/>
  <c r="AZ42" i="3"/>
  <c r="AZ45" i="3"/>
  <c r="AZ52" i="3"/>
  <c r="AZ58" i="3"/>
  <c r="AZ61" i="3"/>
  <c r="AZ67" i="3"/>
  <c r="AZ73" i="3"/>
  <c r="AZ76" i="3"/>
  <c r="AZ83" i="3"/>
  <c r="AZ87" i="3"/>
  <c r="AZ93" i="3"/>
  <c r="AZ96" i="3"/>
  <c r="AZ103" i="3"/>
  <c r="AZ109" i="3"/>
  <c r="B84" i="74"/>
  <c r="B84" i="73"/>
  <c r="G1" i="72"/>
  <c r="G1" i="71"/>
  <c r="G1" i="70"/>
  <c r="G19" i="73"/>
  <c r="G19" i="74"/>
  <c r="J51" i="72"/>
  <c r="J51" i="71"/>
  <c r="J51" i="70"/>
  <c r="B54" i="46"/>
  <c r="C27" i="40"/>
  <c r="S27" i="40"/>
  <c r="S21" i="34"/>
  <c r="S18" i="35"/>
  <c r="D22" i="59"/>
  <c r="C23" i="59"/>
  <c r="M19" i="73"/>
  <c r="U32" i="59"/>
  <c r="C43" i="59"/>
  <c r="D42" i="59"/>
  <c r="Q58" i="59"/>
  <c r="Q57" i="59"/>
  <c r="N4" i="63"/>
  <c r="B21" i="63"/>
  <c r="B84" i="46"/>
  <c r="K13" i="1"/>
  <c r="M13" i="1" s="1"/>
  <c r="O13" i="1" s="1"/>
  <c r="P13" i="1" s="1"/>
  <c r="C42" i="1"/>
  <c r="B54" i="74"/>
  <c r="B65" i="73"/>
  <c r="B54" i="73"/>
  <c r="B74" i="74"/>
  <c r="B65" i="74"/>
  <c r="B74" i="73"/>
  <c r="B85" i="73"/>
  <c r="B85" i="74"/>
  <c r="D30" i="59"/>
  <c r="C31" i="59"/>
  <c r="C39" i="59"/>
  <c r="D39" i="59" s="1"/>
  <c r="D38" i="59"/>
  <c r="C51" i="59"/>
  <c r="D50" i="59"/>
  <c r="E58" i="59"/>
  <c r="P59" i="59"/>
  <c r="S20" i="59"/>
  <c r="B19" i="59"/>
  <c r="B18" i="59" s="1"/>
  <c r="U20" i="59"/>
  <c r="E19" i="59"/>
  <c r="E18" i="59" s="1"/>
  <c r="A28" i="64"/>
  <c r="Y29" i="59"/>
  <c r="Z29" i="59" s="1"/>
  <c r="AA25" i="59"/>
  <c r="Y21" i="59"/>
  <c r="Z21" i="59" s="1"/>
  <c r="F20" i="59"/>
  <c r="J51" i="15"/>
  <c r="J57" i="15" s="1"/>
  <c r="J55" i="15" s="1"/>
  <c r="J58" i="15" s="1"/>
  <c r="Q51" i="15" s="1"/>
  <c r="AB7" i="59"/>
  <c r="X5" i="59"/>
  <c r="AB5" i="59"/>
  <c r="Y5" i="59"/>
  <c r="Z5" i="59" s="1"/>
  <c r="AB19" i="59"/>
  <c r="AB17" i="59"/>
  <c r="AB20" i="59"/>
  <c r="Y20" i="59"/>
  <c r="Z20" i="59" s="1"/>
  <c r="Y19" i="59"/>
  <c r="Z19" i="59" s="1"/>
  <c r="Y18" i="59"/>
  <c r="Z18" i="59" s="1"/>
  <c r="Y17" i="59"/>
  <c r="Z17" i="59" s="1"/>
  <c r="AA19" i="59"/>
  <c r="AA17" i="59"/>
  <c r="X20" i="59"/>
  <c r="X18" i="59"/>
  <c r="X3" i="59"/>
  <c r="B22" i="59"/>
  <c r="B23" i="59" s="1"/>
  <c r="B24" i="59" s="1"/>
  <c r="S24" i="59" s="1"/>
  <c r="F26" i="59"/>
  <c r="F27" i="59" s="1"/>
  <c r="F28" i="59" s="1"/>
  <c r="V28" i="59" s="1"/>
  <c r="B30" i="59"/>
  <c r="B31" i="59" s="1"/>
  <c r="B32" i="59" s="1"/>
  <c r="S32" i="59" s="1"/>
  <c r="B59" i="59"/>
  <c r="C20" i="59"/>
  <c r="E17" i="74"/>
  <c r="C16" i="74" s="1"/>
  <c r="E17" i="73"/>
  <c r="C16" i="73" s="1"/>
  <c r="AA7" i="59"/>
  <c r="X8" i="59"/>
  <c r="AA6" i="59"/>
  <c r="AB6" i="59"/>
  <c r="AB15" i="39"/>
  <c r="S15" i="39"/>
  <c r="W15" i="39"/>
  <c r="AB29" i="39"/>
  <c r="S29" i="39"/>
  <c r="W29" i="39"/>
  <c r="U27" i="39"/>
  <c r="W27" i="39"/>
  <c r="W23" i="39"/>
  <c r="U23" i="39"/>
  <c r="AA23" i="39"/>
  <c r="F21" i="39"/>
  <c r="S21" i="39" s="1"/>
  <c r="J21" i="39"/>
  <c r="F95" i="39"/>
  <c r="G95" i="39" s="1"/>
  <c r="H21" i="39"/>
  <c r="AA21" i="39"/>
  <c r="F19" i="39"/>
  <c r="S19" i="39" s="1"/>
  <c r="J19" i="39"/>
  <c r="W19" i="39" s="1"/>
  <c r="F93" i="39"/>
  <c r="G93" i="39" s="1"/>
  <c r="H19" i="39"/>
  <c r="AB19" i="39" s="1"/>
  <c r="AC19" i="39"/>
  <c r="U19" i="39"/>
  <c r="AA19" i="39"/>
  <c r="H17" i="39"/>
  <c r="U17" i="39" s="1"/>
  <c r="F91" i="39"/>
  <c r="G91" i="39" s="1"/>
  <c r="F17" i="39"/>
  <c r="AA17" i="39" s="1"/>
  <c r="J17" i="39"/>
  <c r="W17" i="39" s="1"/>
  <c r="S17" i="39"/>
  <c r="AC17" i="39"/>
  <c r="AB17" i="39"/>
  <c r="F83" i="39"/>
  <c r="G83" i="39" s="1"/>
  <c r="H83" i="39" s="1"/>
  <c r="I83" i="39" s="1"/>
  <c r="J83" i="39" s="1"/>
  <c r="K83" i="39" s="1"/>
  <c r="L83" i="39" s="1"/>
  <c r="M83" i="39" s="1"/>
  <c r="E20" i="74"/>
  <c r="E20" i="73"/>
  <c r="A30" i="64"/>
  <c r="A30" i="51"/>
  <c r="B22" i="63" s="1"/>
  <c r="AB37" i="21"/>
  <c r="W8" i="21"/>
  <c r="E468" i="3"/>
  <c r="E70" i="3"/>
  <c r="E109" i="3"/>
  <c r="E38" i="3"/>
  <c r="E185" i="3"/>
  <c r="E151" i="3"/>
  <c r="E148" i="3"/>
  <c r="E313" i="3"/>
  <c r="E27" i="3"/>
  <c r="E53" i="3"/>
  <c r="E412" i="3"/>
  <c r="E405" i="3"/>
  <c r="E469"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110" i="3"/>
  <c r="E63" i="3"/>
  <c r="E174" i="3"/>
  <c r="E129" i="3"/>
  <c r="E98" i="3"/>
  <c r="E422"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06" i="3"/>
  <c r="E339" i="3"/>
  <c r="E210" i="3"/>
  <c r="E153" i="3"/>
  <c r="E90" i="3"/>
  <c r="E432" i="3"/>
  <c r="E307" i="3"/>
  <c r="E260" i="3"/>
  <c r="E177" i="3"/>
  <c r="E436" i="3"/>
  <c r="E217" i="3"/>
  <c r="E173" i="3"/>
  <c r="E403" i="3"/>
  <c r="E558" i="3"/>
  <c r="E538" i="3"/>
  <c r="E499" i="3"/>
  <c r="E530" i="3"/>
  <c r="E355" i="3"/>
  <c r="E379" i="3"/>
  <c r="E555" i="3"/>
  <c r="E300" i="3"/>
  <c r="E191" i="3"/>
  <c r="E529" i="3"/>
  <c r="E120" i="3"/>
  <c r="E229" i="3"/>
  <c r="E235" i="3"/>
  <c r="E162" i="3"/>
  <c r="AQ6" i="3"/>
  <c r="E453" i="3"/>
  <c r="E517" i="3"/>
  <c r="E220" i="3"/>
  <c r="E480" i="3"/>
  <c r="E88" i="3"/>
  <c r="E393" i="3"/>
  <c r="E288" i="3"/>
  <c r="E107" i="3"/>
  <c r="E39" i="3"/>
  <c r="E233" i="3"/>
  <c r="E420" i="3"/>
  <c r="E190" i="3"/>
  <c r="W6" i="3"/>
  <c r="E473" i="3"/>
  <c r="E184" i="3"/>
  <c r="E47" i="3"/>
  <c r="E8" i="6"/>
  <c r="E58" i="39" s="1"/>
  <c r="K6" i="1"/>
  <c r="M6" i="1" s="1"/>
  <c r="E32" i="6"/>
  <c r="L19" i="6" s="1"/>
  <c r="L27" i="6" s="1"/>
  <c r="G17" i="46"/>
  <c r="C16" i="46" s="1"/>
  <c r="D5" i="46" s="1"/>
  <c r="E10" i="46"/>
  <c r="E11" i="46"/>
  <c r="E9" i="46"/>
  <c r="E8" i="46"/>
  <c r="H61" i="46"/>
  <c r="H58" i="46"/>
  <c r="H63" i="46"/>
  <c r="H66" i="46"/>
  <c r="H59" i="46"/>
  <c r="H65" i="46"/>
  <c r="H64" i="46"/>
  <c r="H62" i="46"/>
  <c r="H60" i="46"/>
  <c r="D23" i="15"/>
  <c r="G28" i="6"/>
  <c r="E53" i="40"/>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15" i="6"/>
  <c r="E67" i="39" s="1"/>
  <c r="E12" i="6"/>
  <c r="E64" i="39" s="1"/>
  <c r="E11" i="6"/>
  <c r="E63" i="39" s="1"/>
  <c r="E14" i="6"/>
  <c r="E13" i="6"/>
  <c r="E10" i="6"/>
  <c r="G30" i="6"/>
  <c r="G31" i="6" s="1"/>
  <c r="E28" i="6"/>
  <c r="O11" i="1"/>
  <c r="P11" i="1" s="1"/>
  <c r="O12" i="1"/>
  <c r="P12" i="1" s="1"/>
  <c r="D21" i="12"/>
  <c r="C21" i="12" s="1"/>
  <c r="A18" i="64"/>
  <c r="B74" i="63" s="1"/>
  <c r="C53" i="10"/>
  <c r="A25" i="64" s="1"/>
  <c r="L5" i="54"/>
  <c r="B39" i="63" s="1"/>
  <c r="T41" i="4"/>
  <c r="A17" i="64" s="1"/>
  <c r="A18" i="51"/>
  <c r="B14" i="63" s="1"/>
  <c r="K5" i="54"/>
  <c r="B38" i="63" s="1"/>
  <c r="A3" i="55"/>
  <c r="B56" i="63" s="1"/>
  <c r="N16" i="4"/>
  <c r="L16" i="4"/>
  <c r="K17" i="4" s="1"/>
  <c r="A22" i="51" s="1"/>
  <c r="B16" i="63" s="1"/>
  <c r="I14" i="66"/>
  <c r="B8" i="66" s="1"/>
  <c r="F7" i="37"/>
  <c r="J7" i="37"/>
  <c r="H7" i="37"/>
  <c r="M48" i="35"/>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5"/>
  <c r="J7" i="33"/>
  <c r="K77" i="9"/>
  <c r="K79" i="9" s="1"/>
  <c r="K81" i="9" s="1"/>
  <c r="E12" i="52"/>
  <c r="B15" i="52"/>
  <c r="F31" i="15"/>
  <c r="F33" i="44"/>
  <c r="E8" i="59"/>
  <c r="B8" i="59"/>
  <c r="X7" i="59"/>
  <c r="Y7" i="59"/>
  <c r="Z7" i="59" s="1"/>
  <c r="B4" i="52"/>
  <c r="B7" i="52"/>
  <c r="E14" i="52"/>
  <c r="E6" i="52"/>
  <c r="E11" i="52"/>
  <c r="E4" i="4" s="1"/>
  <c r="B21" i="55" s="1"/>
  <c r="E9" i="52"/>
  <c r="E7" i="52"/>
  <c r="B9" i="52"/>
  <c r="E4" i="52"/>
  <c r="E13" i="52"/>
  <c r="B8" i="52"/>
  <c r="E10" i="52"/>
  <c r="B10" i="52"/>
  <c r="B6" i="52"/>
  <c r="B5" i="52"/>
  <c r="B11" i="52"/>
  <c r="B12" i="52"/>
  <c r="E8" i="52"/>
  <c r="C4" i="4" s="1"/>
  <c r="B20" i="55" s="1"/>
  <c r="B14" i="52"/>
  <c r="E5" i="52"/>
  <c r="Y3" i="59"/>
  <c r="Z3" i="59" s="1"/>
  <c r="AB8" i="59"/>
  <c r="AA8" i="59"/>
  <c r="Y8" i="59"/>
  <c r="Z8" i="59" s="1"/>
  <c r="P22" i="46"/>
  <c r="P24" i="46"/>
  <c r="B68" i="40" s="1"/>
  <c r="P23" i="46"/>
  <c r="P25" i="46"/>
  <c r="P21" i="46"/>
  <c r="E20" i="46"/>
  <c r="Q73" i="44"/>
  <c r="F65" i="15"/>
  <c r="C29" i="44"/>
  <c r="C8" i="44"/>
  <c r="J1" i="65"/>
  <c r="F67" i="15"/>
  <c r="F50" i="15"/>
  <c r="C27" i="15"/>
  <c r="F64" i="15"/>
  <c r="I1" i="65"/>
  <c r="M9" i="44"/>
  <c r="J8" i="44" s="1"/>
  <c r="L59" i="15"/>
  <c r="L58" i="15"/>
  <c r="L60" i="44"/>
  <c r="L59" i="44"/>
  <c r="J53" i="15"/>
  <c r="I54" i="15"/>
  <c r="I55" i="44"/>
  <c r="J54" i="44"/>
  <c r="L57" i="44"/>
  <c r="J58" i="44"/>
  <c r="J56" i="44" s="1"/>
  <c r="J59" i="44" s="1"/>
  <c r="Q52" i="44" s="1"/>
  <c r="J60" i="44"/>
  <c r="J61" i="44"/>
  <c r="Q50" i="44" s="1"/>
  <c r="Q72" i="15"/>
  <c r="F63" i="15"/>
  <c r="C4" i="65"/>
  <c r="B39" i="1" s="1"/>
  <c r="E3" i="65"/>
  <c r="C18" i="44"/>
  <c r="I5" i="65"/>
  <c r="E2" i="65"/>
  <c r="B72" i="63" l="1"/>
  <c r="B70" i="63"/>
  <c r="L56" i="15"/>
  <c r="F7" i="21"/>
  <c r="H7" i="21"/>
  <c r="F7" i="33"/>
  <c r="G70" i="39"/>
  <c r="F72" i="39"/>
  <c r="G65" i="40"/>
  <c r="F67" i="40"/>
  <c r="AY6" i="3"/>
  <c r="E3" i="6"/>
  <c r="D46" i="9" s="1"/>
  <c r="B73" i="39"/>
  <c r="E7" i="59"/>
  <c r="E6" i="59" s="1"/>
  <c r="E5" i="59" s="1"/>
  <c r="U8" i="59"/>
  <c r="A17" i="51"/>
  <c r="B13" i="63" s="1"/>
  <c r="D5" i="73"/>
  <c r="C5" i="73"/>
  <c r="D20" i="59"/>
  <c r="T20" i="59"/>
  <c r="C19" i="59"/>
  <c r="F19" i="59"/>
  <c r="F18" i="59" s="1"/>
  <c r="V20" i="59"/>
  <c r="P58" i="59"/>
  <c r="P57" i="59"/>
  <c r="D51" i="59"/>
  <c r="C52" i="59"/>
  <c r="C24" i="59"/>
  <c r="D23" i="59"/>
  <c r="P24" i="74"/>
  <c r="P21" i="74"/>
  <c r="O19" i="74"/>
  <c r="C19" i="74"/>
  <c r="P25" i="74"/>
  <c r="P22" i="74"/>
  <c r="P23" i="74"/>
  <c r="F61" i="70"/>
  <c r="F61" i="71"/>
  <c r="E504" i="3"/>
  <c r="S25" i="37"/>
  <c r="AA25" i="37"/>
  <c r="AA34" i="35"/>
  <c r="S34" i="35"/>
  <c r="K7" i="1"/>
  <c r="D9" i="12"/>
  <c r="S37" i="21"/>
  <c r="AA37" i="21"/>
  <c r="C28" i="70"/>
  <c r="C28" i="71"/>
  <c r="F7" i="59"/>
  <c r="F6" i="59" s="1"/>
  <c r="F5" i="59" s="1"/>
  <c r="V8" i="59"/>
  <c r="B7" i="59"/>
  <c r="B6" i="59" s="1"/>
  <c r="B5" i="59" s="1"/>
  <c r="S8" i="59"/>
  <c r="C5" i="74"/>
  <c r="D5" i="74"/>
  <c r="B58" i="59"/>
  <c r="N59" i="59"/>
  <c r="C32" i="59"/>
  <c r="D31" i="59"/>
  <c r="C30" i="44"/>
  <c r="C27" i="43"/>
  <c r="C28" i="15"/>
  <c r="C25" i="12"/>
  <c r="C31" i="43"/>
  <c r="C44" i="59"/>
  <c r="D43" i="59"/>
  <c r="P24" i="73"/>
  <c r="P21" i="73"/>
  <c r="O19" i="73"/>
  <c r="C19" i="73"/>
  <c r="P25" i="73"/>
  <c r="P23" i="73"/>
  <c r="P22" i="73"/>
  <c r="C95" i="9"/>
  <c r="C92" i="9" s="1"/>
  <c r="F61" i="72"/>
  <c r="E462" i="3"/>
  <c r="E482" i="3"/>
  <c r="E293" i="3"/>
  <c r="E111" i="3"/>
  <c r="E402" i="3"/>
  <c r="E255" i="3"/>
  <c r="E145" i="3"/>
  <c r="E347" i="3"/>
  <c r="E58" i="3"/>
  <c r="E285" i="3"/>
  <c r="E433"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O6" i="3"/>
  <c r="E475" i="3"/>
  <c r="E421" i="3"/>
  <c r="E206" i="3"/>
  <c r="E132" i="3"/>
  <c r="E333" i="3"/>
  <c r="E91" i="3"/>
  <c r="E115" i="3"/>
  <c r="E359" i="3"/>
  <c r="E195" i="3"/>
  <c r="E391" i="3"/>
  <c r="E321" i="3"/>
  <c r="E186" i="3"/>
  <c r="E124" i="3"/>
  <c r="E311" i="3"/>
  <c r="E222" i="3"/>
  <c r="E263" i="3"/>
  <c r="E388" i="3"/>
  <c r="E424" i="3"/>
  <c r="E430" i="3"/>
  <c r="E82" i="3"/>
  <c r="E146" i="3"/>
  <c r="E164" i="3"/>
  <c r="E77" i="3"/>
  <c r="E99" i="3"/>
  <c r="E434" i="3"/>
  <c r="E262" i="3"/>
  <c r="E552" i="3"/>
  <c r="E101" i="3"/>
  <c r="E57" i="3"/>
  <c r="E545" i="3"/>
  <c r="N6" i="3"/>
  <c r="E560" i="3"/>
  <c r="E261" i="3"/>
  <c r="E203" i="3"/>
  <c r="E172" i="3"/>
  <c r="E417" i="3"/>
  <c r="E279" i="3"/>
  <c r="E400" i="3"/>
  <c r="E197" i="3"/>
  <c r="E61" i="3"/>
  <c r="E386" i="3"/>
  <c r="E287" i="3"/>
  <c r="E188" i="3"/>
  <c r="E306" i="3"/>
  <c r="E180" i="3"/>
  <c r="E551" i="3"/>
  <c r="E246" i="3"/>
  <c r="E16" i="3"/>
  <c r="E385" i="3"/>
  <c r="E95" i="3"/>
  <c r="E498" i="3"/>
  <c r="E298"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413" i="3"/>
  <c r="M6" i="3"/>
  <c r="E241" i="3"/>
  <c r="E69" i="3"/>
  <c r="E446" i="3"/>
  <c r="E152" i="3"/>
  <c r="E437" i="3"/>
  <c r="E46" i="3"/>
  <c r="E221" i="3"/>
  <c r="E457" i="3"/>
  <c r="E31" i="3"/>
  <c r="X6" i="3"/>
  <c r="AA6" i="3"/>
  <c r="E127" i="3"/>
  <c r="AD6" i="3"/>
  <c r="E266" i="3"/>
  <c r="E299" i="3"/>
  <c r="E215" i="3"/>
  <c r="E327" i="3"/>
  <c r="I6" i="3"/>
  <c r="H6" i="3" s="1"/>
  <c r="E103" i="3"/>
  <c r="E548" i="3"/>
  <c r="E200" i="3"/>
  <c r="Z6" i="3"/>
  <c r="E62" i="3"/>
  <c r="E454" i="3"/>
  <c r="E389" i="3"/>
  <c r="E520" i="3"/>
  <c r="E230" i="3"/>
  <c r="AK6" i="3"/>
  <c r="E143" i="3"/>
  <c r="E516" i="3"/>
  <c r="W25" i="37"/>
  <c r="AC25" i="37"/>
  <c r="U34" i="35"/>
  <c r="AB34" i="35"/>
  <c r="W20" i="1"/>
  <c r="V20" i="1"/>
  <c r="U7" i="1" s="1"/>
  <c r="C9" i="12"/>
  <c r="C33" i="21" s="1"/>
  <c r="D3" i="21"/>
  <c r="K8" i="1"/>
  <c r="E9" i="12"/>
  <c r="K9" i="1"/>
  <c r="M9" i="1" s="1"/>
  <c r="O9" i="1" s="1"/>
  <c r="P9" i="1" s="1"/>
  <c r="F9" i="12"/>
  <c r="K10" i="1"/>
  <c r="M10" i="1" s="1"/>
  <c r="O10" i="1" s="1"/>
  <c r="P10" i="1" s="1"/>
  <c r="G9" i="12"/>
  <c r="W37" i="21"/>
  <c r="AC37" i="21"/>
  <c r="C28" i="72"/>
  <c r="H53" i="46"/>
  <c r="H51" i="46"/>
  <c r="H50" i="46"/>
  <c r="H54" i="46"/>
  <c r="H47" i="46"/>
  <c r="H55" i="46"/>
  <c r="H52" i="46"/>
  <c r="H49" i="46"/>
  <c r="H48" i="46"/>
  <c r="C10" i="59"/>
  <c r="D11" i="59"/>
  <c r="AB21" i="39"/>
  <c r="U21" i="39"/>
  <c r="W21" i="39"/>
  <c r="AC21" i="39"/>
  <c r="O28" i="74"/>
  <c r="M28" i="74"/>
  <c r="N28" i="74"/>
  <c r="G20" i="74" s="1"/>
  <c r="H8" i="1" s="1"/>
  <c r="H10" i="1" s="1"/>
  <c r="P28" i="74"/>
  <c r="O28" i="73"/>
  <c r="M28" i="73"/>
  <c r="P28" i="73"/>
  <c r="N28" i="73"/>
  <c r="M11" i="72"/>
  <c r="J10" i="72" s="1"/>
  <c r="F11" i="72"/>
  <c r="M11" i="71"/>
  <c r="J10" i="71" s="1"/>
  <c r="F11" i="71"/>
  <c r="M11" i="70"/>
  <c r="J10" i="70" s="1"/>
  <c r="F11" i="70"/>
  <c r="E59" i="40"/>
  <c r="F27" i="6"/>
  <c r="F31" i="6" s="1"/>
  <c r="Q16" i="1"/>
  <c r="F33" i="12" s="1"/>
  <c r="C34" i="12" s="1"/>
  <c r="D33" i="12" s="1"/>
  <c r="O6" i="1"/>
  <c r="P6" i="1" s="1"/>
  <c r="C15" i="12" s="1"/>
  <c r="C15" i="43"/>
  <c r="C7" i="46"/>
  <c r="C5" i="46" s="1"/>
  <c r="AC6" i="3"/>
  <c r="E27" i="6"/>
  <c r="K19" i="6" s="1"/>
  <c r="S6" i="1" s="1"/>
  <c r="E62" i="40"/>
  <c r="E58" i="40"/>
  <c r="K14" i="1"/>
  <c r="K22" i="6"/>
  <c r="E30" i="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69" i="3"/>
  <c r="AY26" i="3"/>
  <c r="AY529" i="3"/>
  <c r="AY53" i="3"/>
  <c r="AY98" i="3"/>
  <c r="AY217" i="3"/>
  <c r="AY383" i="3"/>
  <c r="AY427" i="3"/>
  <c r="AY170" i="3"/>
  <c r="AY214" i="3"/>
  <c r="AY476" i="3"/>
  <c r="AY116" i="3"/>
  <c r="AY366" i="3"/>
  <c r="AY548" i="3"/>
  <c r="AY256" i="3"/>
  <c r="AY81" i="3"/>
  <c r="AY342" i="3"/>
  <c r="AY279"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549" i="3"/>
  <c r="AY88" i="3"/>
  <c r="AY129" i="3"/>
  <c r="AY104" i="3"/>
  <c r="AY74" i="3"/>
  <c r="AY106" i="3"/>
  <c r="AY291" i="3"/>
  <c r="AY361" i="3"/>
  <c r="AY422" i="3"/>
  <c r="AY146" i="3"/>
  <c r="AY324" i="3"/>
  <c r="AY39" i="3"/>
  <c r="AY258" i="3"/>
  <c r="AY315" i="3"/>
  <c r="AY168" i="3"/>
  <c r="AY464" i="3"/>
  <c r="AY295" i="3"/>
  <c r="AY194"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E16" i="6"/>
  <c r="E61" i="40"/>
  <c r="E66" i="39"/>
  <c r="D16" i="43"/>
  <c r="C16" i="43" s="1"/>
  <c r="E6" i="6"/>
  <c r="C21" i="4"/>
  <c r="O5" i="54" s="1"/>
  <c r="B45" i="63" s="1"/>
  <c r="D16" i="12"/>
  <c r="L38" i="9"/>
  <c r="B14" i="66" s="1"/>
  <c r="B1" i="66" s="1"/>
  <c r="C7" i="66" s="1"/>
  <c r="D45" i="9"/>
  <c r="E60" i="40"/>
  <c r="E65" i="39"/>
  <c r="A25" i="51"/>
  <c r="B18" i="63" s="1"/>
  <c r="C8" i="66"/>
  <c r="AC7" i="33"/>
  <c r="V48" i="33" s="1"/>
  <c r="I48" i="33" s="1"/>
  <c r="W7" i="33"/>
  <c r="J7" i="34"/>
  <c r="F7" i="34"/>
  <c r="AA7" i="21"/>
  <c r="S7" i="21"/>
  <c r="H7" i="33"/>
  <c r="J46" i="36"/>
  <c r="F7" i="35"/>
  <c r="H7" i="35"/>
  <c r="AC7" i="37"/>
  <c r="V42" i="37" s="1"/>
  <c r="I42" i="37" s="1"/>
  <c r="W7" i="37"/>
  <c r="AC7" i="21"/>
  <c r="W7" i="21"/>
  <c r="AC7" i="35"/>
  <c r="V38" i="35" s="1"/>
  <c r="I38" i="35" s="1"/>
  <c r="W7" i="35"/>
  <c r="H7" i="34"/>
  <c r="AB7" i="21"/>
  <c r="U7" i="21"/>
  <c r="AA7" i="33"/>
  <c r="R48" i="33" s="1"/>
  <c r="S7" i="33"/>
  <c r="U7" i="37"/>
  <c r="AB7" i="37"/>
  <c r="T42" i="37" s="1"/>
  <c r="G42" i="37" s="1"/>
  <c r="AA7" i="37"/>
  <c r="R42" i="37" s="1"/>
  <c r="S7" i="37"/>
  <c r="M19" i="44"/>
  <c r="C19" i="46"/>
  <c r="B40" i="1"/>
  <c r="F24" i="72" s="1"/>
  <c r="F17" i="1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M22" i="70"/>
  <c r="M23" i="70"/>
  <c r="M29" i="70"/>
  <c r="F38" i="70"/>
  <c r="F37" i="70"/>
  <c r="F42" i="70"/>
  <c r="F7" i="72"/>
  <c r="F8" i="72"/>
  <c r="J36" i="72"/>
  <c r="F6" i="72"/>
  <c r="M9" i="72"/>
  <c r="F16" i="72"/>
  <c r="L48" i="72"/>
  <c r="L47" i="71"/>
  <c r="M24" i="71"/>
  <c r="M9" i="71"/>
  <c r="M27" i="71"/>
  <c r="F42" i="71"/>
  <c r="F40" i="71"/>
  <c r="F43" i="15"/>
  <c r="M29" i="15"/>
  <c r="F7" i="70"/>
  <c r="J15" i="70"/>
  <c r="F43" i="70"/>
  <c r="F26" i="70"/>
  <c r="L48" i="70"/>
  <c r="M27" i="70"/>
  <c r="F6" i="70"/>
  <c r="M24" i="72"/>
  <c r="F9" i="72"/>
  <c r="M6" i="72"/>
  <c r="M27" i="72"/>
  <c r="M8" i="72"/>
  <c r="F13" i="72"/>
  <c r="F36" i="72"/>
  <c r="F8" i="71"/>
  <c r="F36" i="71"/>
  <c r="M29" i="71"/>
  <c r="M8" i="71"/>
  <c r="M23" i="71"/>
  <c r="F43" i="71"/>
  <c r="F16" i="71"/>
  <c r="F8" i="70"/>
  <c r="F9" i="70"/>
  <c r="J36" i="70"/>
  <c r="M28" i="70"/>
  <c r="M8" i="70"/>
  <c r="M26" i="70"/>
  <c r="F40" i="70"/>
  <c r="L47" i="72"/>
  <c r="F37" i="72"/>
  <c r="M26" i="72"/>
  <c r="F42" i="72"/>
  <c r="F38" i="72"/>
  <c r="M23" i="72"/>
  <c r="F9" i="71"/>
  <c r="M22" i="71"/>
  <c r="J15" i="71"/>
  <c r="F13" i="71"/>
  <c r="F26" i="71"/>
  <c r="L48" i="71"/>
  <c r="M26" i="71"/>
  <c r="F7" i="15"/>
  <c r="L47" i="70"/>
  <c r="M24" i="70"/>
  <c r="M6" i="70"/>
  <c r="M9" i="70"/>
  <c r="F36" i="70"/>
  <c r="F13" i="70"/>
  <c r="F16" i="70"/>
  <c r="M28" i="72"/>
  <c r="M22" i="72"/>
  <c r="J15" i="72"/>
  <c r="F43" i="72"/>
  <c r="F40" i="72"/>
  <c r="F26" i="72"/>
  <c r="M29" i="72"/>
  <c r="M28" i="71"/>
  <c r="F7" i="71"/>
  <c r="J36" i="71"/>
  <c r="F38" i="71"/>
  <c r="M6" i="71"/>
  <c r="F6" i="71"/>
  <c r="F37" i="71"/>
  <c r="AE8" i="1"/>
  <c r="H9" i="1" l="1"/>
  <c r="G10" i="1" s="1"/>
  <c r="H11" i="1"/>
  <c r="AP10" i="1"/>
  <c r="G8" i="1"/>
  <c r="AP8" i="1"/>
  <c r="H33" i="21"/>
  <c r="J33" i="21"/>
  <c r="F33" i="21"/>
  <c r="G67" i="40"/>
  <c r="H65" i="40"/>
  <c r="G72" i="39"/>
  <c r="H70" i="39"/>
  <c r="F64" i="71"/>
  <c r="F70" i="71"/>
  <c r="C6" i="71"/>
  <c r="C32" i="71" s="1"/>
  <c r="F65" i="71"/>
  <c r="Q72" i="71"/>
  <c r="F63" i="71"/>
  <c r="F49" i="71"/>
  <c r="M7" i="71"/>
  <c r="J6" i="71" s="1"/>
  <c r="F50" i="71"/>
  <c r="C48" i="71" s="1"/>
  <c r="F63" i="72"/>
  <c r="C27" i="72"/>
  <c r="F67" i="72"/>
  <c r="F70" i="72"/>
  <c r="C6" i="70"/>
  <c r="C32" i="70" s="1"/>
  <c r="L56" i="70"/>
  <c r="I54" i="70"/>
  <c r="J57" i="70"/>
  <c r="J55" i="70" s="1"/>
  <c r="J58" i="70" s="1"/>
  <c r="Q51" i="70" s="1"/>
  <c r="J53" i="70"/>
  <c r="F63" i="70"/>
  <c r="C27" i="70"/>
  <c r="F70" i="70"/>
  <c r="M7" i="70"/>
  <c r="J6" i="70" s="1"/>
  <c r="F49" i="70"/>
  <c r="L58" i="70"/>
  <c r="L59" i="70"/>
  <c r="M7" i="15"/>
  <c r="C6" i="15"/>
  <c r="C32" i="15" s="1"/>
  <c r="F49" i="15"/>
  <c r="F70" i="15"/>
  <c r="F67" i="71"/>
  <c r="L56" i="71"/>
  <c r="J53" i="71"/>
  <c r="I54" i="71"/>
  <c r="J57" i="71"/>
  <c r="J55" i="71" s="1"/>
  <c r="J58" i="71" s="1"/>
  <c r="Q51" i="71" s="1"/>
  <c r="C27" i="71"/>
  <c r="L58" i="71"/>
  <c r="L59" i="71"/>
  <c r="L56" i="72"/>
  <c r="J57" i="72"/>
  <c r="J55" i="72" s="1"/>
  <c r="J58" i="72" s="1"/>
  <c r="Q51" i="72" s="1"/>
  <c r="I54" i="72"/>
  <c r="J53" i="72"/>
  <c r="F65" i="72"/>
  <c r="C6" i="72"/>
  <c r="C10" i="72" s="1"/>
  <c r="C5" i="72" s="1"/>
  <c r="Q72" i="72"/>
  <c r="F64" i="72"/>
  <c r="F50" i="72"/>
  <c r="L58" i="72"/>
  <c r="L59" i="72"/>
  <c r="M7" i="72"/>
  <c r="J6" i="72" s="1"/>
  <c r="F49" i="72"/>
  <c r="F67" i="70"/>
  <c r="F64" i="70"/>
  <c r="F65" i="70"/>
  <c r="Q72" i="70"/>
  <c r="F50" i="70"/>
  <c r="C48" i="70" s="1"/>
  <c r="T44" i="59"/>
  <c r="D44" i="59"/>
  <c r="M7" i="1"/>
  <c r="O7" i="1" s="1"/>
  <c r="P7" i="1" s="1"/>
  <c r="T24" i="59"/>
  <c r="D24" i="59"/>
  <c r="E6" i="3"/>
  <c r="C9" i="59"/>
  <c r="D10" i="59"/>
  <c r="M8" i="1"/>
  <c r="M19" i="46"/>
  <c r="T32" i="59"/>
  <c r="D32" i="59"/>
  <c r="M19" i="74" s="1"/>
  <c r="N58" i="59"/>
  <c r="N57" i="59"/>
  <c r="T52" i="59"/>
  <c r="D52" i="59"/>
  <c r="D19" i="59"/>
  <c r="C18" i="59"/>
  <c r="D18" i="59" s="1"/>
  <c r="C20" i="74"/>
  <c r="E41" i="74"/>
  <c r="C41" i="74" s="1"/>
  <c r="G20" i="73"/>
  <c r="C24" i="72"/>
  <c r="C52" i="72"/>
  <c r="C52" i="71"/>
  <c r="C10" i="71"/>
  <c r="F24" i="70"/>
  <c r="C24" i="70" s="1"/>
  <c r="F24" i="71"/>
  <c r="C52" i="70"/>
  <c r="C10" i="70"/>
  <c r="F24" i="43"/>
  <c r="C26" i="43" s="1"/>
  <c r="D24" i="43" s="1"/>
  <c r="G20" i="46"/>
  <c r="K25" i="6"/>
  <c r="M25" i="6" s="1"/>
  <c r="I25" i="6" s="1"/>
  <c r="S25" i="6" s="1"/>
  <c r="K24" i="6"/>
  <c r="K21" i="6"/>
  <c r="M21" i="6" s="1"/>
  <c r="I21" i="6" s="1"/>
  <c r="E31" i="6"/>
  <c r="K20" i="6"/>
  <c r="M20" i="6" s="1"/>
  <c r="I20" i="6" s="1"/>
  <c r="K23" i="6"/>
  <c r="M23" i="6" s="1"/>
  <c r="I23" i="6" s="1"/>
  <c r="S23" i="6" s="1"/>
  <c r="K26" i="6"/>
  <c r="M26" i="6" s="1"/>
  <c r="I26" i="6" s="1"/>
  <c r="S26" i="6" s="1"/>
  <c r="M22" i="6"/>
  <c r="I22" i="6" s="1"/>
  <c r="S22" i="6" s="1"/>
  <c r="S9" i="1"/>
  <c r="D13" i="11"/>
  <c r="C13" i="11" s="1"/>
  <c r="D22" i="12"/>
  <c r="C22" i="12" s="1"/>
  <c r="B29" i="1" s="1"/>
  <c r="C22" i="4"/>
  <c r="D19" i="6"/>
  <c r="D13" i="6"/>
  <c r="D28" i="6"/>
  <c r="E45" i="9"/>
  <c r="D24" i="6"/>
  <c r="D29" i="6"/>
  <c r="E63" i="40"/>
  <c r="D25" i="6"/>
  <c r="D23" i="6"/>
  <c r="D8" i="6"/>
  <c r="E68" i="39"/>
  <c r="D9" i="6"/>
  <c r="F46" i="9"/>
  <c r="D15" i="6"/>
  <c r="E46" i="9"/>
  <c r="D22" i="6"/>
  <c r="K38" i="9"/>
  <c r="C14" i="66" s="1"/>
  <c r="B2" i="66" s="1"/>
  <c r="D14" i="6"/>
  <c r="D21" i="6"/>
  <c r="D11" i="6"/>
  <c r="D5" i="6"/>
  <c r="D12" i="6"/>
  <c r="D26" i="6"/>
  <c r="F45" i="9"/>
  <c r="D20" i="6"/>
  <c r="D6" i="6"/>
  <c r="D10" i="6"/>
  <c r="M19" i="6"/>
  <c r="D19" i="12"/>
  <c r="C19" i="12" s="1"/>
  <c r="C16" i="12"/>
  <c r="M14" i="1"/>
  <c r="K16" i="1"/>
  <c r="R43" i="37"/>
  <c r="E42" i="37"/>
  <c r="R49" i="33"/>
  <c r="E48" i="33"/>
  <c r="I53" i="33" s="1"/>
  <c r="J53" i="33" s="1"/>
  <c r="G46" i="37"/>
  <c r="H46" i="37" s="1"/>
  <c r="G47" i="37"/>
  <c r="H47" i="37" s="1"/>
  <c r="AB7" i="34"/>
  <c r="T49" i="34" s="1"/>
  <c r="G49" i="34" s="1"/>
  <c r="U7" i="34"/>
  <c r="I42" i="35"/>
  <c r="J42" i="35" s="1"/>
  <c r="I46" i="37"/>
  <c r="J46" i="37" s="1"/>
  <c r="I47" i="37"/>
  <c r="J47" i="37" s="1"/>
  <c r="AA7" i="35"/>
  <c r="R38" i="35" s="1"/>
  <c r="S7" i="35"/>
  <c r="K46" i="36"/>
  <c r="AA7" i="34"/>
  <c r="R49" i="34" s="1"/>
  <c r="S7" i="34"/>
  <c r="U7" i="35"/>
  <c r="AB7" i="35"/>
  <c r="T38" i="35" s="1"/>
  <c r="G38" i="35" s="1"/>
  <c r="U7" i="33"/>
  <c r="AB7" i="33"/>
  <c r="T48" i="33" s="1"/>
  <c r="G48" i="33" s="1"/>
  <c r="AC7" i="34"/>
  <c r="V49" i="34" s="1"/>
  <c r="I49" i="34" s="1"/>
  <c r="W7" i="34"/>
  <c r="I52" i="33"/>
  <c r="J52" i="33" s="1"/>
  <c r="C40" i="44"/>
  <c r="J28" i="44"/>
  <c r="J31" i="44" s="1"/>
  <c r="J26" i="44"/>
  <c r="C52" i="15"/>
  <c r="F21" i="43"/>
  <c r="C23" i="43" s="1"/>
  <c r="D21" i="43" s="1"/>
  <c r="F24" i="15"/>
  <c r="C24" i="15" s="1"/>
  <c r="F26" i="12"/>
  <c r="F26" i="44"/>
  <c r="C26" i="44" s="1"/>
  <c r="C16" i="71"/>
  <c r="C16" i="15"/>
  <c r="C16" i="70"/>
  <c r="C16" i="72"/>
  <c r="F41" i="15"/>
  <c r="C17" i="70"/>
  <c r="C10" i="15" l="1"/>
  <c r="C5" i="15" s="1"/>
  <c r="C5" i="71"/>
  <c r="C38" i="71" s="1"/>
  <c r="K27" i="6"/>
  <c r="G9" i="1"/>
  <c r="AP9" i="1"/>
  <c r="G11" i="1"/>
  <c r="AP11" i="1"/>
  <c r="E41" i="46"/>
  <c r="C41" i="46" s="1"/>
  <c r="C38" i="46" s="1"/>
  <c r="E38" i="46" s="1"/>
  <c r="H7" i="1"/>
  <c r="C20" i="73"/>
  <c r="T16" i="73" s="1"/>
  <c r="V16" i="73" s="1"/>
  <c r="H6" i="1"/>
  <c r="H26" i="6"/>
  <c r="M24" i="6"/>
  <c r="I24" i="6" s="1"/>
  <c r="S11" i="1"/>
  <c r="AA33" i="21"/>
  <c r="R48" i="21" s="1"/>
  <c r="S33" i="21"/>
  <c r="U33" i="21"/>
  <c r="AB33" i="21"/>
  <c r="T48" i="21" s="1"/>
  <c r="G48" i="21" s="1"/>
  <c r="W33" i="21"/>
  <c r="AC33" i="21"/>
  <c r="V48" i="21" s="1"/>
  <c r="I48" i="21" s="1"/>
  <c r="I52" i="21" s="1"/>
  <c r="J52" i="21" s="1"/>
  <c r="C5" i="70"/>
  <c r="C38" i="70" s="1"/>
  <c r="C47" i="71"/>
  <c r="C65" i="71" s="1"/>
  <c r="H72" i="39"/>
  <c r="I70" i="39"/>
  <c r="I65" i="40"/>
  <c r="H67" i="40"/>
  <c r="C47" i="70"/>
  <c r="C65" i="70" s="1"/>
  <c r="J18" i="70"/>
  <c r="J5" i="70"/>
  <c r="J18" i="72"/>
  <c r="J5" i="72"/>
  <c r="J18" i="71"/>
  <c r="J5" i="71"/>
  <c r="C8" i="59"/>
  <c r="D9" i="59"/>
  <c r="Q75" i="72"/>
  <c r="Q62" i="72"/>
  <c r="C48" i="72"/>
  <c r="C47" i="72" s="1"/>
  <c r="F1" i="72"/>
  <c r="Q53" i="72"/>
  <c r="Q62" i="71"/>
  <c r="Q75" i="71"/>
  <c r="F58" i="15"/>
  <c r="C48" i="15"/>
  <c r="C47" i="15" s="1"/>
  <c r="M17" i="15"/>
  <c r="J6" i="15"/>
  <c r="Q61" i="70"/>
  <c r="Q74" i="70"/>
  <c r="Q53" i="70"/>
  <c r="F1" i="70"/>
  <c r="H25" i="6"/>
  <c r="R25" i="6" s="1"/>
  <c r="O8" i="1"/>
  <c r="P8" i="1" s="1"/>
  <c r="Q61" i="72"/>
  <c r="Q74" i="72"/>
  <c r="C33" i="72"/>
  <c r="C32" i="72"/>
  <c r="Q74" i="71"/>
  <c r="Q61" i="71"/>
  <c r="F1" i="71"/>
  <c r="Q53" i="71"/>
  <c r="Q62" i="70"/>
  <c r="Q75" i="70"/>
  <c r="F68" i="15"/>
  <c r="C39" i="74"/>
  <c r="C38" i="74"/>
  <c r="T11" i="74"/>
  <c r="V11" i="74" s="1"/>
  <c r="T14" i="74"/>
  <c r="V14" i="74" s="1"/>
  <c r="T9" i="74"/>
  <c r="V9" i="74" s="1"/>
  <c r="T13" i="74"/>
  <c r="V13" i="74" s="1"/>
  <c r="T16" i="74"/>
  <c r="V16" i="74" s="1"/>
  <c r="T10" i="74"/>
  <c r="V10" i="74" s="1"/>
  <c r="T12" i="74"/>
  <c r="V12" i="74" s="1"/>
  <c r="T8" i="74"/>
  <c r="V8" i="74" s="1"/>
  <c r="T15" i="74"/>
  <c r="V15" i="74" s="1"/>
  <c r="C37" i="74"/>
  <c r="C35" i="74"/>
  <c r="C33" i="74"/>
  <c r="C36" i="74"/>
  <c r="C34" i="74"/>
  <c r="E41" i="73"/>
  <c r="C41" i="73" s="1"/>
  <c r="C38" i="73" s="1"/>
  <c r="C38" i="72"/>
  <c r="C24" i="71"/>
  <c r="S7" i="1"/>
  <c r="S10" i="1"/>
  <c r="C20" i="46"/>
  <c r="H23" i="6"/>
  <c r="R23" i="6" s="1"/>
  <c r="R10" i="1" s="1"/>
  <c r="H22" i="6"/>
  <c r="R22" i="6" s="1"/>
  <c r="R9" i="1" s="1"/>
  <c r="S8" i="1"/>
  <c r="S20" i="6"/>
  <c r="H20" i="6"/>
  <c r="R20" i="6" s="1"/>
  <c r="R7" i="1" s="1"/>
  <c r="S21" i="6"/>
  <c r="H21" i="6"/>
  <c r="R21" i="6" s="1"/>
  <c r="R8" i="1" s="1"/>
  <c r="D30" i="6"/>
  <c r="D16" i="6"/>
  <c r="M27" i="6"/>
  <c r="I19" i="6"/>
  <c r="O14" i="1"/>
  <c r="M16" i="1"/>
  <c r="N16" i="1" s="1"/>
  <c r="C29" i="43" s="1"/>
  <c r="R26" i="6"/>
  <c r="D27" i="6"/>
  <c r="D7" i="66"/>
  <c r="D8" i="66"/>
  <c r="A20" i="64"/>
  <c r="A6" i="51"/>
  <c r="B7" i="63" s="1"/>
  <c r="A20" i="51"/>
  <c r="B15" i="63" s="1"/>
  <c r="A6" i="64"/>
  <c r="N5" i="54"/>
  <c r="B43" i="63" s="1"/>
  <c r="I53" i="34"/>
  <c r="J53" i="34" s="1"/>
  <c r="R50" i="34"/>
  <c r="E49" i="34"/>
  <c r="E52" i="33"/>
  <c r="F52" i="33" s="1"/>
  <c r="E53" i="33"/>
  <c r="F53" i="33" s="1"/>
  <c r="E47" i="37"/>
  <c r="F47" i="37" s="1"/>
  <c r="E46" i="37"/>
  <c r="F46" i="37" s="1"/>
  <c r="G52" i="33"/>
  <c r="H52" i="33" s="1"/>
  <c r="G53" i="33"/>
  <c r="H53" i="33" s="1"/>
  <c r="G42" i="35"/>
  <c r="H42" i="35" s="1"/>
  <c r="G43" i="35"/>
  <c r="H43" i="35" s="1"/>
  <c r="L46" i="36"/>
  <c r="R39" i="35"/>
  <c r="E38" i="35"/>
  <c r="G53" i="34"/>
  <c r="H53" i="34" s="1"/>
  <c r="G54" i="34"/>
  <c r="H54" i="34" s="1"/>
  <c r="C49" i="33"/>
  <c r="B3" i="33" s="1"/>
  <c r="B2" i="33" s="1"/>
  <c r="C48" i="33"/>
  <c r="C43" i="37"/>
  <c r="B3" i="37" s="1"/>
  <c r="B2" i="37" s="1"/>
  <c r="C42" i="37"/>
  <c r="C27" i="12"/>
  <c r="D26" i="12" s="1"/>
  <c r="C32" i="12" s="1"/>
  <c r="D30" i="12" s="1"/>
  <c r="C38" i="15"/>
  <c r="Q58" i="44"/>
  <c r="Q67" i="44"/>
  <c r="Q49" i="44"/>
  <c r="Q55" i="44" s="1"/>
  <c r="AE9" i="1"/>
  <c r="M21" i="71"/>
  <c r="C17" i="15"/>
  <c r="AE10" i="1"/>
  <c r="F35" i="70"/>
  <c r="F35" i="72"/>
  <c r="C17" i="72"/>
  <c r="AE7" i="1"/>
  <c r="M21" i="70"/>
  <c r="M21" i="72"/>
  <c r="F35" i="71"/>
  <c r="C17" i="71"/>
  <c r="G38" i="46" l="1"/>
  <c r="I38" i="46" s="1"/>
  <c r="C39" i="46"/>
  <c r="E39" i="46" s="1"/>
  <c r="T11" i="73"/>
  <c r="V11" i="73" s="1"/>
  <c r="C37" i="73"/>
  <c r="G37" i="73" s="1"/>
  <c r="I37" i="73" s="1"/>
  <c r="T13" i="73"/>
  <c r="V13" i="73" s="1"/>
  <c r="C59" i="71"/>
  <c r="C33" i="73"/>
  <c r="E33" i="73" s="1"/>
  <c r="T12" i="73"/>
  <c r="V12" i="73" s="1"/>
  <c r="C36" i="73"/>
  <c r="G36" i="73" s="1"/>
  <c r="I36" i="73" s="1"/>
  <c r="T10" i="73"/>
  <c r="V10" i="73" s="1"/>
  <c r="G7" i="1"/>
  <c r="AP7" i="1"/>
  <c r="C35" i="73"/>
  <c r="E35" i="73" s="1"/>
  <c r="T8" i="73"/>
  <c r="V8" i="73" s="1"/>
  <c r="T14" i="73"/>
  <c r="V14" i="73" s="1"/>
  <c r="C34" i="73"/>
  <c r="G34" i="73" s="1"/>
  <c r="I34" i="73" s="1"/>
  <c r="T9" i="73"/>
  <c r="V9" i="73" s="1"/>
  <c r="T15" i="73"/>
  <c r="V15" i="73" s="1"/>
  <c r="G6" i="1"/>
  <c r="G16" i="1" s="1"/>
  <c r="AP6" i="1"/>
  <c r="AP16" i="1" s="1"/>
  <c r="F22" i="11" s="1"/>
  <c r="H16" i="1"/>
  <c r="S24" i="6"/>
  <c r="H24" i="6"/>
  <c r="R24" i="6" s="1"/>
  <c r="R11" i="1" s="1"/>
  <c r="G53" i="21"/>
  <c r="H53" i="21" s="1"/>
  <c r="G52" i="21"/>
  <c r="H52" i="21" s="1"/>
  <c r="E48" i="21"/>
  <c r="R49" i="21"/>
  <c r="C59" i="70"/>
  <c r="I72" i="39"/>
  <c r="J70" i="39"/>
  <c r="J65" i="40"/>
  <c r="I67" i="40"/>
  <c r="C59" i="15"/>
  <c r="C65" i="15"/>
  <c r="J24" i="70"/>
  <c r="J26" i="70"/>
  <c r="J20" i="72"/>
  <c r="F62" i="72"/>
  <c r="C61" i="72" s="1"/>
  <c r="C34" i="72"/>
  <c r="C31" i="72" s="1"/>
  <c r="J20" i="70"/>
  <c r="F62" i="70"/>
  <c r="C61" i="70" s="1"/>
  <c r="C34" i="70"/>
  <c r="F62" i="71"/>
  <c r="C61" i="71" s="1"/>
  <c r="C34" i="71"/>
  <c r="J20" i="71"/>
  <c r="C59" i="72"/>
  <c r="C60" i="72"/>
  <c r="C65" i="72"/>
  <c r="C7" i="59"/>
  <c r="T8" i="59"/>
  <c r="D8" i="59"/>
  <c r="J26" i="71"/>
  <c r="J24" i="71"/>
  <c r="J26" i="72"/>
  <c r="J24" i="72"/>
  <c r="J5" i="15"/>
  <c r="J18" i="15"/>
  <c r="E36" i="74"/>
  <c r="G36" i="74"/>
  <c r="I36" i="74" s="1"/>
  <c r="E35" i="74"/>
  <c r="G35" i="74"/>
  <c r="I35" i="74" s="1"/>
  <c r="E38" i="74"/>
  <c r="G38" i="74"/>
  <c r="E34" i="74"/>
  <c r="G34" i="74"/>
  <c r="I34" i="74" s="1"/>
  <c r="E33" i="74"/>
  <c r="G33" i="74"/>
  <c r="I33" i="74" s="1"/>
  <c r="E37" i="74"/>
  <c r="G37" i="74"/>
  <c r="I37" i="74" s="1"/>
  <c r="E39" i="74"/>
  <c r="G39" i="74"/>
  <c r="C39" i="73"/>
  <c r="G39" i="73" s="1"/>
  <c r="I39" i="73" s="1"/>
  <c r="G35" i="73"/>
  <c r="I35" i="73" s="1"/>
  <c r="E34" i="73"/>
  <c r="G33" i="73"/>
  <c r="I33" i="73" s="1"/>
  <c r="E37" i="73"/>
  <c r="E36" i="73"/>
  <c r="G38" i="73"/>
  <c r="I38" i="73" s="1"/>
  <c r="E38" i="73"/>
  <c r="C33" i="70"/>
  <c r="J59" i="70"/>
  <c r="J60" i="70" s="1"/>
  <c r="G39" i="46"/>
  <c r="I39" i="46" s="1"/>
  <c r="C34" i="46"/>
  <c r="C36" i="46"/>
  <c r="T16" i="46"/>
  <c r="V16" i="46" s="1"/>
  <c r="T8" i="46"/>
  <c r="V8" i="46" s="1"/>
  <c r="C35" i="46"/>
  <c r="C37" i="46"/>
  <c r="T14" i="46"/>
  <c r="V14" i="46" s="1"/>
  <c r="C33" i="46"/>
  <c r="T10" i="46"/>
  <c r="V10" i="46" s="1"/>
  <c r="T9" i="46"/>
  <c r="V9" i="46" s="1"/>
  <c r="T13" i="46"/>
  <c r="V13" i="46" s="1"/>
  <c r="T11" i="46"/>
  <c r="V11" i="46" s="1"/>
  <c r="T15" i="46"/>
  <c r="V15" i="46" s="1"/>
  <c r="T12" i="46"/>
  <c r="V12" i="46" s="1"/>
  <c r="S16" i="1"/>
  <c r="T8" i="1" s="1"/>
  <c r="D31" i="6"/>
  <c r="I5" i="6" s="1"/>
  <c r="L16" i="1"/>
  <c r="C13" i="43"/>
  <c r="P14" i="1"/>
  <c r="P16" i="1" s="1"/>
  <c r="C13" i="12" s="1"/>
  <c r="O16" i="1"/>
  <c r="S19" i="6"/>
  <c r="S27" i="6" s="1"/>
  <c r="I27" i="6"/>
  <c r="H19" i="6"/>
  <c r="E43" i="35"/>
  <c r="F43" i="35" s="1"/>
  <c r="E42" i="35"/>
  <c r="F42" i="35" s="1"/>
  <c r="I43" i="35"/>
  <c r="J43" i="35" s="1"/>
  <c r="C38" i="35"/>
  <c r="C39" i="35"/>
  <c r="M46" i="36"/>
  <c r="C50" i="34"/>
  <c r="B3" i="34" s="1"/>
  <c r="B2" i="34" s="1"/>
  <c r="C49" i="34"/>
  <c r="E54" i="34"/>
  <c r="F54" i="34" s="1"/>
  <c r="E53" i="34"/>
  <c r="F53" i="34" s="1"/>
  <c r="I54" i="34"/>
  <c r="J54" i="34" s="1"/>
  <c r="D77" i="9"/>
  <c r="N75" i="9" s="1"/>
  <c r="F41" i="72"/>
  <c r="F41" i="70"/>
  <c r="F41" i="71"/>
  <c r="I38" i="74" l="1"/>
  <c r="C28" i="9"/>
  <c r="D28" i="9" s="1"/>
  <c r="I39" i="74"/>
  <c r="C27" i="9"/>
  <c r="D27" i="9" s="1"/>
  <c r="F12" i="40"/>
  <c r="J12" i="40"/>
  <c r="J12" i="39"/>
  <c r="F12" i="39"/>
  <c r="H12" i="39"/>
  <c r="H12" i="40"/>
  <c r="C48" i="21"/>
  <c r="C49" i="21"/>
  <c r="B3" i="21" s="1"/>
  <c r="I53" i="21"/>
  <c r="J53" i="21" s="1"/>
  <c r="E53" i="21"/>
  <c r="F53" i="21" s="1"/>
  <c r="E52" i="21"/>
  <c r="F52" i="21" s="1"/>
  <c r="F68" i="70"/>
  <c r="J29" i="70"/>
  <c r="F68" i="72"/>
  <c r="J29" i="72"/>
  <c r="C31" i="70"/>
  <c r="K70" i="39"/>
  <c r="J72" i="39"/>
  <c r="K65" i="40"/>
  <c r="J67" i="40"/>
  <c r="C58" i="72"/>
  <c r="F68" i="71"/>
  <c r="J24" i="15"/>
  <c r="J26" i="15"/>
  <c r="J29" i="15" s="1"/>
  <c r="J29" i="71"/>
  <c r="C6" i="59"/>
  <c r="D7" i="59"/>
  <c r="E39" i="73"/>
  <c r="C33" i="71"/>
  <c r="C31" i="71" s="1"/>
  <c r="J59" i="71"/>
  <c r="J60" i="71" s="1"/>
  <c r="Q49" i="70"/>
  <c r="C60" i="70"/>
  <c r="C58" i="70" s="1"/>
  <c r="E33" i="46"/>
  <c r="G33" i="46"/>
  <c r="I33" i="46" s="1"/>
  <c r="G37" i="46"/>
  <c r="I37" i="46" s="1"/>
  <c r="E37" i="46"/>
  <c r="G35" i="46"/>
  <c r="I35" i="46" s="1"/>
  <c r="E35" i="46"/>
  <c r="G36" i="46"/>
  <c r="I36" i="46" s="1"/>
  <c r="E36" i="46"/>
  <c r="G34" i="46"/>
  <c r="I34" i="46" s="1"/>
  <c r="E34" i="46"/>
  <c r="T11" i="1"/>
  <c r="T12" i="1"/>
  <c r="T10" i="1"/>
  <c r="T13" i="1"/>
  <c r="T7" i="1"/>
  <c r="T9" i="1"/>
  <c r="T6" i="1"/>
  <c r="I6" i="6"/>
  <c r="H27" i="6"/>
  <c r="R19" i="6"/>
  <c r="C14" i="43"/>
  <c r="C17" i="43"/>
  <c r="C17" i="12"/>
  <c r="C14" i="12"/>
  <c r="N46" i="36"/>
  <c r="C14" i="71"/>
  <c r="C14" i="72"/>
  <c r="C14" i="15"/>
  <c r="C16" i="44"/>
  <c r="C14" i="70"/>
  <c r="D30" i="9" l="1"/>
  <c r="G35" i="9" s="1"/>
  <c r="C43" i="9" s="1"/>
  <c r="K47" i="9" s="1"/>
  <c r="A14" i="55" s="1"/>
  <c r="B65" i="63" s="1"/>
  <c r="AB12" i="40"/>
  <c r="U12" i="40"/>
  <c r="AA12" i="39"/>
  <c r="S12" i="39"/>
  <c r="AC12" i="40"/>
  <c r="W12" i="40"/>
  <c r="U12" i="39"/>
  <c r="AB12" i="39"/>
  <c r="W12" i="39"/>
  <c r="AC12" i="39"/>
  <c r="AA12" i="40"/>
  <c r="S12" i="40"/>
  <c r="B2" i="21"/>
  <c r="C10" i="12" s="1"/>
  <c r="C8" i="12"/>
  <c r="K67" i="40"/>
  <c r="L65" i="40"/>
  <c r="L70" i="39"/>
  <c r="K72" i="39"/>
  <c r="G3" i="46"/>
  <c r="Y11" i="46" s="1"/>
  <c r="Y13" i="46" s="1"/>
  <c r="C13" i="39"/>
  <c r="G3" i="74"/>
  <c r="G3" i="73"/>
  <c r="C5" i="59"/>
  <c r="D6" i="59"/>
  <c r="C15" i="70"/>
  <c r="C18" i="70"/>
  <c r="C15" i="72"/>
  <c r="C18" i="72"/>
  <c r="C15" i="71"/>
  <c r="C18" i="71"/>
  <c r="T16" i="1"/>
  <c r="Q49" i="71"/>
  <c r="C60" i="71"/>
  <c r="C58" i="71" s="1"/>
  <c r="E22" i="46"/>
  <c r="C15" i="15"/>
  <c r="C18" i="15"/>
  <c r="C20" i="44"/>
  <c r="C17" i="44"/>
  <c r="R27" i="6"/>
  <c r="R6" i="1"/>
  <c r="C18" i="43"/>
  <c r="C19" i="43" s="1"/>
  <c r="C25" i="43" s="1"/>
  <c r="C24" i="43" s="1"/>
  <c r="C18" i="12"/>
  <c r="O46" i="36"/>
  <c r="J7" i="36" s="1"/>
  <c r="F35" i="15"/>
  <c r="M21" i="15"/>
  <c r="M23" i="44"/>
  <c r="F37" i="44"/>
  <c r="AB11" i="46" l="1"/>
  <c r="AB13" i="46" s="1"/>
  <c r="N101" i="46"/>
  <c r="B113" i="46"/>
  <c r="C23" i="46"/>
  <c r="C21" i="46" s="1"/>
  <c r="C29" i="46" s="1"/>
  <c r="E29" i="46" s="1"/>
  <c r="N104" i="45"/>
  <c r="H22" i="46"/>
  <c r="AG11" i="46"/>
  <c r="AG13" i="46" s="1"/>
  <c r="M101" i="46"/>
  <c r="S4" i="46"/>
  <c r="T4" i="46" s="1"/>
  <c r="V4" i="46" s="1"/>
  <c r="AA11" i="46"/>
  <c r="AA13" i="46" s="1"/>
  <c r="F22" i="46"/>
  <c r="C101" i="46"/>
  <c r="F101" i="46"/>
  <c r="F106" i="46" s="1"/>
  <c r="S3" i="46"/>
  <c r="T3" i="46" s="1"/>
  <c r="V3" i="46" s="1"/>
  <c r="AI11" i="46"/>
  <c r="AI13" i="46" s="1"/>
  <c r="E101" i="46"/>
  <c r="AJ11" i="46"/>
  <c r="AJ13" i="46" s="1"/>
  <c r="G22" i="46"/>
  <c r="S2" i="46"/>
  <c r="T2" i="46" s="1"/>
  <c r="V2" i="46" s="1"/>
  <c r="AF11" i="46"/>
  <c r="AF13" i="46" s="1"/>
  <c r="Z11" i="46"/>
  <c r="Z13" i="46" s="1"/>
  <c r="Z7" i="46"/>
  <c r="S7" i="46"/>
  <c r="T7" i="46" s="1"/>
  <c r="V7" i="46" s="1"/>
  <c r="J101" i="46"/>
  <c r="AD11" i="46"/>
  <c r="AD13" i="46" s="1"/>
  <c r="I101" i="46"/>
  <c r="H101" i="46"/>
  <c r="H102" i="46" s="1"/>
  <c r="S6" i="46"/>
  <c r="T6" i="46" s="1"/>
  <c r="V6" i="46" s="1"/>
  <c r="S5" i="46"/>
  <c r="T5" i="46" s="1"/>
  <c r="V5" i="46" s="1"/>
  <c r="AE11" i="46"/>
  <c r="AE13" i="46" s="1"/>
  <c r="AH11" i="46"/>
  <c r="AH13" i="46" s="1"/>
  <c r="K101" i="46"/>
  <c r="K107" i="46" s="1"/>
  <c r="L101" i="46"/>
  <c r="L102" i="46" s="1"/>
  <c r="G101" i="46"/>
  <c r="G106" i="46" s="1"/>
  <c r="AC11" i="46"/>
  <c r="AC13" i="46" s="1"/>
  <c r="D101" i="46"/>
  <c r="D107" i="46" s="1"/>
  <c r="H7" i="36"/>
  <c r="L67" i="40"/>
  <c r="M65" i="40"/>
  <c r="M70" i="39"/>
  <c r="L72" i="39"/>
  <c r="G22" i="73"/>
  <c r="N101" i="73"/>
  <c r="J101" i="73"/>
  <c r="F101" i="73"/>
  <c r="M101" i="73"/>
  <c r="E101" i="73"/>
  <c r="K101" i="73"/>
  <c r="C101" i="73"/>
  <c r="Z7" i="73"/>
  <c r="AB11" i="73"/>
  <c r="AB13" i="73" s="1"/>
  <c r="AF11" i="73"/>
  <c r="AF13" i="73" s="1"/>
  <c r="AJ11" i="73"/>
  <c r="AJ13" i="73" s="1"/>
  <c r="S3" i="73"/>
  <c r="T3" i="73" s="1"/>
  <c r="V3" i="73" s="1"/>
  <c r="C23" i="73"/>
  <c r="E22" i="73"/>
  <c r="S2" i="73"/>
  <c r="T2" i="73" s="1"/>
  <c r="V2" i="73" s="1"/>
  <c r="L101" i="73"/>
  <c r="H101" i="73"/>
  <c r="D101" i="73"/>
  <c r="I101" i="73"/>
  <c r="B113" i="73"/>
  <c r="G101" i="73"/>
  <c r="S4" i="73"/>
  <c r="T4" i="73" s="1"/>
  <c r="V4" i="73" s="1"/>
  <c r="S7" i="73"/>
  <c r="T7" i="73" s="1"/>
  <c r="V7" i="73" s="1"/>
  <c r="Z11" i="73"/>
  <c r="Z13" i="73" s="1"/>
  <c r="AD11" i="73"/>
  <c r="AD13" i="73" s="1"/>
  <c r="AH11" i="73"/>
  <c r="AH13" i="73" s="1"/>
  <c r="S5" i="73"/>
  <c r="T5" i="73" s="1"/>
  <c r="V5" i="73" s="1"/>
  <c r="S6" i="73"/>
  <c r="T6" i="73" s="1"/>
  <c r="V6" i="73" s="1"/>
  <c r="AA11" i="73"/>
  <c r="AA13" i="73" s="1"/>
  <c r="AE11" i="73"/>
  <c r="AE13" i="73" s="1"/>
  <c r="AI11" i="73"/>
  <c r="AI13" i="73" s="1"/>
  <c r="H22" i="73"/>
  <c r="Y11" i="73"/>
  <c r="Y13" i="73" s="1"/>
  <c r="AG11" i="73"/>
  <c r="AG13" i="73" s="1"/>
  <c r="AC11" i="73"/>
  <c r="AC13" i="73" s="1"/>
  <c r="F22" i="73"/>
  <c r="F13" i="39"/>
  <c r="H13" i="39"/>
  <c r="J13" i="39"/>
  <c r="F7" i="36"/>
  <c r="D5" i="59"/>
  <c r="M20" i="46" s="1"/>
  <c r="M20" i="73"/>
  <c r="M20" i="74"/>
  <c r="Z7" i="74"/>
  <c r="S3" i="74"/>
  <c r="T3" i="74" s="1"/>
  <c r="V3" i="74" s="1"/>
  <c r="AD11" i="74"/>
  <c r="AD13" i="74" s="1"/>
  <c r="E22" i="74"/>
  <c r="B113" i="74"/>
  <c r="K101" i="74"/>
  <c r="G101" i="74"/>
  <c r="C101" i="74"/>
  <c r="H101" i="74"/>
  <c r="N101" i="74"/>
  <c r="F101" i="74"/>
  <c r="F22" i="74"/>
  <c r="AG11" i="74"/>
  <c r="AG13" i="74" s="1"/>
  <c r="AC11" i="74"/>
  <c r="AC13" i="74" s="1"/>
  <c r="Y11" i="74"/>
  <c r="Y13" i="74" s="1"/>
  <c r="AF11" i="74"/>
  <c r="AF13" i="74" s="1"/>
  <c r="C23" i="74"/>
  <c r="S2" i="74"/>
  <c r="T2" i="74" s="1"/>
  <c r="V2" i="74" s="1"/>
  <c r="S7" i="74"/>
  <c r="T7" i="74" s="1"/>
  <c r="V7" i="74" s="1"/>
  <c r="S5" i="74"/>
  <c r="T5" i="74" s="1"/>
  <c r="V5" i="74" s="1"/>
  <c r="S6" i="74"/>
  <c r="T6" i="74" s="1"/>
  <c r="V6" i="74" s="1"/>
  <c r="Z11" i="74"/>
  <c r="Z13" i="74" s="1"/>
  <c r="AH11" i="74"/>
  <c r="AH13" i="74" s="1"/>
  <c r="M101" i="74"/>
  <c r="I101" i="74"/>
  <c r="E101" i="74"/>
  <c r="L101" i="74"/>
  <c r="D101" i="74"/>
  <c r="J101" i="74"/>
  <c r="H22" i="74"/>
  <c r="AI11" i="74"/>
  <c r="AI13" i="74" s="1"/>
  <c r="AE11" i="74"/>
  <c r="AE13" i="74" s="1"/>
  <c r="AA11" i="74"/>
  <c r="AA13" i="74" s="1"/>
  <c r="S4" i="74"/>
  <c r="T4" i="74" s="1"/>
  <c r="V4" i="74" s="1"/>
  <c r="AB11" i="74"/>
  <c r="AB13" i="74" s="1"/>
  <c r="AJ11" i="74"/>
  <c r="AJ13" i="74" s="1"/>
  <c r="G22" i="74"/>
  <c r="C19" i="70"/>
  <c r="C20" i="70" s="1"/>
  <c r="C26" i="70" s="1"/>
  <c r="C19" i="71"/>
  <c r="C20" i="71" s="1"/>
  <c r="C26" i="71" s="1"/>
  <c r="C19" i="72"/>
  <c r="C20" i="72" s="1"/>
  <c r="C26" i="72" s="1"/>
  <c r="L57" i="72"/>
  <c r="L60" i="72" s="1"/>
  <c r="L57" i="70"/>
  <c r="L60" i="70" s="1"/>
  <c r="L46" i="70" s="1"/>
  <c r="C109" i="46"/>
  <c r="C102" i="46"/>
  <c r="C107" i="46"/>
  <c r="C103" i="46"/>
  <c r="C105" i="46"/>
  <c r="C106" i="46"/>
  <c r="C104" i="46"/>
  <c r="N105" i="46"/>
  <c r="N104" i="46"/>
  <c r="N102" i="46"/>
  <c r="N109" i="46"/>
  <c r="N103" i="46"/>
  <c r="N106" i="46"/>
  <c r="N107" i="46"/>
  <c r="F105" i="46"/>
  <c r="F104" i="46"/>
  <c r="F109" i="46"/>
  <c r="E104" i="46"/>
  <c r="E109" i="46"/>
  <c r="E103" i="46"/>
  <c r="E106" i="46"/>
  <c r="E102" i="46"/>
  <c r="E107" i="46"/>
  <c r="E105" i="46"/>
  <c r="I116" i="46"/>
  <c r="J116" i="46" s="1"/>
  <c r="K116" i="46" s="1"/>
  <c r="L116" i="46" s="1"/>
  <c r="M116" i="46" s="1"/>
  <c r="D118" i="46"/>
  <c r="E118" i="46" s="1"/>
  <c r="F118" i="46" s="1"/>
  <c r="B115" i="46"/>
  <c r="I117" i="46"/>
  <c r="J117" i="46" s="1"/>
  <c r="K117" i="46" s="1"/>
  <c r="L117" i="46" s="1"/>
  <c r="M117" i="46" s="1"/>
  <c r="I115" i="46"/>
  <c r="J115" i="46" s="1"/>
  <c r="K115" i="46" s="1"/>
  <c r="L115" i="46" s="1"/>
  <c r="M115" i="46" s="1"/>
  <c r="G118" i="46"/>
  <c r="H118" i="46" s="1"/>
  <c r="D117" i="46"/>
  <c r="E117" i="46" s="1"/>
  <c r="F117" i="46" s="1"/>
  <c r="G117" i="46" s="1"/>
  <c r="H117" i="46" s="1"/>
  <c r="I118" i="46"/>
  <c r="J118" i="46" s="1"/>
  <c r="K118" i="46" s="1"/>
  <c r="L118" i="46" s="1"/>
  <c r="M118" i="46" s="1"/>
  <c r="B117" i="46"/>
  <c r="C117" i="46" s="1"/>
  <c r="B116" i="46"/>
  <c r="C116" i="46" s="1"/>
  <c r="B118" i="46"/>
  <c r="C118" i="46" s="1"/>
  <c r="D115" i="46"/>
  <c r="E115" i="46" s="1"/>
  <c r="F115" i="46" s="1"/>
  <c r="G115" i="46" s="1"/>
  <c r="H115" i="46" s="1"/>
  <c r="D116" i="46"/>
  <c r="E116" i="46" s="1"/>
  <c r="F116" i="46" s="1"/>
  <c r="G116" i="46" s="1"/>
  <c r="H116" i="46" s="1"/>
  <c r="M107" i="46"/>
  <c r="M105" i="46"/>
  <c r="M106" i="46"/>
  <c r="M109" i="46"/>
  <c r="M104" i="46"/>
  <c r="M102" i="46"/>
  <c r="M103" i="46"/>
  <c r="C30" i="46"/>
  <c r="E30" i="46" s="1"/>
  <c r="C27" i="46" s="1"/>
  <c r="J106" i="46"/>
  <c r="J107" i="46"/>
  <c r="J103" i="46"/>
  <c r="J102" i="46"/>
  <c r="J109" i="46"/>
  <c r="J104" i="46"/>
  <c r="J105" i="46"/>
  <c r="I102" i="46"/>
  <c r="I105" i="46"/>
  <c r="I103" i="46"/>
  <c r="I104" i="46"/>
  <c r="I107" i="46"/>
  <c r="I109" i="46"/>
  <c r="I106" i="46"/>
  <c r="H104" i="46"/>
  <c r="K109" i="46"/>
  <c r="K105" i="46"/>
  <c r="K106" i="46"/>
  <c r="L105" i="46"/>
  <c r="G105" i="46"/>
  <c r="G109" i="46"/>
  <c r="G103" i="46"/>
  <c r="D106" i="46"/>
  <c r="D109" i="46"/>
  <c r="D102" i="46"/>
  <c r="D103" i="46"/>
  <c r="C19" i="15"/>
  <c r="C20" i="15" s="1"/>
  <c r="C26" i="15" s="1"/>
  <c r="C21" i="44"/>
  <c r="C22" i="44" s="1"/>
  <c r="C25" i="44" s="1"/>
  <c r="C34" i="15"/>
  <c r="F62" i="15"/>
  <c r="C61" i="15" s="1"/>
  <c r="J22" i="44"/>
  <c r="J20" i="15"/>
  <c r="C36" i="44"/>
  <c r="R16" i="1"/>
  <c r="C22" i="43"/>
  <c r="C21" i="43" s="1"/>
  <c r="C28" i="43" s="1"/>
  <c r="C30" i="43" s="1"/>
  <c r="C32" i="43" s="1"/>
  <c r="B2" i="43" s="1"/>
  <c r="AB7" i="36"/>
  <c r="T36" i="36" s="1"/>
  <c r="G36" i="36" s="1"/>
  <c r="U7" i="36"/>
  <c r="AA7" i="36"/>
  <c r="R36" i="36" s="1"/>
  <c r="S7" i="36"/>
  <c r="W7" i="36"/>
  <c r="AC7" i="36"/>
  <c r="V36" i="36" s="1"/>
  <c r="I36" i="36" s="1"/>
  <c r="F7" i="67"/>
  <c r="L107" i="46" l="1"/>
  <c r="L106" i="46"/>
  <c r="H103" i="46"/>
  <c r="H106" i="46"/>
  <c r="F102" i="46"/>
  <c r="F103" i="46"/>
  <c r="F107" i="46"/>
  <c r="D105" i="46"/>
  <c r="D104" i="46"/>
  <c r="G107" i="46"/>
  <c r="G104" i="46"/>
  <c r="G102" i="46"/>
  <c r="K102" i="46"/>
  <c r="K103" i="46"/>
  <c r="K104" i="46"/>
  <c r="L104" i="46"/>
  <c r="L103" i="46"/>
  <c r="L109" i="46"/>
  <c r="H109" i="46"/>
  <c r="H105" i="46"/>
  <c r="H107" i="46"/>
  <c r="D22" i="46"/>
  <c r="C26" i="46"/>
  <c r="B2" i="46" s="1"/>
  <c r="B3" i="46" s="1"/>
  <c r="M72" i="39"/>
  <c r="N70" i="39"/>
  <c r="N72" i="39" s="1"/>
  <c r="F9" i="39" s="1"/>
  <c r="N65" i="40"/>
  <c r="N67" i="40" s="1"/>
  <c r="M67" i="40"/>
  <c r="J9" i="40" s="1"/>
  <c r="D107" i="74"/>
  <c r="D105" i="74"/>
  <c r="D103" i="74"/>
  <c r="D106" i="74"/>
  <c r="D104" i="74"/>
  <c r="D102" i="74"/>
  <c r="D109" i="74"/>
  <c r="E109" i="74"/>
  <c r="E107" i="74"/>
  <c r="E105" i="74"/>
  <c r="E103" i="74"/>
  <c r="E106" i="74"/>
  <c r="E104" i="74"/>
  <c r="E102" i="74"/>
  <c r="M109" i="74"/>
  <c r="M107" i="74"/>
  <c r="M105" i="74"/>
  <c r="M103" i="74"/>
  <c r="M106" i="74"/>
  <c r="M104" i="74"/>
  <c r="M102" i="74"/>
  <c r="N106" i="74"/>
  <c r="N104" i="74"/>
  <c r="N102" i="74"/>
  <c r="N109" i="74"/>
  <c r="N107" i="74"/>
  <c r="N105" i="74"/>
  <c r="N103" i="74"/>
  <c r="C106" i="74"/>
  <c r="C104" i="74"/>
  <c r="C102" i="74"/>
  <c r="C109" i="74"/>
  <c r="C107" i="74"/>
  <c r="C105" i="74"/>
  <c r="C103" i="74"/>
  <c r="K106" i="74"/>
  <c r="K104" i="74"/>
  <c r="K102" i="74"/>
  <c r="K109" i="74"/>
  <c r="K107" i="74"/>
  <c r="K105" i="74"/>
  <c r="K103" i="74"/>
  <c r="D22" i="74"/>
  <c r="W13" i="39"/>
  <c r="AC13" i="39"/>
  <c r="AA13" i="39"/>
  <c r="S13" i="39"/>
  <c r="G109" i="73"/>
  <c r="G106" i="73"/>
  <c r="G104" i="73"/>
  <c r="G102" i="73"/>
  <c r="G107" i="73"/>
  <c r="G105" i="73"/>
  <c r="G103" i="73"/>
  <c r="I109" i="73"/>
  <c r="I107" i="73"/>
  <c r="I105" i="73"/>
  <c r="I103" i="73"/>
  <c r="I106" i="73"/>
  <c r="I104" i="73"/>
  <c r="I102" i="73"/>
  <c r="H107" i="73"/>
  <c r="H105" i="73"/>
  <c r="H103" i="73"/>
  <c r="H109" i="73"/>
  <c r="H106" i="73"/>
  <c r="H104" i="73"/>
  <c r="H102" i="73"/>
  <c r="C106" i="73"/>
  <c r="C104" i="73"/>
  <c r="C102" i="73"/>
  <c r="C109" i="73"/>
  <c r="C107" i="73"/>
  <c r="C105" i="73"/>
  <c r="C103" i="73"/>
  <c r="E109" i="73"/>
  <c r="E106" i="73"/>
  <c r="E104" i="73"/>
  <c r="E102" i="73"/>
  <c r="E107" i="73"/>
  <c r="E105" i="73"/>
  <c r="E103" i="73"/>
  <c r="F109" i="73"/>
  <c r="F106" i="73"/>
  <c r="F104" i="73"/>
  <c r="F102" i="73"/>
  <c r="F107" i="73"/>
  <c r="F105" i="73"/>
  <c r="F103" i="73"/>
  <c r="N109" i="73"/>
  <c r="N106" i="73"/>
  <c r="N104" i="73"/>
  <c r="N102" i="73"/>
  <c r="N107" i="73"/>
  <c r="N105" i="73"/>
  <c r="N103" i="73"/>
  <c r="J107" i="74"/>
  <c r="J105" i="74"/>
  <c r="J103" i="74"/>
  <c r="J109" i="74"/>
  <c r="J106" i="74"/>
  <c r="J104" i="74"/>
  <c r="J102" i="74"/>
  <c r="L107" i="74"/>
  <c r="L105" i="74"/>
  <c r="L103" i="74"/>
  <c r="L106" i="74"/>
  <c r="L104" i="74"/>
  <c r="L102" i="74"/>
  <c r="L109" i="74"/>
  <c r="I109" i="74"/>
  <c r="I107" i="74"/>
  <c r="I105" i="74"/>
  <c r="I103" i="74"/>
  <c r="I106" i="74"/>
  <c r="I104" i="74"/>
  <c r="I102" i="74"/>
  <c r="F106" i="74"/>
  <c r="F104" i="74"/>
  <c r="F102" i="74"/>
  <c r="F107" i="74"/>
  <c r="F105" i="74"/>
  <c r="F103" i="74"/>
  <c r="F109" i="74"/>
  <c r="H109" i="74"/>
  <c r="H106" i="74"/>
  <c r="H104" i="74"/>
  <c r="H102" i="74"/>
  <c r="H107" i="74"/>
  <c r="H105" i="74"/>
  <c r="H103" i="74"/>
  <c r="G106" i="74"/>
  <c r="G104" i="74"/>
  <c r="G102" i="74"/>
  <c r="G109" i="74"/>
  <c r="G107" i="74"/>
  <c r="G105" i="74"/>
  <c r="G103" i="74"/>
  <c r="B118" i="74"/>
  <c r="C118" i="74" s="1"/>
  <c r="B117" i="74"/>
  <c r="C117" i="74" s="1"/>
  <c r="B116" i="74"/>
  <c r="C116" i="74" s="1"/>
  <c r="B115" i="74"/>
  <c r="I117" i="74"/>
  <c r="J117" i="74" s="1"/>
  <c r="K117" i="74" s="1"/>
  <c r="L117" i="74" s="1"/>
  <c r="M117" i="74" s="1"/>
  <c r="I115" i="74"/>
  <c r="J115" i="74" s="1"/>
  <c r="K115" i="74" s="1"/>
  <c r="L115" i="74" s="1"/>
  <c r="M115" i="74" s="1"/>
  <c r="D118" i="74"/>
  <c r="E118" i="74" s="1"/>
  <c r="F118" i="74" s="1"/>
  <c r="D117" i="74"/>
  <c r="E117" i="74" s="1"/>
  <c r="F117" i="74" s="1"/>
  <c r="G117" i="74" s="1"/>
  <c r="H117" i="74" s="1"/>
  <c r="D116" i="74"/>
  <c r="E116" i="74" s="1"/>
  <c r="F116" i="74" s="1"/>
  <c r="G116" i="74" s="1"/>
  <c r="H116" i="74" s="1"/>
  <c r="D115" i="74"/>
  <c r="E115" i="74" s="1"/>
  <c r="F115" i="74" s="1"/>
  <c r="G115" i="74" s="1"/>
  <c r="H115" i="74" s="1"/>
  <c r="I118" i="74"/>
  <c r="J118" i="74" s="1"/>
  <c r="K118" i="74" s="1"/>
  <c r="L118" i="74" s="1"/>
  <c r="M118" i="74" s="1"/>
  <c r="I116" i="74"/>
  <c r="J116" i="74" s="1"/>
  <c r="K116" i="74" s="1"/>
  <c r="L116" i="74" s="1"/>
  <c r="M116" i="74" s="1"/>
  <c r="G118" i="74"/>
  <c r="H118" i="74" s="1"/>
  <c r="AB13" i="39"/>
  <c r="U13" i="39"/>
  <c r="G118" i="73"/>
  <c r="H118" i="73" s="1"/>
  <c r="I116" i="73"/>
  <c r="J116" i="73" s="1"/>
  <c r="K116" i="73" s="1"/>
  <c r="L116" i="73" s="1"/>
  <c r="M116" i="73" s="1"/>
  <c r="D118" i="73"/>
  <c r="E118" i="73" s="1"/>
  <c r="F118" i="73" s="1"/>
  <c r="D116" i="73"/>
  <c r="E116" i="73" s="1"/>
  <c r="F116" i="73" s="1"/>
  <c r="G116" i="73" s="1"/>
  <c r="H116" i="73" s="1"/>
  <c r="B118" i="73"/>
  <c r="C118" i="73" s="1"/>
  <c r="B116" i="73"/>
  <c r="C116" i="73" s="1"/>
  <c r="I118" i="73"/>
  <c r="J118" i="73" s="1"/>
  <c r="K118" i="73" s="1"/>
  <c r="L118" i="73" s="1"/>
  <c r="M118" i="73" s="1"/>
  <c r="I117" i="73"/>
  <c r="J117" i="73" s="1"/>
  <c r="K117" i="73" s="1"/>
  <c r="L117" i="73" s="1"/>
  <c r="M117" i="73" s="1"/>
  <c r="I115" i="73"/>
  <c r="J115" i="73" s="1"/>
  <c r="K115" i="73" s="1"/>
  <c r="L115" i="73" s="1"/>
  <c r="M115" i="73" s="1"/>
  <c r="D117" i="73"/>
  <c r="E117" i="73" s="1"/>
  <c r="F117" i="73" s="1"/>
  <c r="G117" i="73" s="1"/>
  <c r="H117" i="73" s="1"/>
  <c r="D115" i="73"/>
  <c r="E115" i="73" s="1"/>
  <c r="F115" i="73" s="1"/>
  <c r="G115" i="73" s="1"/>
  <c r="H115" i="73" s="1"/>
  <c r="B117" i="73"/>
  <c r="C117" i="73" s="1"/>
  <c r="B115" i="73"/>
  <c r="D109" i="73"/>
  <c r="D107" i="73"/>
  <c r="D105" i="73"/>
  <c r="D103" i="73"/>
  <c r="D106" i="73"/>
  <c r="D104" i="73"/>
  <c r="D102" i="73"/>
  <c r="L107" i="73"/>
  <c r="L105" i="73"/>
  <c r="L103" i="73"/>
  <c r="L109" i="73"/>
  <c r="L106" i="73"/>
  <c r="L104" i="73"/>
  <c r="L102" i="73"/>
  <c r="D22" i="73"/>
  <c r="K109" i="73"/>
  <c r="K106" i="73"/>
  <c r="K104" i="73"/>
  <c r="K102" i="73"/>
  <c r="K107" i="73"/>
  <c r="K105" i="73"/>
  <c r="K103" i="73"/>
  <c r="M109" i="73"/>
  <c r="M106" i="73"/>
  <c r="M104" i="73"/>
  <c r="M102" i="73"/>
  <c r="M107" i="73"/>
  <c r="M105" i="73"/>
  <c r="M103" i="73"/>
  <c r="J109" i="73"/>
  <c r="J106" i="73"/>
  <c r="J104" i="73"/>
  <c r="J102" i="73"/>
  <c r="J107" i="73"/>
  <c r="J105" i="73"/>
  <c r="J103" i="73"/>
  <c r="C23" i="70"/>
  <c r="C29" i="70" s="1"/>
  <c r="C23" i="72"/>
  <c r="C29" i="72" s="1"/>
  <c r="C23" i="71"/>
  <c r="C29" i="71" s="1"/>
  <c r="Q67" i="72"/>
  <c r="Q58" i="72"/>
  <c r="L57" i="71"/>
  <c r="L60" i="71" s="1"/>
  <c r="L46" i="71" s="1"/>
  <c r="Q67" i="70"/>
  <c r="Q58" i="70"/>
  <c r="C115" i="46"/>
  <c r="C23" i="15"/>
  <c r="C29" i="15" s="1"/>
  <c r="C28" i="44"/>
  <c r="C31" i="44" s="1"/>
  <c r="B4" i="43"/>
  <c r="B3" i="43"/>
  <c r="B5" i="43"/>
  <c r="R37" i="36"/>
  <c r="E36" i="36"/>
  <c r="G41" i="36"/>
  <c r="H41" i="36" s="1"/>
  <c r="G40" i="36"/>
  <c r="H40" i="36" s="1"/>
  <c r="I40" i="36"/>
  <c r="J40" i="36" s="1"/>
  <c r="I41" i="36"/>
  <c r="J41" i="36" s="1"/>
  <c r="B7" i="67"/>
  <c r="E7" i="67"/>
  <c r="W9" i="40" l="1"/>
  <c r="AC9" i="40"/>
  <c r="V44" i="40" s="1"/>
  <c r="I44" i="40" s="1"/>
  <c r="F9" i="40"/>
  <c r="AA9" i="39"/>
  <c r="R49" i="39" s="1"/>
  <c r="E49" i="39" s="1"/>
  <c r="E53" i="39" s="1"/>
  <c r="F53" i="39" s="1"/>
  <c r="S9" i="39"/>
  <c r="H9" i="40"/>
  <c r="J9" i="39"/>
  <c r="H9" i="39"/>
  <c r="C115" i="73"/>
  <c r="D113" i="73" s="1"/>
  <c r="J22" i="73" s="1"/>
  <c r="C21" i="73" s="1"/>
  <c r="C115" i="74"/>
  <c r="D113" i="74"/>
  <c r="J22" i="74" s="1"/>
  <c r="C21" i="74" s="1"/>
  <c r="D113" i="46"/>
  <c r="J22" i="46" s="1"/>
  <c r="B4" i="46"/>
  <c r="D4" i="46"/>
  <c r="C36" i="70"/>
  <c r="C56" i="70"/>
  <c r="C63" i="70" s="1"/>
  <c r="Q50" i="70"/>
  <c r="J19" i="70"/>
  <c r="J17" i="70" s="1"/>
  <c r="J14" i="70"/>
  <c r="J22" i="70" s="1"/>
  <c r="C13" i="70"/>
  <c r="C37" i="70" s="1"/>
  <c r="C56" i="71"/>
  <c r="C63" i="71" s="1"/>
  <c r="C36" i="71"/>
  <c r="J19" i="71"/>
  <c r="J17" i="71" s="1"/>
  <c r="C13" i="71"/>
  <c r="Q50" i="71"/>
  <c r="J14" i="71"/>
  <c r="J59" i="72"/>
  <c r="J60" i="72" s="1"/>
  <c r="J19" i="72"/>
  <c r="J17" i="72" s="1"/>
  <c r="Q50" i="72"/>
  <c r="J14" i="72"/>
  <c r="C56" i="72"/>
  <c r="C63" i="72" s="1"/>
  <c r="C36" i="72"/>
  <c r="C13" i="72"/>
  <c r="Q67" i="71"/>
  <c r="Q58" i="71"/>
  <c r="C36" i="15"/>
  <c r="C56" i="15"/>
  <c r="C13" i="15"/>
  <c r="J59" i="15"/>
  <c r="J60" i="15" s="1"/>
  <c r="Q50" i="15"/>
  <c r="C33" i="15"/>
  <c r="C31" i="15" s="1"/>
  <c r="J19" i="15"/>
  <c r="J17" i="15" s="1"/>
  <c r="J14" i="15"/>
  <c r="Q51" i="44"/>
  <c r="J16" i="44"/>
  <c r="C35" i="44"/>
  <c r="C33" i="44" s="1"/>
  <c r="C15" i="44"/>
  <c r="C38" i="44"/>
  <c r="J21" i="44"/>
  <c r="J19" i="44" s="1"/>
  <c r="C36" i="36"/>
  <c r="C37" i="36"/>
  <c r="B3" i="36" s="1"/>
  <c r="B2" i="36" s="1"/>
  <c r="E40" i="36"/>
  <c r="F40" i="36" s="1"/>
  <c r="E41" i="36"/>
  <c r="F41" i="36" s="1"/>
  <c r="AC9" i="39" l="1"/>
  <c r="V49" i="39" s="1"/>
  <c r="I49" i="39" s="1"/>
  <c r="W9" i="39"/>
  <c r="AA9" i="40"/>
  <c r="R44" i="40" s="1"/>
  <c r="S9" i="40"/>
  <c r="I48" i="40"/>
  <c r="J48" i="40" s="1"/>
  <c r="AB9" i="39"/>
  <c r="T49" i="39" s="1"/>
  <c r="U9" i="39"/>
  <c r="AB9" i="40"/>
  <c r="T44" i="40" s="1"/>
  <c r="G44" i="40" s="1"/>
  <c r="U9" i="40"/>
  <c r="C29" i="73"/>
  <c r="C29" i="74"/>
  <c r="J35" i="70"/>
  <c r="C55" i="70"/>
  <c r="C64" i="70" s="1"/>
  <c r="C57" i="70" s="1"/>
  <c r="C66" i="70" s="1"/>
  <c r="C67" i="70" s="1"/>
  <c r="C70" i="70" s="1"/>
  <c r="Q71" i="70"/>
  <c r="C30" i="70"/>
  <c r="C39" i="70" s="1"/>
  <c r="J13" i="70"/>
  <c r="J23" i="70" s="1"/>
  <c r="J16" i="70" s="1"/>
  <c r="J25" i="70" s="1"/>
  <c r="Q71" i="72"/>
  <c r="J35" i="72"/>
  <c r="C37" i="72"/>
  <c r="C30" i="72" s="1"/>
  <c r="C39" i="72" s="1"/>
  <c r="C55" i="72"/>
  <c r="C64" i="72" s="1"/>
  <c r="C57" i="72" s="1"/>
  <c r="C66" i="72" s="1"/>
  <c r="C67" i="72" s="1"/>
  <c r="J22" i="72"/>
  <c r="J13" i="72"/>
  <c r="J23" i="72" s="1"/>
  <c r="J22" i="71"/>
  <c r="J13" i="71"/>
  <c r="J23" i="71" s="1"/>
  <c r="C37" i="71"/>
  <c r="C30" i="71" s="1"/>
  <c r="C39" i="71" s="1"/>
  <c r="C55" i="71"/>
  <c r="C64" i="71" s="1"/>
  <c r="C57" i="71" s="1"/>
  <c r="C66" i="71" s="1"/>
  <c r="C67" i="71" s="1"/>
  <c r="Q71" i="71"/>
  <c r="J35" i="71"/>
  <c r="Q49" i="72"/>
  <c r="L46" i="72"/>
  <c r="C37" i="15"/>
  <c r="C30" i="15" s="1"/>
  <c r="C39" i="15" s="1"/>
  <c r="J35" i="15"/>
  <c r="Q71" i="15"/>
  <c r="C55" i="15"/>
  <c r="C64" i="15" s="1"/>
  <c r="J13" i="15"/>
  <c r="J23" i="15" s="1"/>
  <c r="J22" i="15"/>
  <c r="Q49" i="15"/>
  <c r="C60" i="15"/>
  <c r="C58" i="15" s="1"/>
  <c r="C63" i="15"/>
  <c r="C39" i="44"/>
  <c r="C32" i="44" s="1"/>
  <c r="C42" i="44" s="1"/>
  <c r="Q72" i="44"/>
  <c r="C43" i="44"/>
  <c r="J24" i="44"/>
  <c r="J15" i="44"/>
  <c r="J25" i="44" s="1"/>
  <c r="L51" i="15"/>
  <c r="L51" i="71"/>
  <c r="L51" i="70"/>
  <c r="L51" i="72"/>
  <c r="G48" i="40" l="1"/>
  <c r="H48" i="40" s="1"/>
  <c r="G49" i="40"/>
  <c r="H49" i="40" s="1"/>
  <c r="G49" i="39"/>
  <c r="R50" i="39"/>
  <c r="R45" i="40"/>
  <c r="E44" i="40"/>
  <c r="I54" i="39"/>
  <c r="J54" i="39" s="1"/>
  <c r="I53" i="39"/>
  <c r="J53" i="39" s="1"/>
  <c r="C30" i="74"/>
  <c r="E30" i="74" s="1"/>
  <c r="C27" i="74" s="1"/>
  <c r="E29" i="74"/>
  <c r="E29" i="73"/>
  <c r="C30" i="73"/>
  <c r="E30" i="73" s="1"/>
  <c r="C27" i="73" s="1"/>
  <c r="J39" i="70"/>
  <c r="J40" i="70" s="1"/>
  <c r="C40" i="70"/>
  <c r="F10" i="12" s="1"/>
  <c r="Q68" i="70"/>
  <c r="Q70" i="70"/>
  <c r="Q69" i="70" s="1"/>
  <c r="J16" i="71"/>
  <c r="J25" i="71" s="1"/>
  <c r="J16" i="72"/>
  <c r="J25" i="72" s="1"/>
  <c r="Q68" i="71"/>
  <c r="Q68" i="72"/>
  <c r="Q70" i="71"/>
  <c r="Q69" i="71" s="1"/>
  <c r="C40" i="71"/>
  <c r="C46" i="71" s="1"/>
  <c r="Q70" i="72"/>
  <c r="Q69" i="72" s="1"/>
  <c r="C40" i="72"/>
  <c r="C46" i="72" s="1"/>
  <c r="C70" i="71"/>
  <c r="J39" i="71"/>
  <c r="J40" i="71" s="1"/>
  <c r="C70" i="72"/>
  <c r="J39" i="72"/>
  <c r="J40" i="72" s="1"/>
  <c r="C57" i="15"/>
  <c r="C66" i="15" s="1"/>
  <c r="C67" i="15" s="1"/>
  <c r="C70" i="15" s="1"/>
  <c r="L57" i="15"/>
  <c r="L60" i="15" s="1"/>
  <c r="L46" i="15" s="1"/>
  <c r="Q68" i="15"/>
  <c r="C40" i="15"/>
  <c r="E10" i="12" s="1"/>
  <c r="Q70" i="15"/>
  <c r="Q69" i="15" s="1"/>
  <c r="J16" i="15"/>
  <c r="J25" i="15" s="1"/>
  <c r="J39" i="15"/>
  <c r="J40" i="15" s="1"/>
  <c r="J18" i="44"/>
  <c r="J27" i="44" s="1"/>
  <c r="C44" i="44"/>
  <c r="C45" i="44" s="1"/>
  <c r="Q71" i="44"/>
  <c r="Q70" i="44" s="1"/>
  <c r="F9" i="67"/>
  <c r="F8" i="67"/>
  <c r="E49" i="40" l="1"/>
  <c r="F49" i="40" s="1"/>
  <c r="E48" i="40"/>
  <c r="F48" i="40" s="1"/>
  <c r="I49" i="40"/>
  <c r="J49" i="40" s="1"/>
  <c r="C50" i="39"/>
  <c r="C49" i="39"/>
  <c r="C45" i="40"/>
  <c r="C44" i="40"/>
  <c r="G54" i="39"/>
  <c r="H54" i="39" s="1"/>
  <c r="G53" i="39"/>
  <c r="H53" i="39" s="1"/>
  <c r="E54" i="39"/>
  <c r="F54" i="39" s="1"/>
  <c r="E4" i="67"/>
  <c r="C26" i="73"/>
  <c r="C26" i="74"/>
  <c r="Q57" i="70"/>
  <c r="Q63" i="70" s="1"/>
  <c r="B2" i="70"/>
  <c r="B3" i="70" s="1"/>
  <c r="Q66" i="70"/>
  <c r="Q76" i="70" s="1"/>
  <c r="C46" i="70"/>
  <c r="J42" i="70"/>
  <c r="J43" i="70" s="1"/>
  <c r="C43" i="70"/>
  <c r="F8" i="12" s="1"/>
  <c r="Q48" i="70"/>
  <c r="Q54" i="70" s="1"/>
  <c r="B2" i="72"/>
  <c r="B3" i="72" s="1"/>
  <c r="D10" i="12"/>
  <c r="Q57" i="72"/>
  <c r="Q63" i="72" s="1"/>
  <c r="C43" i="72"/>
  <c r="D8" i="12" s="1"/>
  <c r="Q66" i="72"/>
  <c r="Q76" i="72" s="1"/>
  <c r="Q48" i="72"/>
  <c r="Q54" i="72" s="1"/>
  <c r="J42" i="72"/>
  <c r="J43" i="72" s="1"/>
  <c r="G10" i="12"/>
  <c r="Q57" i="71"/>
  <c r="Q63" i="71" s="1"/>
  <c r="C43" i="71"/>
  <c r="G8" i="12" s="1"/>
  <c r="Q66" i="71"/>
  <c r="Q76" i="71" s="1"/>
  <c r="Q48" i="71"/>
  <c r="Q54" i="71" s="1"/>
  <c r="B2" i="71"/>
  <c r="B3" i="71" s="1"/>
  <c r="J42" i="71"/>
  <c r="J43" i="71" s="1"/>
  <c r="C46" i="15"/>
  <c r="Q57" i="15"/>
  <c r="Q66" i="15"/>
  <c r="B2" i="15"/>
  <c r="B3" i="15" s="1"/>
  <c r="Q48" i="15"/>
  <c r="Q54" i="15" s="1"/>
  <c r="C43" i="15"/>
  <c r="E8" i="12" s="1"/>
  <c r="J42" i="15"/>
  <c r="J43" i="15" s="1"/>
  <c r="Q67" i="15"/>
  <c r="Q58" i="15"/>
  <c r="B2" i="44"/>
  <c r="L52" i="44"/>
  <c r="E9" i="67"/>
  <c r="E8" i="67"/>
  <c r="B61" i="40" l="1"/>
  <c r="F61" i="40" s="1"/>
  <c r="B60" i="40"/>
  <c r="F60" i="40" s="1"/>
  <c r="B55" i="40"/>
  <c r="F55" i="40" s="1"/>
  <c r="B59" i="40"/>
  <c r="F59" i="40" s="1"/>
  <c r="B58" i="40"/>
  <c r="F58" i="40" s="1"/>
  <c r="B57" i="40"/>
  <c r="F57" i="40" s="1"/>
  <c r="B62" i="40"/>
  <c r="F62" i="40" s="1"/>
  <c r="B54" i="40"/>
  <c r="F54" i="40" s="1"/>
  <c r="B56" i="40"/>
  <c r="F56" i="40" s="1"/>
  <c r="B53" i="40"/>
  <c r="F53" i="40" s="1"/>
  <c r="F63" i="40"/>
  <c r="B2" i="40" s="1"/>
  <c r="B65" i="39"/>
  <c r="F65" i="39" s="1"/>
  <c r="B67" i="39"/>
  <c r="F67" i="39" s="1"/>
  <c r="B60" i="39"/>
  <c r="F60" i="39" s="1"/>
  <c r="B66" i="39"/>
  <c r="F66" i="39" s="1"/>
  <c r="B61" i="39"/>
  <c r="F61" i="39" s="1"/>
  <c r="B63" i="39"/>
  <c r="F63" i="39" s="1"/>
  <c r="B64" i="39"/>
  <c r="F64" i="39" s="1"/>
  <c r="B59" i="39"/>
  <c r="F59" i="39" s="1"/>
  <c r="B58" i="39"/>
  <c r="F58" i="39" s="1"/>
  <c r="B62" i="39"/>
  <c r="F62" i="39" s="1"/>
  <c r="E3" i="67"/>
  <c r="B2" i="74"/>
  <c r="B2" i="73"/>
  <c r="C6" i="12"/>
  <c r="C24" i="12" s="1"/>
  <c r="Q63" i="15"/>
  <c r="Q76" i="15"/>
  <c r="B3" i="44"/>
  <c r="B4" i="44"/>
  <c r="B5" i="44"/>
  <c r="Q69" i="44"/>
  <c r="L58" i="44"/>
  <c r="L61" i="44" s="1"/>
  <c r="B8" i="67"/>
  <c r="B9" i="67"/>
  <c r="F68" i="39" l="1"/>
  <c r="B2" i="39" s="1"/>
  <c r="B4" i="40"/>
  <c r="B5" i="40"/>
  <c r="B3" i="40"/>
  <c r="B2" i="67"/>
  <c r="B3" i="74"/>
  <c r="D4" i="74"/>
  <c r="B4" i="74"/>
  <c r="D4" i="73"/>
  <c r="B4" i="73"/>
  <c r="B3" i="73"/>
  <c r="C29" i="12"/>
  <c r="Q59" i="44"/>
  <c r="Q64" i="44" s="1"/>
  <c r="Q68" i="44"/>
  <c r="Q77" i="44" s="1"/>
  <c r="C19" i="9"/>
  <c r="B4" i="39" l="1"/>
  <c r="B3" i="39"/>
  <c r="B5" i="39"/>
  <c r="L43" i="9"/>
  <c r="B3" i="67"/>
  <c r="B4" i="67"/>
  <c r="C11" i="11"/>
  <c r="C10" i="11" s="1"/>
  <c r="C17" i="11" s="1"/>
  <c r="C20" i="12"/>
  <c r="C20" i="9"/>
  <c r="C21" i="9"/>
  <c r="C18" i="11" l="1"/>
  <c r="C19" i="11" s="1"/>
  <c r="C23" i="12"/>
  <c r="C35" i="12" s="1"/>
  <c r="C33" i="12" s="1"/>
  <c r="C20" i="11" l="1"/>
  <c r="C21" i="11" s="1"/>
  <c r="C22" i="11" s="1"/>
  <c r="C23" i="11" s="1"/>
  <c r="B2" i="11" s="1"/>
  <c r="C28" i="12"/>
  <c r="C26" i="12" s="1"/>
  <c r="C31" i="12" s="1"/>
  <c r="C30" i="12" s="1"/>
  <c r="C36" i="12" s="1"/>
  <c r="B2" i="12" s="1"/>
  <c r="D19" i="9"/>
  <c r="L44" i="9" l="1"/>
  <c r="G19" i="9"/>
  <c r="D22" i="9"/>
  <c r="B4" i="12"/>
  <c r="B3" i="12"/>
  <c r="B5" i="12"/>
  <c r="B5" i="11"/>
  <c r="B3" i="11"/>
  <c r="B4" i="11"/>
  <c r="D20" i="9"/>
  <c r="D21" i="9"/>
  <c r="G21" i="9" l="1"/>
  <c r="G20" i="9"/>
  <c r="G22" i="9"/>
  <c r="C32" i="9"/>
  <c r="N43" i="9"/>
  <c r="O43" i="9" l="1"/>
  <c r="O38" i="9"/>
  <c r="C33" i="9"/>
  <c r="C42" i="9"/>
  <c r="C35" i="9"/>
  <c r="F42" i="9" s="1"/>
  <c r="C34" i="9"/>
  <c r="D42" i="9" l="1"/>
  <c r="Q5" i="54" s="1"/>
  <c r="N38" i="9"/>
  <c r="K28" i="9" s="1"/>
  <c r="E42" i="9"/>
  <c r="P5" i="54" s="1"/>
  <c r="M38" i="9"/>
  <c r="K27" i="9" s="1"/>
  <c r="C44" i="9"/>
  <c r="R5" i="54"/>
  <c r="D14" i="66"/>
  <c r="N68" i="9"/>
  <c r="D63" i="9"/>
  <c r="K26" i="9"/>
  <c r="K25" i="9"/>
  <c r="B48" i="63" l="1"/>
  <c r="B46" i="63"/>
  <c r="B47" i="63"/>
  <c r="D73" i="9"/>
  <c r="N73" i="9" s="1"/>
  <c r="C96" i="9"/>
  <c r="C91" i="9" s="1"/>
  <c r="C90" i="9"/>
  <c r="C82" i="9"/>
  <c r="C81" i="9" s="1"/>
  <c r="C85" i="9" s="1"/>
  <c r="C86" i="9" s="1"/>
  <c r="D72" i="9" s="1"/>
  <c r="D71" i="9"/>
  <c r="D66" i="9" s="1"/>
  <c r="N72" i="9" s="1"/>
  <c r="C103" i="9"/>
  <c r="C111" i="9"/>
  <c r="C104" i="9" s="1"/>
  <c r="D70" i="9"/>
  <c r="B5" i="66"/>
  <c r="F14" i="66"/>
  <c r="E14" i="66"/>
  <c r="D44" i="9"/>
  <c r="O39" i="9"/>
  <c r="N69" i="9"/>
  <c r="G14" i="66"/>
  <c r="B6" i="66" s="1"/>
  <c r="F44" i="9"/>
  <c r="E44" i="9"/>
  <c r="C97" i="9" l="1"/>
  <c r="C98" i="9" s="1"/>
  <c r="E98" i="9" s="1"/>
  <c r="E99" i="9" s="1"/>
  <c r="D6" i="66"/>
  <c r="C6" i="66"/>
  <c r="K29" i="9"/>
  <c r="K30" i="9" s="1"/>
  <c r="R6" i="54"/>
  <c r="D5" i="66"/>
  <c r="C5" i="66"/>
  <c r="M86" i="9"/>
  <c r="N86" i="9" s="1"/>
  <c r="M85" i="9"/>
  <c r="N85" i="9" s="1"/>
  <c r="M87" i="9"/>
  <c r="N87" i="9" s="1"/>
  <c r="M88" i="9"/>
  <c r="N88" i="9" s="1"/>
  <c r="M84" i="9"/>
  <c r="N84" i="9" s="1"/>
  <c r="M83" i="9"/>
  <c r="N83" i="9" s="1"/>
  <c r="C113" i="9"/>
  <c r="B50" i="63" l="1"/>
  <c r="C99" i="9"/>
  <c r="N89" i="9"/>
  <c r="O89" i="9" s="1"/>
  <c r="C114" i="9"/>
  <c r="E114" i="9" s="1"/>
  <c r="E115" i="9" s="1"/>
  <c r="C115" i="9" l="1"/>
  <c r="D76" i="9" s="1"/>
  <c r="D74" i="9" s="1"/>
  <c r="N74" i="9" s="1"/>
  <c r="O77" i="9" s="1"/>
  <c r="O78" i="9" s="1"/>
  <c r="Q77" i="9" l="1"/>
  <c r="O79" i="9"/>
  <c r="O80" i="9" s="1"/>
  <c r="O81" i="9" l="1"/>
  <c r="B2" i="35"/>
  <c r="B3"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<sst xmlns="http://schemas.openxmlformats.org/spreadsheetml/2006/main" count="9156" uniqueCount="3273">
  <si>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</si>
  <si>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</si>
  <si>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</si>
  <si>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</si>
  <si>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</si>
  <si>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</si>
  <si>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</si>
  <si>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</si>
  <si>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</si>
  <si>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</si>
  <si>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</si>
  <si>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</si>
  <si>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</si>
  <si>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</si>
  <si>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</si>
  <si>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</si>
  <si>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</si>
  <si>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</si>
  <si>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</si>
  <si>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</si>
  <si>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</si>
  <si>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</si>
  <si>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</si>
  <si>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</si>
  <si>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</si>
  <si>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</si>
  <si>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</si>
  <si>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</si>
  <si>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</si>
  <si>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</si>
  <si>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</si>
  <si>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</si>
  <si>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</si>
  <si>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</si>
  <si>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</si>
  <si>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</si>
  <si>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</si>
  <si>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</si>
  <si>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</si>
  <si>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</si>
  <si>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</si>
  <si>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</si>
  <si>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</si>
  <si>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</si>
  <si>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</si>
  <si>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</si>
  <si>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</si>
  <si>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</si>
  <si>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</si>
  <si>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</si>
  <si>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</si>
  <si>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</si>
  <si>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</si>
  <si>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</si>
  <si>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</si>
  <si>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</si>
  <si>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</si>
  <si>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</si>
  <si>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</si>
  <si>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</si>
  <si>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</si>
  <si>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</si>
  <si>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</si>
  <si>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</si>
  <si>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</si>
  <si>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</si>
  <si>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</si>
  <si>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</si>
  <si>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</si>
  <si>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</si>
  <si>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</si>
  <si>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</si>
  <si>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</si>
  <si>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</si>
  <si>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</si>
  <si>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</si>
  <si>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</si>
  <si>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</si>
  <si>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</si>
  <si>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</si>
  <si>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</si>
  <si>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</si>
  <si>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</si>
  <si>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</si>
  <si>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</si>
  <si>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</si>
  <si>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</si>
  <si>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</si>
  <si>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</si>
  <si>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</si>
  <si>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</si>
  <si>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</si>
  <si>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</si>
  <si>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</si>
  <si>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</si>
  <si>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</si>
  <si>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</si>
  <si>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</si>
  <si>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</si>
  <si>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</si>
  <si>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</si>
  <si>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</si>
  <si>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</si>
  <si>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</si>
  <si>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</si>
  <si>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</si>
  <si>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</si>
  <si>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</si>
  <si>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</si>
  <si>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</si>
  <si>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</si>
  <si>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</si>
  <si>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</si>
  <si>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</si>
  <si>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</si>
  <si>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</si>
  <si>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</si>
  <si>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</si>
  <si>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</si>
  <si>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</si>
  <si>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</si>
  <si>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</si>
  <si>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</si>
  <si>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</si>
  <si>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</si>
  <si>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</si>
  <si>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</si>
  <si>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</si>
  <si>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</si>
  <si>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</si>
  <si>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</si>
  <si>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</si>
  <si>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</si>
  <si>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</si>
  <si>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</si>
  <si>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</si>
  <si>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</si>
  <si>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</si>
  <si>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</si>
  <si>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</si>
  <si>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</si>
  <si>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</si>
  <si>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</si>
  <si>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</si>
  <si>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</si>
  <si>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</si>
  <si>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</si>
  <si>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</si>
  <si>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</si>
  <si>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</si>
  <si>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</si>
  <si>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</si>
  <si>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</si>
  <si>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</si>
  <si>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</si>
  <si>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</si>
  <si>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</si>
  <si>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</si>
  <si>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</si>
  <si>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</si>
  <si>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</si>
  <si>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</si>
  <si>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</si>
  <si>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</si>
  <si>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</si>
  <si>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</si>
  <si>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</si>
  <si>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</si>
  <si>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</si>
  <si>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</si>
  <si>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</si>
  <si>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</si>
  <si>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</si>
  <si>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</si>
  <si>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</si>
  <si>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</si>
  <si>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</si>
  <si>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</si>
  <si>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</si>
  <si>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</si>
  <si>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</si>
  <si>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</si>
  <si>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</si>
  <si>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</si>
  <si>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</si>
  <si>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</si>
  <si>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</si>
  <si>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</si>
  <si>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</si>
  <si>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</si>
  <si>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</si>
  <si>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</si>
  <si>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</si>
  <si>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</si>
  <si>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</si>
  <si>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</si>
  <si>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</si>
  <si>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</si>
  <si>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</si>
  <si>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</si>
  <si>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</si>
  <si>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</si>
  <si>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</si>
  <si>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</si>
  <si>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</si>
  <si>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</si>
  <si>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</si>
  <si>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</si>
  <si>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</si>
  <si>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</si>
  <si>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</si>
  <si>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</si>
  <si>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</si>
  <si>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</si>
  <si>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</si>
  <si>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</si>
  <si>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</si>
  <si>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</si>
  <si>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</si>
  <si>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</si>
  <si>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</si>
  <si>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</si>
  <si>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</si>
  <si>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</si>
  <si>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</si>
  <si>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</si>
  <si>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</si>
  <si>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</si>
  <si>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</si>
  <si>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</si>
  <si>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</si>
  <si>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</si>
  <si>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</si>
  <si>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</si>
  <si>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</si>
  <si>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</si>
  <si>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</si>
  <si>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</si>
  <si>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</si>
  <si>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</si>
  <si>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</si>
  <si>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</si>
  <si>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</si>
  <si>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</si>
  <si>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</si>
  <si>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</si>
  <si>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</si>
  <si>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</si>
  <si>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</si>
  <si>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</si>
  <si>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</si>
  <si>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</si>
  <si>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</si>
  <si>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</si>
  <si>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</si>
  <si>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</si>
  <si>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</si>
  <si>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</si>
  <si>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</si>
  <si>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</si>
  <si>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</si>
  <si>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</si>
  <si>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</si>
  <si>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</si>
  <si>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</si>
  <si>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</si>
  <si>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</si>
  <si>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</si>
  <si>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</si>
  <si>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</si>
  <si>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</si>
  <si>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</si>
  <si>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</si>
  <si>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</si>
  <si>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</si>
  <si>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</si>
  <si>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</si>
  <si>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</si>
  <si>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</si>
  <si>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</si>
  <si>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</si>
  <si>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</si>
  <si>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</si>
  <si>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</si>
  <si>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</si>
  <si>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</si>
  <si>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</si>
  <si>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</si>
  <si>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</si>
  <si>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</si>
  <si>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</si>
  <si>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</si>
  <si>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</si>
  <si>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</si>
  <si>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</si>
  <si>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</si>
  <si>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</si>
  <si>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</si>
  <si>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</si>
  <si>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</si>
  <si>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</si>
  <si>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</si>
  <si>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</si>
  <si>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</si>
  <si>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</si>
  <si>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</si>
  <si>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</si>
  <si>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</si>
  <si>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</si>
  <si>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</si>
  <si>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</si>
  <si>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</si>
  <si>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</si>
  <si>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</si>
  <si>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</si>
  <si>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</si>
  <si>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</si>
  <si>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</si>
  <si>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</si>
  <si>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</si>
  <si>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</si>
  <si>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</si>
  <si>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</si>
  <si>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</si>
  <si>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</si>
  <si>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</si>
  <si>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</si>
  <si>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</si>
  <si>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</si>
  <si>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</si>
  <si>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</si>
  <si>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</si>
  <si>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</si>
  <si>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</si>
  <si>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</si>
  <si>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</si>
  <si>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</si>
  <si>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</si>
  <si>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</si>
  <si>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</si>
  <si>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</si>
  <si>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</si>
  <si>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</si>
  <si>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</si>
  <si>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</si>
  <si>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</si>
  <si>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</si>
  <si>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</si>
  <si>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</si>
  <si>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</si>
  <si>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</si>
  <si>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</si>
  <si>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</si>
  <si>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</si>
  <si>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</si>
  <si>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</si>
  <si>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</si>
  <si>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</si>
  <si>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</si>
  <si>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</si>
  <si>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</si>
  <si>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</si>
  <si>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</si>
  <si>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</si>
  <si>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</si>
  <si>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</si>
  <si>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</si>
  <si>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</si>
  <si>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</si>
  <si>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</si>
  <si>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</si>
  <si>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</si>
  <si>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</si>
  <si>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</si>
  <si>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</si>
  <si>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</si>
  <si>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</si>
  <si>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</si>
  <si>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</si>
  <si>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</si>
  <si>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</si>
  <si>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</si>
  <si>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</si>
  <si>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</si>
  <si>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</si>
  <si>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</si>
  <si>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</si>
  <si>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</si>
  <si>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</si>
  <si>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</si>
  <si>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</si>
  <si>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</si>
  <si>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</si>
  <si>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</si>
  <si>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</si>
  <si>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</si>
  <si>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</si>
  <si>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</si>
  <si>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</si>
  <si>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</si>
  <si>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</si>
  <si>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</si>
  <si>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</si>
  <si>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</si>
  <si>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</si>
  <si>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</si>
  <si>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</si>
  <si>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</si>
  <si>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</si>
  <si>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</si>
  <si>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</si>
  <si>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</si>
  <si>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</si>
  <si>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</si>
  <si>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</si>
  <si>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</si>
  <si>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</si>
  <si>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</si>
  <si>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</si>
  <si>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</si>
  <si>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</si>
  <si>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</si>
  <si>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</si>
  <si>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</si>
  <si>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</si>
  <si>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</si>
  <si>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</si>
  <si>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</si>
  <si>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</si>
  <si>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</si>
  <si>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</si>
  <si>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</si>
  <si>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</si>
  <si>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</si>
  <si>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</si>
  <si>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</si>
  <si>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</si>
  <si>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</si>
  <si>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</si>
  <si>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</si>
  <si>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</si>
  <si>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</si>
  <si>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</si>
  <si>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</si>
  <si>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</si>
  <si>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</si>
  <si>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</si>
  <si>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</si>
  <si>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</si>
  <si>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</si>
  <si>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</si>
  <si>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</si>
  <si>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</si>
  <si>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</si>
  <si>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</si>
  <si>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</si>
  <si>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</si>
  <si>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</si>
  <si>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</si>
  <si>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</si>
  <si>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</si>
  <si>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</si>
  <si>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</si>
  <si>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</si>
  <si>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</si>
  <si>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</si>
  <si>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</si>
  <si>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</si>
  <si>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</si>
  <si>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</si>
  <si>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</si>
  <si>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</si>
  <si>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</si>
  <si>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</si>
  <si>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</si>
  <si>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</si>
  <si>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</si>
  <si>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</si>
  <si>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</si>
  <si>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</si>
  <si>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</si>
  <si>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</si>
  <si>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</si>
  <si>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</si>
  <si>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</si>
  <si>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</si>
  <si>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</si>
  <si>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</si>
  <si>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</si>
  <si>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</si>
  <si>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</si>
  <si>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</si>
  <si>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</si>
  <si>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</si>
  <si>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</si>
  <si>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</si>
  <si>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</si>
  <si>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</si>
  <si>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</si>
  <si>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</si>
  <si>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</si>
  <si>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</si>
  <si>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</si>
  <si>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</si>
  <si>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</si>
  <si>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</si>
  <si>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</si>
  <si>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</si>
  <si>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</si>
  <si>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</si>
  <si>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</si>
  <si>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</si>
  <si>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</si>
  <si>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</si>
  <si>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</si>
  <si>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</si>
  <si>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</si>
  <si>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</si>
  <si>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</si>
  <si>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</si>
  <si>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</si>
  <si>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</si>
  <si>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</si>
  <si>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</si>
  <si>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</si>
  <si>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</si>
  <si>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</si>
  <si>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</si>
  <si>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</si>
  <si>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</si>
  <si>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</si>
  <si>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</si>
  <si>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</si>
  <si>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</si>
  <si>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</si>
  <si>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</si>
  <si>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</si>
  <si>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</si>
  <si>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</si>
  <si>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</si>
  <si>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</si>
  <si>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</si>
  <si>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</si>
  <si>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</si>
  <si>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</si>
  <si>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</si>
  <si>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</si>
  <si>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</si>
  <si>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</si>
  <si>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</si>
  <si>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</si>
  <si>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</si>
  <si>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</si>
  <si>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</si>
  <si>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</si>
  <si>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</si>
  <si>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</si>
  <si>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</si>
  <si>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</si>
  <si>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</si>
  <si>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</si>
  <si>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</si>
  <si>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</si>
  <si>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</si>
  <si>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</si>
  <si>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</si>
  <si>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</si>
  <si>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</si>
  <si>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</si>
  <si>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</si>
  <si>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</si>
  <si>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</si>
  <si>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</si>
  <si>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</si>
  <si>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</si>
  <si>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</si>
  <si>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</si>
  <si>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</si>
  <si>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</si>
  <si>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</si>
  <si>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</si>
  <si>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</si>
  <si>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</si>
  <si>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</si>
  <si>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</si>
  <si>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</si>
  <si>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</si>
  <si>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</si>
  <si>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</si>
  <si>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</si>
  <si>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</si>
  <si>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</si>
  <si>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</si>
  <si>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</si>
  <si>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</si>
  <si>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</si>
  <si>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</si>
  <si>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</si>
  <si>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</si>
  <si>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</si>
  <si>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</si>
  <si>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</si>
  <si>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</si>
  <si>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</si>
  <si>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</si>
  <si>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</si>
  <si>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</si>
  <si>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</si>
  <si>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</si>
  <si>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</si>
  <si>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</si>
  <si>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</si>
  <si>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</si>
  <si>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</si>
  <si>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</si>
  <si>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</si>
  <si>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</si>
  <si>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</si>
  <si>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</si>
  <si>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</si>
  <si>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</si>
  <si>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</si>
  <si>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</si>
  <si>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</si>
  <si>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</si>
  <si>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</si>
  <si>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</si>
  <si>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</si>
  <si>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</si>
  <si>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</si>
  <si>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</si>
  <si>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</si>
  <si>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</si>
  <si>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</si>
  <si>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</si>
  <si>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</si>
  <si>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</si>
  <si>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</si>
  <si>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</si>
  <si>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</si>
  <si>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</si>
  <si>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</si>
  <si>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</si>
  <si>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</si>
  <si>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</si>
  <si>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</si>
  <si>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</si>
  <si>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</si>
  <si>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</si>
  <si>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</si>
  <si>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</si>
  <si>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</si>
  <si>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</si>
  <si>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</si>
  <si>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</si>
  <si>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</si>
  <si>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</si>
  <si>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</si>
  <si>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</si>
  <si>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</si>
  <si>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</si>
  <si>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</si>
  <si>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</si>
  <si>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</si>
  <si>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</si>
  <si>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</si>
  <si>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</si>
  <si>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</si>
  <si>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</si>
  <si>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</si>
  <si>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</si>
  <si>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</si>
  <si>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</si>
  <si>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</si>
  <si>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</si>
  <si>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</si>
  <si>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</si>
  <si>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</si>
  <si>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</si>
  <si>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</si>
  <si>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</si>
  <si>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</si>
  <si>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</si>
  <si>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</si>
  <si>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</si>
  <si>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</si>
  <si>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</si>
  <si>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</si>
  <si>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</si>
  <si>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</si>
  <si>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</si>
  <si>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</si>
  <si>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</si>
  <si>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</si>
  <si>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</si>
  <si>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</si>
  <si>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</si>
  <si>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</si>
  <si>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</si>
  <si>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</si>
  <si>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</si>
  <si>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</si>
  <si>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</si>
  <si>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</si>
  <si>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</si>
  <si>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</si>
  <si>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</si>
  <si>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</si>
  <si>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</si>
  <si>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</si>
  <si>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</si>
  <si>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</si>
  <si>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</si>
  <si>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</si>
  <si>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</si>
  <si>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</si>
  <si>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</si>
  <si>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</si>
  <si>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</si>
  <si>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</si>
  <si>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</si>
  <si>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</si>
  <si>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</si>
  <si>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</si>
  <si>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</si>
  <si>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</si>
  <si>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</si>
  <si>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</si>
  <si>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</si>
  <si>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</si>
  <si>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</si>
  <si>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</si>
  <si>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</si>
  <si>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</si>
  <si>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</si>
  <si>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</si>
  <si>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</si>
  <si>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</si>
  <si>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</si>
  <si>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</si>
  <si>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</si>
  <si>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</si>
  <si>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</si>
  <si>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</si>
  <si>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</si>
  <si>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</si>
  <si>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</si>
  <si>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</si>
  <si>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</si>
  <si>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</si>
  <si>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</si>
  <si>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</si>
  <si>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</si>
  <si>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</si>
  <si>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</si>
  <si>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</si>
  <si>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</si>
  <si>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</si>
  <si>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</si>
  <si>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</si>
  <si>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</si>
  <si>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</si>
  <si>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</si>
  <si>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</si>
  <si>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</si>
  <si>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</si>
  <si>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</si>
  <si>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</si>
  <si>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</si>
  <si>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</si>
  <si>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</si>
  <si>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</si>
  <si>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</si>
  <si>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</si>
  <si>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</si>
  <si>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</si>
  <si>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</si>
  <si>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</si>
  <si>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</si>
  <si>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</si>
  <si>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</si>
  <si>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</si>
  <si>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</si>
  <si>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</si>
  <si>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</si>
  <si>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</si>
  <si>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</si>
  <si>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</si>
  <si>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</si>
  <si>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</si>
  <si>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</si>
  <si>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</si>
  <si>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</si>
  <si>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</si>
  <si>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</si>
  <si>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</si>
  <si>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</si>
  <si>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</si>
  <si>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</si>
  <si>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</si>
  <si>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</si>
  <si>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</si>
  <si>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</si>
  <si>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</si>
  <si>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</si>
  <si>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</si>
  <si>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</si>
  <si>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</si>
  <si>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</si>
  <si>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</si>
  <si>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</si>
  <si>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</si>
  <si>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</si>
  <si>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</si>
  <si>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</si>
  <si>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</si>
  <si>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</si>
  <si>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</si>
  <si>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</si>
  <si>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</si>
  <si>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</si>
  <si>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</si>
  <si>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</si>
  <si>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</si>
  <si>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</si>
  <si>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</si>
  <si>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</si>
  <si>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</si>
  <si>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</si>
  <si>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</si>
  <si>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</si>
  <si>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</si>
  <si>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</si>
  <si>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</si>
  <si>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</si>
  <si>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</si>
  <si>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</si>
  <si>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</si>
  <si>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</si>
  <si>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</si>
  <si>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</si>
  <si>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</si>
  <si>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</si>
  <si>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</si>
  <si>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</si>
  <si>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</si>
  <si>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</si>
  <si>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</si>
  <si>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</si>
  <si>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</si>
  <si>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</si>
  <si>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</si>
  <si>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</si>
  <si>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</si>
  <si>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</si>
  <si>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</si>
  <si>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</si>
  <si>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</si>
  <si>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</si>
  <si>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</si>
  <si>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</si>
  <si>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</si>
  <si>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</si>
  <si>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</si>
  <si>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</si>
  <si>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</si>
  <si>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</si>
  <si>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</si>
  <si>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</si>
  <si>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</si>
  <si>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</si>
  <si>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</si>
  <si>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</si>
  <si>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</si>
  <si>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</si>
  <si>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</si>
  <si>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</si>
  <si>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</si>
  <si>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</si>
  <si>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</si>
  <si>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</si>
  <si>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</si>
  <si>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</si>
  <si>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</si>
  <si>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</si>
  <si>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</si>
  <si>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</si>
  <si>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</si>
  <si>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</si>
  <si>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</si>
  <si>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</si>
  <si>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</si>
  <si>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</si>
  <si>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</si>
  <si>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</si>
  <si>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</si>
  <si>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</si>
  <si>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</si>
  <si>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</si>
  <si>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</si>
  <si>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</si>
  <si>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</si>
  <si>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</si>
  <si>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</si>
  <si>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</si>
  <si>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</si>
  <si>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</si>
  <si>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</si>
  <si>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</si>
  <si>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</si>
  <si>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</si>
  <si>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</si>
  <si>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</si>
  <si>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</si>
  <si>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</si>
  <si>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</si>
  <si>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</si>
  <si>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</si>
  <si>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</si>
  <si>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</si>
  <si>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</si>
  <si>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</si>
  <si>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</si>
  <si>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</si>
  <si>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</si>
  <si>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</si>
  <si>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</si>
  <si>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</si>
  <si>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</si>
  <si>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</si>
  <si>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</si>
  <si>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</si>
  <si>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</si>
  <si>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</si>
  <si>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</si>
  <si>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</si>
  <si>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</si>
  <si>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</si>
  <si>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</si>
  <si>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</si>
  <si>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</si>
  <si>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</si>
  <si>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</si>
  <si>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</si>
  <si>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</si>
  <si>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</si>
  <si>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</si>
  <si>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</si>
  <si>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</si>
  <si>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</si>
  <si>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</si>
  <si>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</si>
  <si>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</si>
  <si>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</si>
  <si>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</si>
  <si>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</si>
  <si>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</si>
  <si>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</si>
  <si>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</si>
  <si>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</si>
  <si>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</si>
  <si>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</si>
  <si>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</si>
  <si>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</si>
  <si>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</si>
  <si>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</si>
  <si>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</si>
  <si>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</si>
  <si>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</si>
  <si>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</si>
  <si>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</si>
  <si>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</si>
  <si>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</si>
  <si>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</si>
  <si>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</si>
  <si>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</si>
  <si>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</si>
  <si>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</si>
  <si>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</si>
  <si>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</si>
  <si>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</si>
  <si>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</si>
  <si>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</si>
  <si>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</si>
  <si>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</si>
  <si>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</si>
  <si>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</si>
  <si>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</si>
  <si>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</si>
  <si>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</si>
  <si>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</si>
  <si>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</si>
  <si>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</si>
  <si>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</si>
  <si>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</si>
  <si>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</si>
  <si>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</si>
  <si>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</si>
  <si>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</si>
  <si>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</si>
  <si>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</si>
  <si>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</si>
  <si>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</si>
  <si>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</si>
  <si>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</si>
  <si>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</si>
  <si>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</si>
  <si>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</si>
  <si>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</si>
  <si>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</si>
  <si>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</si>
  <si>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</si>
  <si>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</si>
  <si>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</si>
  <si>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</si>
  <si>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</si>
  <si>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</si>
  <si>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</si>
  <si>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</si>
  <si>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</si>
  <si>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</si>
  <si>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</si>
  <si>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</si>
  <si>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</si>
  <si>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</si>
  <si>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</si>
  <si>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</si>
  <si>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</si>
  <si>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</si>
  <si>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</si>
  <si>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</si>
  <si>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</si>
  <si>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</si>
  <si>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</si>
  <si>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</si>
  <si>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</si>
  <si>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</si>
  <si>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</si>
  <si>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</si>
  <si>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</si>
  <si>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</si>
  <si>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</si>
  <si>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</si>
  <si>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</si>
  <si>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</si>
  <si>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</si>
  <si>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</si>
  <si>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</si>
  <si>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</si>
  <si>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</si>
  <si>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</si>
  <si>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</si>
  <si>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</si>
  <si>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</si>
  <si>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</si>
  <si>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</si>
  <si>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</si>
  <si>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</si>
  <si>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</si>
  <si>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</si>
  <si>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</si>
  <si>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</si>
  <si>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</si>
  <si>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</si>
  <si>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</si>
  <si>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</si>
  <si>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</si>
  <si>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</si>
  <si>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</si>
  <si>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</si>
  <si>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</si>
  <si>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</si>
  <si>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</si>
  <si>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</si>
  <si>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</si>
  <si>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</si>
  <si>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</si>
  <si>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</si>
  <si>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</si>
  <si>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</si>
  <si>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</si>
  <si>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</si>
  <si>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</si>
  <si>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</si>
  <si>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</si>
  <si>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</si>
  <si>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</si>
  <si>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</si>
  <si>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</si>
  <si>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</si>
  <si>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</si>
  <si>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</si>
  <si>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</si>
  <si>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</si>
  <si>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</si>
  <si>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</si>
  <si>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</si>
  <si>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</si>
  <si>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</si>
  <si>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</si>
  <si>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</si>
  <si>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</si>
  <si>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</si>
  <si>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</si>
  <si>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</si>
  <si>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</si>
  <si>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</si>
  <si>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</si>
  <si>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</si>
  <si>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</si>
  <si>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</si>
  <si>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</si>
  <si>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</si>
  <si>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</si>
  <si>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</si>
  <si>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</si>
  <si>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</si>
  <si>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</si>
  <si>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</si>
  <si>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</si>
  <si>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</si>
  <si>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</si>
  <si>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</si>
  <si>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</si>
  <si>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</si>
  <si>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</si>
  <si>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</si>
  <si>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</si>
  <si>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</si>
  <si>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</si>
  <si>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</si>
  <si>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</si>
  <si>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</si>
  <si>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</si>
  <si>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</si>
  <si>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</si>
  <si>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</si>
  <si>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</si>
  <si>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</si>
  <si>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</si>
  <si>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</si>
  <si>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</si>
  <si>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</si>
  <si>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</si>
  <si>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</si>
  <si>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</si>
  <si>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</si>
  <si>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</si>
  <si>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</si>
  <si>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</si>
  <si>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</si>
  <si>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</si>
  <si>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</si>
  <si>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</si>
  <si>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</si>
  <si>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</si>
  <si>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</si>
  <si>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</si>
  <si>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</si>
  <si>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</si>
  <si>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</si>
  <si>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</si>
  <si>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</si>
  <si>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</si>
  <si>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</si>
  <si>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</si>
  <si>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</si>
  <si>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</si>
  <si>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</si>
  <si>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</si>
  <si>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</si>
  <si>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</si>
  <si>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</si>
  <si>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</si>
  <si>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</si>
  <si>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</si>
  <si>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</si>
  <si>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</si>
  <si>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</si>
  <si>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</si>
  <si>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</si>
  <si>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</si>
  <si>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</si>
  <si>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</si>
  <si>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</si>
  <si>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</si>
  <si>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</si>
  <si>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</si>
  <si>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</si>
  <si>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</si>
  <si>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</si>
  <si>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</si>
  <si>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</si>
  <si>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</si>
  <si>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</si>
  <si>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</si>
  <si>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</si>
  <si>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</si>
  <si>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</si>
  <si>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</si>
  <si>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</si>
  <si>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</si>
  <si>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</si>
  <si>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</si>
  <si>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</si>
  <si>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</si>
  <si>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</si>
  <si>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</si>
  <si>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</si>
  <si>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</si>
  <si>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</si>
  <si>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</si>
  <si>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</si>
  <si>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</si>
  <si>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</si>
  <si>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</si>
  <si>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</si>
  <si>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</si>
  <si>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</si>
  <si>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</si>
  <si>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</si>
  <si>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</si>
  <si>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</si>
  <si>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</si>
  <si>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</si>
  <si>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</si>
  <si>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</si>
  <si>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</si>
  <si>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</si>
  <si>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</si>
  <si>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</si>
  <si>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</si>
  <si>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</si>
  <si>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</si>
  <si>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</si>
  <si>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</si>
  <si>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</si>
  <si>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</si>
  <si>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</si>
  <si>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</si>
  <si>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</si>
  <si>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</si>
  <si>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</si>
  <si>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</si>
  <si>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</si>
  <si>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</si>
  <si>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</si>
  <si>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</si>
  <si>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</si>
  <si>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</si>
  <si>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</si>
  <si>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</si>
  <si>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</si>
  <si>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</si>
  <si>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</si>
  <si>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</si>
  <si>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</si>
  <si>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</si>
  <si>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</si>
  <si>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</si>
  <si>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</si>
  <si>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</si>
  <si>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</si>
  <si>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</si>
  <si>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</si>
  <si>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</si>
  <si>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</si>
  <si>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</si>
  <si>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</si>
  <si>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</si>
  <si>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</si>
  <si>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</si>
  <si>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</si>
  <si>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</si>
  <si>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</si>
  <si>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</si>
  <si>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</si>
  <si>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</si>
  <si>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</si>
  <si>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</si>
  <si>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</si>
  <si>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</si>
  <si>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</si>
  <si>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</si>
  <si>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</si>
  <si>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</si>
  <si>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</si>
  <si>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</si>
  <si>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</si>
  <si>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</si>
  <si>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</si>
  <si>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</si>
  <si>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</si>
  <si>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</si>
  <si>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</si>
  <si>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</si>
  <si>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</si>
  <si>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</si>
  <si>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</si>
  <si>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</si>
  <si>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</si>
  <si>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</si>
  <si>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</si>
  <si>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</si>
  <si>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</si>
  <si>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</si>
  <si>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</si>
  <si>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</si>
  <si>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</si>
  <si>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</si>
  <si>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</si>
  <si>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</si>
  <si>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</si>
  <si>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</si>
  <si>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</si>
  <si>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</si>
  <si>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</si>
  <si>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</si>
  <si>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</si>
  <si>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</si>
  <si>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</si>
  <si>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</si>
  <si>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</si>
  <si>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</si>
  <si>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</si>
  <si>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</si>
  <si>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</si>
  <si>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</si>
  <si>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</si>
  <si>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</si>
  <si>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</si>
  <si>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</si>
  <si>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</si>
  <si>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</si>
  <si>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</si>
  <si>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</si>
  <si>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</si>
  <si>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</si>
  <si>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</si>
  <si>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</si>
  <si>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</si>
  <si>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</si>
  <si>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</si>
  <si>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</si>
  <si>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</si>
  <si>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</si>
  <si>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</si>
  <si>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</si>
  <si>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</si>
  <si>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</si>
  <si>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</si>
  <si>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</si>
  <si>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</si>
  <si>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</si>
  <si>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</si>
  <si>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</si>
  <si>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</si>
  <si>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</si>
  <si>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</si>
  <si>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</si>
  <si>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</si>
  <si>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</si>
  <si>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</si>
  <si>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</si>
  <si>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</si>
  <si>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</si>
  <si>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</si>
  <si>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</si>
  <si>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</si>
  <si>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</si>
  <si>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</si>
  <si>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</si>
  <si>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</si>
  <si>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</si>
  <si>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</si>
  <si>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</si>
  <si>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</si>
  <si>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</si>
  <si>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</si>
  <si>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</si>
  <si>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</si>
  <si>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</si>
  <si>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</si>
  <si>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</si>
  <si>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</si>
  <si>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</si>
  <si>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</si>
  <si>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</si>
  <si>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</si>
  <si>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</si>
  <si>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</si>
  <si>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</si>
  <si>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</si>
  <si>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</si>
  <si>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</si>
  <si>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</si>
  <si>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</si>
  <si>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</si>
  <si>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</si>
  <si>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</si>
  <si>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</si>
  <si>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</si>
  <si>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</si>
  <si>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</si>
  <si>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</si>
  <si>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</si>
  <si>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</si>
  <si>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</si>
  <si>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</si>
  <si>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</si>
  <si>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</si>
  <si>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</si>
  <si>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</si>
  <si>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</si>
  <si>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</si>
  <si>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</si>
  <si>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</si>
  <si>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</si>
  <si>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</si>
  <si>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</si>
  <si>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</si>
  <si>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</si>
  <si>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</si>
  <si>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</si>
  <si>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</si>
  <si>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</si>
  <si>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</si>
  <si>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</si>
  <si>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</si>
  <si>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</si>
  <si>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</si>
  <si>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</si>
  <si>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</si>
  <si>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</si>
  <si>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</si>
  <si>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</si>
  <si>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</si>
  <si>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</si>
  <si>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</si>
  <si>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</si>
  <si>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</si>
  <si>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</si>
  <si>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</si>
  <si>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</si>
  <si>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</si>
  <si>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</si>
  <si>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</si>
  <si>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</si>
  <si>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</si>
  <si>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</si>
  <si>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</si>
  <si>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</si>
  <si>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</si>
  <si>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</si>
  <si>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</si>
  <si>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</si>
  <si>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</si>
  <si>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</si>
  <si>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</si>
  <si>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</si>
  <si>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</si>
  <si>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</si>
  <si>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</si>
  <si>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</si>
  <si>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</si>
  <si>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</si>
  <si>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</si>
  <si>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</si>
  <si>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</si>
  <si>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</si>
  <si>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</si>
  <si>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</si>
  <si>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</si>
  <si>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</si>
  <si>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</si>
  <si>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</si>
  <si>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</si>
  <si>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</si>
  <si>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</si>
  <si>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</si>
  <si>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</si>
  <si>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</si>
  <si>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</si>
  <si>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</si>
  <si>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</si>
  <si>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</si>
  <si>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</si>
  <si>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</si>
  <si>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</si>
  <si>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</si>
  <si>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</si>
  <si>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</si>
  <si>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</si>
  <si>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</si>
  <si>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</si>
  <si>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</si>
  <si>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</si>
  <si>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</si>
  <si>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</si>
  <si>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</si>
  <si>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</si>
  <si>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</si>
  <si>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</si>
  <si>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</si>
  <si>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</si>
  <si>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</si>
  <si>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</si>
  <si>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</si>
  <si>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</si>
  <si>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</si>
  <si>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</si>
  <si>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</si>
  <si>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</si>
  <si>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</si>
  <si>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</si>
  <si>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</si>
  <si>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</si>
  <si>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</si>
  <si>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</si>
  <si>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</si>
  <si>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</si>
  <si>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</si>
  <si>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</si>
  <si>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</si>
  <si>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</si>
  <si>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</si>
  <si>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</si>
  <si>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</si>
  <si>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</si>
  <si>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</si>
  <si>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</si>
  <si>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</si>
  <si>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</si>
  <si>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</si>
  <si>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</si>
  <si>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</si>
  <si>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</si>
  <si>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</si>
  <si>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</si>
  <si>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</si>
  <si>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</si>
  <si>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</si>
  <si>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</si>
  <si>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</si>
  <si>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</si>
  <si>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</si>
  <si>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</si>
  <si>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</si>
  <si>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</si>
  <si>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</si>
  <si>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</si>
  <si>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</si>
  <si>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</si>
  <si>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</si>
  <si>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</si>
  <si>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</si>
  <si>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</si>
  <si>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</si>
  <si>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</si>
  <si>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</si>
  <si>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</si>
  <si>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</si>
  <si>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</si>
  <si>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</si>
  <si>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</si>
  <si>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</si>
  <si>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</si>
  <si>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</si>
  <si>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</si>
  <si>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</si>
  <si>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</si>
  <si>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</si>
  <si>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</si>
  <si>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</si>
  <si>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</si>
  <si>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</si>
  <si>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</si>
  <si>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</si>
  <si>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</si>
  <si>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</si>
  <si>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</si>
  <si>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</si>
  <si>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</si>
  <si>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</si>
  <si>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</si>
  <si>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</si>
  <si>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</si>
  <si>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</si>
  <si>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</si>
  <si>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</si>
  <si>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</si>
  <si>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</si>
  <si>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</si>
  <si>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</si>
  <si>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</si>
  <si>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</si>
  <si>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</si>
  <si>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</si>
  <si>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</si>
  <si>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</si>
  <si>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</si>
  <si>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</si>
  <si>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</si>
  <si>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</si>
  <si>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</si>
  <si>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</si>
  <si>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</si>
  <si>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</si>
  <si>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</si>
  <si>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</si>
  <si>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</si>
  <si>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</si>
  <si>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</si>
  <si>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</si>
  <si>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</si>
  <si>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</si>
  <si>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</si>
  <si>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</si>
  <si>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</si>
  <si>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</si>
  <si>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</si>
  <si>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</si>
  <si>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</si>
  <si>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</si>
  <si>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</si>
  <si>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</si>
  <si>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</si>
  <si>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</si>
  <si>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</si>
  <si>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</si>
  <si>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</si>
  <si>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</si>
  <si>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</si>
  <si>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</si>
  <si>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</si>
  <si>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</si>
  <si>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</si>
  <si>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</si>
  <si>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</si>
  <si>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</si>
  <si>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</si>
  <si>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</si>
  <si>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</si>
  <si>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</si>
  <si>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</si>
  <si>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</si>
  <si>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</si>
  <si>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</si>
  <si>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</si>
  <si>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</si>
  <si>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</si>
  <si>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</si>
  <si>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</si>
  <si>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</si>
  <si>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</si>
  <si>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</si>
  <si>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</si>
  <si>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</si>
  <si>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</si>
  <si>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</si>
  <si>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</si>
  <si>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</si>
  <si>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</si>
  <si>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</si>
  <si>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</si>
  <si>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</si>
  <si>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</si>
  <si>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</si>
  <si>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</si>
  <si>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</si>
  <si>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</si>
  <si>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</si>
  <si>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</si>
  <si>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</si>
  <si>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</si>
  <si>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</si>
  <si>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</si>
  <si>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</si>
  <si>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</si>
  <si>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</si>
  <si>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</si>
  <si>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</si>
  <si>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</si>
  <si>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</si>
  <si>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</si>
  <si>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</si>
  <si>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</si>
  <si>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</si>
  <si>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</si>
  <si>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</si>
  <si>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</si>
  <si>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</si>
  <si>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</si>
  <si>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</si>
  <si>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</si>
  <si>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</si>
  <si>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</si>
  <si>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</si>
  <si>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</si>
  <si>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</si>
  <si>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</si>
  <si>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</si>
  <si>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</si>
  <si>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</si>
  <si>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</si>
  <si>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</si>
  <si>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</si>
  <si>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</si>
  <si>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</si>
  <si>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</si>
  <si>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</si>
  <si>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</si>
  <si>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</si>
  <si>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</si>
  <si>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</si>
  <si>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</si>
  <si>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</si>
  <si>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</si>
  <si>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</si>
  <si>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</si>
  <si>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</si>
  <si>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</si>
  <si>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</si>
  <si>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</si>
  <si>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</si>
  <si>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</si>
  <si>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</si>
  <si>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</si>
  <si>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</si>
  <si>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</si>
  <si>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</si>
  <si>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</si>
  <si>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</si>
  <si>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</si>
  <si>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</si>
  <si>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</si>
  <si>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</si>
  <si>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</si>
  <si>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</si>
  <si>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</si>
  <si>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</si>
  <si>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</si>
  <si>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</si>
  <si>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</si>
  <si>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</si>
  <si>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</si>
  <si>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</si>
  <si>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</si>
  <si>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</si>
  <si>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</si>
  <si>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</si>
  <si>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</si>
  <si>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</si>
  <si>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</si>
  <si>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</si>
  <si>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</si>
  <si>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</si>
  <si>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</si>
  <si>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</si>
  <si>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</si>
  <si>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</si>
  <si>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</si>
  <si>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</si>
  <si>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</si>
  <si>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</si>
  <si>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</si>
  <si>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</si>
  <si>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</si>
  <si>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</si>
  <si>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</si>
  <si>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</si>
  <si>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</si>
  <si>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</si>
  <si>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</si>
  <si>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</si>
  <si>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</si>
  <si>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</si>
  <si>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</si>
  <si>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</si>
  <si>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</si>
  <si>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</si>
  <si>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</si>
  <si>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</si>
  <si>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</si>
  <si>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</si>
  <si>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</si>
  <si>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</si>
  <si>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</si>
  <si>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</si>
  <si>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</si>
  <si>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</si>
  <si>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</si>
  <si>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</si>
  <si>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</si>
  <si>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</si>
  <si>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</si>
  <si>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</si>
  <si>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</si>
  <si>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</si>
  <si>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</si>
  <si>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</si>
  <si>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</si>
  <si>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</si>
  <si>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</si>
  <si>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</si>
  <si>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</si>
  <si>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</si>
  <si>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</si>
  <si>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</si>
  <si>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</si>
  <si>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</si>
  <si>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</si>
  <si>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</si>
  <si>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</si>
  <si>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</si>
  <si>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</si>
  <si>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</si>
  <si>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</si>
  <si>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</si>
  <si>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</si>
  <si>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</si>
  <si>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</si>
  <si>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</si>
  <si>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</si>
  <si>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</si>
  <si>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</si>
  <si>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</si>
  <si>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</si>
  <si>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</si>
  <si>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</si>
  <si>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</si>
  <si>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</si>
  <si>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</si>
  <si>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</si>
  <si>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</si>
  <si>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</si>
  <si>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</si>
  <si>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</si>
  <si>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</si>
  <si>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</si>
  <si>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</si>
  <si>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</si>
  <si>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</si>
  <si>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</si>
  <si>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</si>
  <si>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</si>
  <si>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</si>
  <si>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</si>
  <si>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</si>
  <si>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</si>
  <si>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</si>
  <si>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</si>
  <si>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</si>
  <si>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</si>
  <si>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</si>
  <si>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</si>
  <si>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</si>
  <si>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</si>
  <si>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</si>
  <si>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</si>
  <si>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</si>
  <si>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</si>
  <si>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</si>
  <si>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</si>
  <si>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</si>
  <si>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</si>
  <si>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</si>
  <si>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</si>
  <si>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</si>
  <si>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</si>
  <si>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</si>
  <si>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</si>
  <si>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</si>
  <si>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</si>
  <si>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</si>
  <si>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</si>
  <si>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</si>
  <si>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</si>
  <si>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</si>
  <si>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</si>
  <si>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</si>
  <si>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</si>
  <si>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</si>
  <si>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</si>
  <si>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</si>
  <si>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</si>
  <si>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</si>
  <si>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</si>
  <si>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</si>
  <si>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</si>
  <si>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</si>
  <si>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</si>
  <si>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</si>
  <si>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</si>
  <si>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</si>
  <si>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</si>
  <si>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</si>
  <si>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</si>
  <si>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</si>
  <si>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</si>
  <si>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</si>
  <si>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</si>
  <si>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</si>
  <si>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</si>
  <si>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</si>
  <si>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</si>
  <si>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</si>
  <si>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</si>
  <si>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</si>
  <si>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</si>
  <si>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</si>
  <si>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</si>
  <si>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</si>
  <si>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</si>
  <si>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</si>
  <si>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</si>
  <si>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</si>
  <si>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</si>
  <si>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</si>
  <si>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</si>
  <si>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</si>
  <si>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</si>
  <si>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</si>
  <si>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</si>
  <si>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</si>
  <si>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</si>
  <si>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</si>
  <si>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</si>
  <si>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</si>
  <si>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</si>
  <si>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</si>
  <si>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</si>
  <si>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</si>
  <si>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</si>
  <si>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</si>
  <si>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</si>
  <si>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</si>
  <si>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</si>
  <si>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</si>
  <si>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</si>
  <si>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</si>
  <si>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</si>
  <si>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</si>
  <si>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</si>
  <si>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</si>
  <si>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</si>
  <si>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</si>
  <si>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</si>
  <si>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</si>
  <si>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</si>
  <si>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</si>
  <si>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</si>
  <si>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</si>
  <si>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</si>
  <si>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</si>
  <si>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</si>
  <si>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</si>
  <si>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</si>
  <si>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</si>
  <si>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</si>
  <si>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</si>
  <si>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</si>
  <si>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</si>
  <si>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</si>
  <si>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</si>
  <si>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</si>
  <si>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</si>
  <si>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</si>
  <si>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</si>
  <si>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</si>
  <si>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</si>
  <si>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</si>
  <si>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</si>
  <si>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</si>
  <si>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</si>
  <si>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</si>
  <si>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</si>
  <si>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</si>
  <si>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</si>
  <si>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</si>
  <si>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</si>
  <si>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</si>
  <si>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</si>
  <si>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</si>
  <si>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</si>
  <si>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</si>
  <si>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</si>
  <si>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</si>
  <si>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</si>
  <si>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</si>
  <si>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</si>
  <si>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</si>
  <si>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</si>
  <si>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</si>
  <si>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</si>
  <si>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</si>
  <si>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</si>
  <si>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</si>
  <si>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</si>
  <si>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</si>
  <si>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</si>
  <si>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</si>
  <si>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</si>
  <si>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</si>
  <si>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</si>
  <si>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</si>
  <si>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</si>
  <si>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</si>
  <si>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</si>
  <si>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</si>
  <si>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</si>
  <si>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</si>
  <si>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</si>
  <si>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</si>
  <si>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</si>
  <si>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</si>
  <si>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</si>
  <si>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</si>
  <si>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</si>
  <si>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</si>
  <si>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</si>
  <si>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</si>
  <si>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</si>
  <si>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</si>
  <si>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</si>
  <si>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</si>
  <si>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</si>
  <si>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</si>
  <si>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</si>
  <si>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</si>
  <si>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</si>
  <si>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</si>
  <si>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</si>
  <si>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</si>
  <si>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</si>
  <si>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</si>
  <si>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</si>
  <si>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</si>
  <si>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</si>
  <si>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</si>
  <si>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</si>
  <si>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</si>
  <si>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</si>
  <si>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</si>
  <si>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</si>
  <si>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</si>
  <si>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</si>
  <si>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</si>
  <si>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</si>
  <si>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</si>
  <si>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</si>
  <si>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</si>
  <si>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</si>
  <si>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</si>
  <si>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</si>
  <si>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</si>
  <si>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</si>
  <si>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</si>
  <si>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</si>
  <si>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</si>
  <si>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</si>
  <si>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</si>
  <si>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</si>
  <si>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</si>
  <si>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</si>
  <si>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</si>
  <si>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</si>
  <si>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</si>
  <si>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</si>
  <si>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</si>
  <si>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</si>
  <si>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</si>
  <si>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</si>
  <si>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</si>
  <si>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</si>
  <si>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</si>
  <si>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</si>
  <si>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</si>
  <si>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</si>
  <si>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</si>
  <si>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</si>
  <si>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</si>
  <si>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</si>
  <si>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</si>
  <si>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</si>
  <si>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</si>
  <si>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</si>
  <si>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</si>
  <si>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</si>
  <si>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</si>
  <si>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</si>
  <si>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</si>
  <si>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</si>
  <si>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</si>
  <si>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</si>
  <si>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</si>
  <si>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</si>
  <si>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</si>
  <si>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</si>
  <si>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</si>
  <si>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</si>
  <si>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</si>
  <si>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</si>
  <si>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</si>
  <si>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</si>
  <si>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</si>
  <si>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</si>
  <si>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</si>
  <si>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</si>
  <si>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</si>
  <si>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</si>
  <si>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</si>
  <si>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</si>
  <si>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</si>
  <si>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</si>
  <si>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</si>
  <si>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</si>
  <si>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</si>
  <si>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</si>
  <si>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</si>
  <si>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</si>
  <si>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</si>
  <si>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</si>
  <si>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</si>
  <si>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</si>
  <si>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</si>
  <si>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</si>
  <si>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</si>
  <si>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</si>
  <si>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</si>
  <si>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</si>
  <si>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</si>
  <si>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</si>
  <si>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</si>
  <si>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</si>
  <si>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</si>
  <si>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</si>
  <si>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</si>
  <si>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</si>
  <si>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</si>
  <si>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</si>
  <si>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</si>
  <si>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</si>
  <si>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</si>
  <si>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</si>
  <si>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</si>
  <si>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</si>
  <si>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</si>
  <si>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</si>
  <si>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</si>
  <si>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</si>
  <si>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</si>
  <si>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</si>
  <si>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</si>
  <si>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</si>
  <si>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</si>
  <si>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</si>
  <si>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</si>
  <si>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</si>
  <si>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</si>
  <si>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</si>
  <si>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</si>
  <si>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</si>
  <si>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</si>
  <si>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</si>
  <si>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</si>
  <si>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</si>
  <si>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</si>
  <si>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</si>
  <si>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</si>
  <si>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</si>
  <si>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</si>
  <si>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</si>
  <si>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</si>
  <si>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</si>
  <si>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</si>
  <si>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</si>
  <si>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</si>
  <si>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</si>
  <si>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</si>
  <si>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</si>
  <si>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</si>
  <si>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</si>
  <si>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</si>
  <si>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</si>
  <si>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</si>
  <si>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</si>
  <si>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</si>
  <si>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</si>
  <si>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</si>
  <si>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</si>
  <si>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</si>
  <si>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</si>
  <si>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</si>
  <si>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</si>
  <si>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</si>
  <si>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</si>
  <si>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</si>
  <si>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</si>
  <si>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</si>
  <si>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</si>
  <si>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</si>
  <si>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</si>
  <si>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</si>
  <si>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</si>
  <si>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</si>
  <si>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</si>
  <si>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</si>
  <si>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</si>
  <si>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</si>
  <si>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</si>
  <si>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</si>
  <si>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</si>
  <si>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</si>
  <si>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</si>
  <si>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</si>
  <si>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</si>
  <si>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</si>
  <si>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</si>
  <si>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</si>
  <si>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</si>
  <si>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</si>
  <si>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</si>
  <si>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</si>
  <si>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</si>
  <si>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</si>
  <si>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</si>
  <si>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</si>
  <si>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</si>
  <si>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</si>
  <si>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</si>
  <si>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</si>
  <si>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</si>
  <si>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</si>
  <si>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</si>
  <si>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</si>
  <si>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</si>
  <si>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</si>
  <si>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</si>
  <si>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</si>
  <si>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</si>
  <si>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</si>
  <si>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</si>
  <si>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</si>
  <si>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</si>
  <si>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</si>
  <si>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</si>
  <si>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</si>
  <si>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</si>
  <si>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</si>
  <si>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</si>
  <si>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</si>
  <si>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</si>
  <si>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</si>
  <si>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</si>
  <si>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</si>
  <si>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</si>
  <si>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</si>
  <si>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</si>
  <si>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</si>
  <si>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</si>
  <si>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</si>
  <si>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</si>
  <si>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</si>
  <si>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</si>
  <si>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</si>
  <si>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</si>
  <si>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</si>
  <si>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</si>
  <si>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</si>
  <si>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</si>
  <si>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</si>
  <si>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</si>
  <si>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</si>
  <si>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</si>
  <si>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</si>
  <si>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</si>
  <si>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</si>
  <si>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</si>
  <si>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</si>
  <si>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</si>
  <si>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</si>
  <si>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</si>
  <si>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</si>
  <si>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</si>
  <si>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</si>
  <si>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</si>
  <si>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</si>
  <si>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</si>
  <si>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</si>
  <si>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</si>
  <si>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</si>
  <si>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</si>
  <si>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</si>
  <si>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</si>
  <si>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</si>
  <si>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</si>
  <si>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</si>
  <si>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</si>
  <si>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</si>
  <si>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</si>
  <si>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</si>
  <si>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</si>
  <si>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</si>
  <si>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</si>
  <si>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</si>
  <si>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</si>
  <si>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</si>
  <si>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</si>
  <si>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</si>
  <si>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</si>
  <si>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</si>
  <si>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</si>
  <si>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</si>
  <si>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</si>
  <si>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</si>
  <si>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</si>
  <si>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</si>
  <si>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</si>
  <si>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</si>
  <si>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</si>
  <si>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</si>
  <si>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</si>
  <si>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</si>
  <si>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</si>
  <si>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</si>
  <si>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</si>
  <si>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</si>
  <si>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</si>
  <si>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</si>
  <si>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</si>
  <si>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</si>
  <si>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</si>
  <si>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</si>
  <si>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</si>
  <si>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</si>
  <si>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</si>
  <si>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</si>
  <si>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</si>
  <si>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</si>
  <si>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</si>
  <si>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</si>
  <si>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</si>
  <si>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</si>
  <si>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</si>
  <si>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</si>
  <si>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</si>
  <si>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</si>
  <si>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</si>
  <si>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</si>
  <si>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</si>
  <si>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</si>
  <si>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</si>
  <si>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</si>
  <si>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</si>
  <si>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</si>
  <si>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</si>
  <si>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</si>
  <si>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</si>
  <si>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</si>
  <si>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</si>
  <si>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</si>
  <si>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</si>
  <si>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</si>
  <si>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</si>
  <si>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</si>
  <si>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</si>
  <si>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</si>
  <si>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</si>
  <si>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</si>
  <si>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</si>
  <si>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</si>
  <si>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</si>
  <si>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</si>
  <si>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</si>
  <si>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</si>
  <si>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</si>
  <si>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</si>
  <si>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</si>
  <si>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</si>
  <si>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</si>
  <si>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</si>
  <si>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</si>
  <si>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</si>
  <si>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</si>
  <si>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</si>
  <si>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</si>
  <si>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</si>
  <si>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</si>
  <si>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</si>
  <si>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</si>
  <si>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</si>
  <si>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</si>
  <si>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</si>
  <si>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</si>
  <si>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</si>
  <si>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</si>
  <si>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</si>
  <si>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</si>
  <si>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</si>
  <si>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</si>
  <si>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</si>
  <si>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</si>
  <si>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</si>
  <si>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</si>
  <si>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</si>
  <si>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</si>
  <si>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</si>
  <si>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</si>
  <si>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</si>
  <si>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</si>
  <si>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</si>
  <si>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</si>
  <si>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</si>
  <si>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</si>
  <si>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</si>
  <si>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</si>
  <si>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</si>
  <si>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</si>
  <si>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</si>
  <si>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</si>
  <si>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</si>
  <si>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</si>
  <si>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</si>
  <si>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</si>
  <si>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</si>
  <si>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</si>
  <si>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</si>
  <si>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</si>
  <si>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</si>
  <si>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</si>
  <si>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</si>
  <si>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</si>
  <si>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</si>
  <si>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</si>
  <si>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</si>
  <si>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</si>
  <si>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</si>
  <si>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</si>
  <si>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</si>
  <si>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</si>
  <si>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</si>
  <si>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</si>
  <si>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</si>
  <si>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</si>
  <si>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</si>
  <si>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</si>
  <si>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</si>
  <si>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</si>
  <si>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</si>
  <si>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</si>
  <si>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</si>
  <si>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</si>
  <si>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</si>
  <si>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</si>
  <si>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</si>
  <si>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</si>
  <si>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</si>
  <si>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</si>
  <si>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</si>
  <si>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</si>
  <si>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</si>
  <si>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</si>
  <si>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</si>
  <si>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</si>
  <si>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</si>
  <si>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</si>
  <si>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</si>
  <si>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</si>
  <si>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</si>
  <si>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</si>
  <si>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</si>
  <si>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</si>
  <si>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</si>
  <si>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</si>
  <si>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</si>
  <si>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</si>
  <si>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</si>
  <si>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</si>
  <si>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</si>
  <si>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</si>
  <si>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</si>
  <si>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</si>
  <si>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</si>
  <si>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</si>
  <si>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</si>
  <si>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</si>
  <si>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</si>
  <si>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</si>
  <si>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</si>
  <si>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</si>
  <si>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</si>
  <si>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</si>
  <si>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</si>
  <si>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</si>
  <si>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</si>
  <si>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</si>
  <si>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</si>
  <si>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</si>
  <si>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</si>
  <si>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</si>
  <si>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</si>
  <si>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</si>
  <si>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</si>
  <si>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</si>
  <si>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</si>
  <si>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</si>
  <si>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</si>
  <si>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</si>
  <si>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</si>
  <si>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</si>
  <si>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</si>
  <si>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</si>
  <si>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</si>
  <si>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</si>
  <si>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</si>
  <si>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</si>
  <si>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</si>
  <si>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</si>
  <si>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</si>
  <si>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</si>
  <si>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</si>
  <si>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</si>
  <si>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</si>
  <si>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</si>
  <si>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</si>
  <si>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</si>
  <si>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</si>
  <si>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</si>
  <si>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</si>
  <si>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</si>
  <si>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</si>
  <si>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</si>
  <si>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</si>
  <si>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</si>
  <si>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</si>
  <si>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</si>
  <si>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</si>
  <si>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</si>
  <si>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</si>
  <si>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</si>
  <si>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</si>
  <si>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</si>
  <si>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</si>
  <si>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</si>
  <si>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</si>
  <si>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</si>
  <si>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</si>
  <si>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</si>
  <si>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</si>
  <si>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</si>
  <si>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</si>
  <si>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</si>
  <si>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</si>
  <si>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</si>
  <si>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</si>
  <si>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</si>
  <si>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</si>
  <si>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</si>
  <si>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</si>
  <si>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</si>
  <si>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</si>
  <si>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</si>
  <si>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</si>
  <si>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</si>
  <si>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</si>
  <si>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</si>
  <si>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</si>
  <si>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</si>
  <si>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</si>
  <si>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</si>
  <si>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</si>
  <si>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</si>
  <si>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</si>
  <si>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</si>
  <si>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</si>
  <si>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</si>
  <si>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</si>
  <si>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</si>
  <si>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</si>
  <si>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</si>
  <si>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</si>
  <si>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</si>
  <si>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</si>
  <si>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</si>
  <si>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</si>
  <si>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</si>
  <si>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</si>
  <si>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</si>
  <si>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</si>
  <si>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</si>
  <si>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</si>
  <si>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</si>
  <si>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</si>
  <si>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</si>
  <si>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</si>
  <si>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</si>
  <si>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</si>
  <si>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</si>
  <si>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</si>
  <si>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</si>
  <si>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</si>
  <si>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</si>
  <si>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</si>
  <si>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</si>
  <si>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</si>
  <si>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</si>
  <si>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</si>
  <si>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</si>
  <si>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</si>
  <si>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</si>
  <si>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</si>
  <si>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</si>
  <si>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</si>
  <si>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</si>
  <si>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</si>
  <si>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</si>
  <si>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</si>
  <si>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</si>
  <si>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</si>
  <si>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</si>
  <si>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</si>
  <si>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</si>
  <si>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</si>
  <si>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</si>
  <si>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</si>
  <si>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</si>
  <si>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</si>
  <si>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</si>
  <si>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</si>
  <si>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</si>
  <si>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</si>
  <si>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</si>
  <si>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</si>
  <si>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</si>
  <si>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</si>
  <si>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</si>
  <si>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</si>
  <si>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</si>
  <si>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</si>
  <si>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</si>
  <si>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</si>
  <si>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</si>
  <si>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</si>
  <si>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</si>
  <si>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</si>
  <si>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</si>
  <si>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</si>
  <si>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</si>
  <si>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</si>
  <si>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</si>
  <si>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</si>
  <si>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</si>
  <si>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</si>
  <si>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</si>
  <si>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</si>
  <si>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</si>
  <si>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</si>
  <si>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</si>
  <si>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</si>
  <si>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</si>
  <si>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</si>
  <si>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</si>
  <si>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</si>
  <si>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</si>
  <si>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</si>
  <si>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</si>
  <si>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</si>
  <si>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</si>
  <si>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</si>
  <si>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</si>
  <si>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</si>
  <si>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</si>
  <si>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</si>
  <si>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</si>
  <si>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</si>
  <si>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</si>
  <si>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</si>
  <si>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</si>
  <si>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</si>
  <si>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</si>
  <si>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</si>
  <si>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</si>
  <si>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</si>
  <si>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</si>
  <si>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</si>
  <si>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</si>
  <si>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</si>
  <si>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</si>
  <si>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</si>
  <si>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</si>
  <si>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</si>
  <si>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</si>
  <si>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</si>
  <si>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</si>
  <si>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</si>
  <si>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</si>
  <si>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</si>
  <si>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</si>
  <si>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</si>
  <si>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</si>
  <si>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</si>
  <si>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</si>
  <si>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</si>
  <si>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</si>
  <si>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</si>
  <si>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</si>
  <si>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</si>
  <si>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</si>
  <si>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</si>
  <si>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</si>
  <si>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</si>
  <si>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</si>
  <si>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</si>
  <si>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</si>
  <si>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</si>
  <si>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</si>
  <si>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</si>
  <si>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</si>
  <si>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</si>
  <si>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</si>
  <si>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</si>
  <si>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</si>
  <si>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</si>
  <si>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</si>
  <si>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</si>
  <si>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</si>
  <si>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</si>
  <si>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</si>
  <si>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</si>
  <si>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</si>
  <si>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</si>
  <si>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</si>
  <si>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</si>
  <si>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</si>
  <si>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</si>
  <si>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</si>
  <si>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</si>
  <si>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</si>
  <si>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</si>
  <si>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</si>
  <si>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</si>
  <si>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</si>
  <si>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</si>
  <si>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</si>
  <si>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</si>
  <si>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</si>
  <si>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</si>
  <si>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</si>
  <si>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</si>
  <si>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</si>
  <si>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</si>
  <si>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</si>
  <si>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</si>
  <si>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</si>
  <si>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</si>
  <si>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</si>
  <si>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</si>
  <si>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</si>
  <si>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</si>
  <si>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</si>
  <si>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</si>
  <si>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</si>
  <si>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</si>
  <si>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</si>
  <si>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</si>
  <si>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</si>
  <si>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</si>
  <si>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</si>
  <si>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</si>
  <si>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</si>
  <si>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</si>
  <si>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</si>
  <si>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</si>
  <si>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</si>
  <si>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</si>
  <si>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</si>
  <si>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</si>
  <si>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</si>
  <si>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</si>
  <si>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</si>
  <si>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</si>
  <si>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</si>
  <si>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</si>
  <si>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</si>
  <si>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</si>
  <si>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</si>
  <si>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</si>
  <si>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</si>
  <si>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</si>
  <si>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</si>
  <si>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</si>
  <si>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</si>
  <si>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</si>
  <si>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</si>
  <si>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</si>
  <si>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</si>
  <si>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</si>
  <si>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</si>
  <si>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</si>
  <si>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</si>
  <si>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</si>
  <si>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</si>
  <si>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</si>
  <si>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</si>
  <si>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</si>
  <si>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</si>
  <si>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</si>
  <si>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</si>
  <si>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</si>
  <si>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</si>
  <si>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</si>
  <si>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</si>
  <si>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</si>
  <si>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</si>
  <si>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</si>
  <si>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</si>
  <si>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</si>
  <si>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</si>
  <si>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</si>
  <si>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</si>
  <si>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</si>
  <si>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</si>
  <si>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</si>
  <si>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</si>
  <si>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</si>
  <si>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</si>
  <si>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</si>
  <si>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</si>
  <si>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</si>
  <si>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</si>
  <si>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</si>
  <si>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</si>
  <si>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</si>
  <si>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</si>
  <si>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</si>
  <si>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</si>
  <si>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</si>
  <si>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</si>
  <si>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</si>
  <si>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</si>
  <si>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</si>
  <si>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</si>
  <si>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</si>
  <si>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</si>
  <si>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</si>
  <si>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</si>
  <si>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</si>
  <si>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</si>
  <si>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</si>
  <si>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</si>
  <si>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</si>
  <si>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</si>
  <si>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</si>
  <si>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</si>
  <si>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</si>
  <si>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</si>
  <si>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</si>
  <si>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</si>
  <si>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</si>
  <si>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</si>
  <si>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</si>
  <si>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</si>
  <si>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</si>
  <si>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</si>
  <si>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</si>
  <si>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</si>
  <si>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</si>
  <si>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</si>
  <si>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</si>
  <si>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</si>
  <si>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</si>
  <si>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</si>
  <si>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</si>
  <si>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</si>
  <si>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</si>
  <si>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</si>
  <si>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</si>
  <si>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</si>
  <si>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</si>
  <si>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</si>
  <si>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</si>
  <si>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</si>
  <si>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</si>
  <si>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</si>
  <si>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</si>
  <si>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</si>
  <si>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</si>
  <si>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</si>
  <si>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</si>
  <si>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</si>
  <si>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</si>
  <si>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</si>
  <si>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</si>
  <si>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</si>
  <si>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</si>
  <si>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</si>
  <si>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</si>
  <si>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</si>
  <si>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</si>
  <si>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</si>
  <si>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</si>
  <si>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</si>
  <si>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</si>
  <si>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</si>
  <si>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</si>
  <si>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</si>
  <si>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</si>
  <si>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</si>
  <si>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</si>
  <si>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</si>
  <si>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</si>
  <si>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</si>
  <si>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</si>
  <si>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</si>
  <si>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</si>
  <si>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</si>
  <si>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</si>
  <si>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</si>
  <si>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</si>
  <si>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</si>
  <si>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</si>
  <si>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</si>
  <si>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</si>
  <si>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</si>
  <si>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</si>
  <si>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</si>
  <si>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</si>
  <si>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</si>
  <si>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</si>
  <si>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</si>
  <si>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</si>
  <si>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</si>
  <si>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</si>
  <si>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</si>
  <si>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</si>
  <si>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</si>
  <si>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</si>
  <si>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</si>
  <si>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</si>
  <si>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</si>
  <si>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</si>
  <si>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</si>
  <si>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</si>
  <si>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</si>
  <si>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</si>
  <si>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</si>
  <si>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</si>
  <si>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</si>
  <si>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</si>
  <si>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</si>
  <si>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</si>
  <si>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</si>
  <si>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</si>
  <si>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</si>
  <si>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</si>
  <si>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</si>
  <si>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</si>
  <si>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</si>
  <si>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</si>
  <si>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</si>
  <si>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</si>
  <si>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</si>
  <si>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</si>
  <si>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</si>
  <si>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</si>
  <si>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</si>
  <si>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</si>
  <si>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</si>
  <si>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</si>
  <si>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</si>
  <si>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</si>
  <si>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</si>
  <si>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</si>
  <si>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</si>
  <si>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</si>
  <si>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</si>
  <si>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</si>
  <si>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</si>
  <si>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</si>
  <si>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</si>
  <si>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</si>
  <si>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</si>
  <si>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</si>
  <si>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</si>
  <si>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</si>
  <si>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</si>
  <si>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</si>
  <si>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</si>
  <si>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</si>
  <si>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</si>
  <si>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</si>
  <si>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</si>
  <si>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</si>
  <si>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</si>
  <si>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</si>
  <si>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</si>
  <si>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抵押价格</t>
  </si>
  <si>
    <t>企业</t>
  </si>
  <si>
    <t>符合</t>
  </si>
  <si>
    <t>商业</t>
  </si>
  <si>
    <t>地下仓储</t>
  </si>
  <si>
    <t>综合项目（居住、综合）</t>
  </si>
  <si>
    <t>场地平整</t>
  </si>
  <si>
    <t>平整</t>
  </si>
  <si>
    <t>通路</t>
  </si>
  <si>
    <t>通电</t>
  </si>
  <si>
    <t>通讯</t>
  </si>
  <si>
    <t>通上水</t>
  </si>
  <si>
    <t>通下水</t>
  </si>
  <si>
    <t>通热</t>
  </si>
  <si>
    <t>燃气</t>
  </si>
  <si>
    <t>否</t>
  </si>
  <si>
    <t>地上</t>
  </si>
  <si>
    <t>公寓</t>
  </si>
  <si>
    <t>地下</t>
  </si>
  <si>
    <t>仓储</t>
  </si>
  <si>
    <t>103地块</t>
    <phoneticPr fontId="228" type="noConversion"/>
  </si>
  <si>
    <t>用途</t>
    <phoneticPr fontId="228" type="noConversion"/>
  </si>
  <si>
    <t>分布楼层</t>
    <phoneticPr fontId="228" type="noConversion"/>
  </si>
  <si>
    <t>建筑面积</t>
    <phoneticPr fontId="228" type="noConversion"/>
  </si>
  <si>
    <t>规证</t>
    <phoneticPr fontId="228" type="noConversion"/>
  </si>
  <si>
    <t>地上</t>
    <phoneticPr fontId="228" type="noConversion"/>
  </si>
  <si>
    <t>公寓</t>
    <phoneticPr fontId="228" type="noConversion"/>
  </si>
  <si>
    <r>
      <t>公寓1幢，</t>
    </r>
    <r>
      <rPr>
        <sz val="11"/>
        <color theme="1"/>
        <rFont val="宋体"/>
        <family val="3"/>
        <charset val="134"/>
        <scheme val="minor"/>
      </rPr>
      <t>地上1</t>
    </r>
    <r>
      <rPr>
        <sz val="11"/>
        <color theme="1"/>
        <rFont val="宋体"/>
        <family val="3"/>
        <charset val="134"/>
        <scheme val="minor"/>
      </rPr>
      <t>、6-23层        公寓2幢，地上1、4-32层</t>
    </r>
    <phoneticPr fontId="228" type="noConversion"/>
  </si>
  <si>
    <t>地下部分</t>
    <phoneticPr fontId="228" type="noConversion"/>
  </si>
  <si>
    <t>商业</t>
    <phoneticPr fontId="228" type="noConversion"/>
  </si>
  <si>
    <t>商业（会所）</t>
    <phoneticPr fontId="228" type="noConversion"/>
  </si>
  <si>
    <t>公寓1幢2-5层                   公寓2幢2-3层</t>
    <phoneticPr fontId="228" type="noConversion"/>
  </si>
  <si>
    <t>食堂</t>
    <phoneticPr fontId="228" type="noConversion"/>
  </si>
  <si>
    <t>地下</t>
    <phoneticPr fontId="228" type="noConversion"/>
  </si>
  <si>
    <t>地下1层</t>
    <phoneticPr fontId="228" type="noConversion"/>
  </si>
  <si>
    <t>库房</t>
    <phoneticPr fontId="228" type="noConversion"/>
  </si>
  <si>
    <t>车库</t>
    <phoneticPr fontId="228" type="noConversion"/>
  </si>
  <si>
    <r>
      <t>地下1</t>
    </r>
    <r>
      <rPr>
        <sz val="11"/>
        <color theme="1"/>
        <rFont val="宋体"/>
        <family val="3"/>
        <charset val="134"/>
        <scheme val="minor"/>
      </rPr>
      <t>-3层</t>
    </r>
    <phoneticPr fontId="228" type="noConversion"/>
  </si>
  <si>
    <t>设备及管理用房</t>
    <phoneticPr fontId="228" type="noConversion"/>
  </si>
  <si>
    <t>设备用房及人防</t>
    <phoneticPr fontId="228" type="noConversion"/>
  </si>
  <si>
    <r>
      <t>地下1</t>
    </r>
    <r>
      <rPr>
        <sz val="11"/>
        <color theme="1"/>
        <rFont val="宋体"/>
        <family val="3"/>
        <charset val="134"/>
        <scheme val="minor"/>
      </rPr>
      <t>-4层</t>
    </r>
    <phoneticPr fontId="228" type="noConversion"/>
  </si>
  <si>
    <t>机动车库</t>
    <phoneticPr fontId="228" type="noConversion"/>
  </si>
  <si>
    <t>非机动车库</t>
    <phoneticPr fontId="228" type="noConversion"/>
  </si>
  <si>
    <t>人防</t>
    <phoneticPr fontId="228" type="noConversion"/>
  </si>
  <si>
    <t>106地块</t>
    <phoneticPr fontId="228" type="noConversion"/>
  </si>
  <si>
    <t>用途</t>
    <phoneticPr fontId="228" type="noConversion"/>
  </si>
  <si>
    <t>分布楼层</t>
    <phoneticPr fontId="228" type="noConversion"/>
  </si>
  <si>
    <t>建筑面积</t>
    <phoneticPr fontId="228" type="noConversion"/>
  </si>
  <si>
    <t>合计</t>
    <phoneticPr fontId="228" type="noConversion"/>
  </si>
  <si>
    <t>地上</t>
    <phoneticPr fontId="228" type="noConversion"/>
  </si>
  <si>
    <t>办公类</t>
    <phoneticPr fontId="228" type="noConversion"/>
  </si>
  <si>
    <t>地块南部，1-42层</t>
    <phoneticPr fontId="228" type="noConversion"/>
  </si>
  <si>
    <t>商业</t>
    <phoneticPr fontId="228" type="noConversion"/>
  </si>
  <si>
    <t>地块南部，裙楼1-5层</t>
    <phoneticPr fontId="228" type="noConversion"/>
  </si>
  <si>
    <t>地下</t>
    <phoneticPr fontId="228" type="noConversion"/>
  </si>
  <si>
    <t>地块南部，地下1层</t>
    <phoneticPr fontId="228" type="noConversion"/>
  </si>
  <si>
    <t>车库</t>
    <phoneticPr fontId="228" type="noConversion"/>
  </si>
  <si>
    <r>
      <t>地下1</t>
    </r>
    <r>
      <rPr>
        <sz val="11"/>
        <color theme="1"/>
        <rFont val="宋体"/>
        <family val="3"/>
        <charset val="134"/>
        <scheme val="minor"/>
      </rPr>
      <t>-3层</t>
    </r>
    <phoneticPr fontId="228" type="noConversion"/>
  </si>
  <si>
    <t>设备用房及人防</t>
    <phoneticPr fontId="228" type="noConversion"/>
  </si>
  <si>
    <r>
      <t>地下1</t>
    </r>
    <r>
      <rPr>
        <sz val="11"/>
        <color theme="1"/>
        <rFont val="宋体"/>
        <family val="3"/>
        <charset val="134"/>
        <scheme val="minor"/>
      </rPr>
      <t>-4层</t>
    </r>
    <phoneticPr fontId="228" type="noConversion"/>
  </si>
  <si>
    <t>住宅（公寓）</t>
  </si>
  <si>
    <t>车库</t>
  </si>
  <si>
    <t>批发零售用地</t>
  </si>
  <si>
    <t>估价对象容积率</t>
  </si>
  <si>
    <t>朝外商业街</t>
  </si>
  <si>
    <t>楼层修正</t>
  </si>
  <si>
    <t>计量单位</t>
  </si>
  <si>
    <t>数量</t>
  </si>
  <si>
    <t>备注</t>
  </si>
  <si>
    <t>一</t>
  </si>
  <si>
    <t>总用地面积</t>
  </si>
  <si>
    <t>㎡</t>
  </si>
  <si>
    <t>二</t>
  </si>
  <si>
    <t>总建筑规模</t>
  </si>
  <si>
    <t>地上建筑面积</t>
  </si>
  <si>
    <t>商品住宅</t>
  </si>
  <si>
    <t>地下建筑面积</t>
  </si>
  <si>
    <t>机动车库</t>
  </si>
  <si>
    <t>配建人防工程</t>
  </si>
  <si>
    <t>位于地下五层、六层局部，平时用途为汽车库</t>
  </si>
  <si>
    <t>地下商业</t>
  </si>
  <si>
    <t>员工食堂</t>
  </si>
  <si>
    <t>库房</t>
  </si>
  <si>
    <t>设备及管理用房</t>
  </si>
  <si>
    <t>物业用房</t>
  </si>
  <si>
    <t>非机动车库</t>
  </si>
  <si>
    <t>四</t>
  </si>
  <si>
    <t>绿地率</t>
  </si>
  <si>
    <t>%</t>
  </si>
  <si>
    <t>北侧3811m²绿地计入基底面积统一核算</t>
  </si>
  <si>
    <t>六</t>
  </si>
  <si>
    <t>控制高度</t>
  </si>
  <si>
    <t>m</t>
  </si>
  <si>
    <t>正常</t>
  </si>
  <si>
    <t>不动产收益法办公</t>
  </si>
  <si>
    <t>不动产收益法办公</t>
    <phoneticPr fontId="14" type="noConversion"/>
  </si>
  <si>
    <t>不动产收益法车库</t>
  </si>
  <si>
    <t>不动产收益法车库</t>
    <phoneticPr fontId="14" type="noConversion"/>
  </si>
  <si>
    <t>不动产收益法仓储</t>
  </si>
  <si>
    <t>不动产收益法仓储</t>
    <phoneticPr fontId="14" type="noConversion"/>
  </si>
  <si>
    <t>不动产收益法商业</t>
  </si>
  <si>
    <t>不动产收益法商业</t>
    <phoneticPr fontId="14" type="noConversion"/>
  </si>
  <si>
    <t>押一</t>
  </si>
  <si>
    <t>按租金收入计税</t>
  </si>
  <si>
    <t>售价</t>
  </si>
  <si>
    <t>钢混</t>
  </si>
  <si>
    <r>
      <rPr>
        <sz val="12"/>
        <color indexed="8"/>
        <rFont val="宋体"/>
        <family val="3"/>
        <charset val="134"/>
      </rPr>
      <t>可研预计住宅售价</t>
    </r>
    <r>
      <rPr>
        <sz val="12"/>
        <color indexed="8"/>
        <rFont val="Arial"/>
        <family val="2"/>
      </rPr>
      <t>20</t>
    </r>
    <r>
      <rPr>
        <sz val="12"/>
        <color indexed="8"/>
        <rFont val="宋体"/>
        <family val="3"/>
        <charset val="134"/>
      </rPr>
      <t>万</t>
    </r>
    <r>
      <rPr>
        <sz val="12"/>
        <color indexed="8"/>
        <rFont val="Arial"/>
        <family val="2"/>
      </rPr>
      <t>/</t>
    </r>
    <r>
      <rPr>
        <sz val="12"/>
        <color indexed="8"/>
        <rFont val="宋体"/>
        <family val="3"/>
        <charset val="134"/>
      </rPr>
      <t>平</t>
    </r>
    <phoneticPr fontId="15" type="noConversion"/>
  </si>
  <si>
    <r>
      <rPr>
        <b/>
        <sz val="11"/>
        <color indexed="8"/>
        <rFont val="宋体"/>
        <family val="3"/>
        <charset val="134"/>
      </rPr>
      <t>办公年收益</t>
    </r>
    <r>
      <rPr>
        <b/>
        <sz val="11"/>
        <color indexed="8"/>
        <rFont val="Arial"/>
        <family val="2"/>
      </rPr>
      <t>15</t>
    </r>
    <r>
      <rPr>
        <b/>
        <sz val="11"/>
        <color indexed="8"/>
        <rFont val="宋体"/>
        <family val="3"/>
        <charset val="134"/>
      </rPr>
      <t>亿元</t>
    </r>
    <phoneticPr fontId="15" type="noConversion"/>
  </si>
  <si>
    <r>
      <rPr>
        <sz val="10"/>
        <color indexed="8"/>
        <rFont val="宋体"/>
        <family val="3"/>
        <charset val="134"/>
      </rPr>
      <t>建安单价分用途在</t>
    </r>
    <r>
      <rPr>
        <sz val="10"/>
        <color indexed="8"/>
        <rFont val="Arial"/>
        <family val="2"/>
      </rPr>
      <t>1-2</t>
    </r>
    <r>
      <rPr>
        <sz val="10"/>
        <color indexed="8"/>
        <rFont val="宋体"/>
        <family val="3"/>
        <charset val="134"/>
      </rPr>
      <t>万</t>
    </r>
    <r>
      <rPr>
        <sz val="10"/>
        <color indexed="8"/>
        <rFont val="Arial"/>
        <family val="2"/>
      </rPr>
      <t>/</t>
    </r>
    <r>
      <rPr>
        <sz val="10"/>
        <color indexed="8"/>
        <rFont val="宋体"/>
        <family val="3"/>
        <charset val="134"/>
      </rPr>
      <t>平，住宅最高</t>
    </r>
    <phoneticPr fontId="15" type="noConversion"/>
  </si>
  <si>
    <t>项目可研指标</t>
    <phoneticPr fontId="228" type="noConversion"/>
  </si>
  <si>
    <t>剩余法-待开发</t>
  </si>
  <si>
    <t>项目全部</t>
  </si>
  <si>
    <t>土地</t>
  </si>
  <si>
    <t>商务金融用地（办公类）</t>
  </si>
  <si>
    <t>500米范围内</t>
  </si>
  <si>
    <t>有</t>
  </si>
  <si>
    <t>无</t>
  </si>
  <si>
    <t>基准地价商业</t>
  </si>
  <si>
    <t>基准地价商业</t>
    <phoneticPr fontId="14" type="noConversion"/>
  </si>
  <si>
    <t>基准地价住宅</t>
  </si>
  <si>
    <t>基准地价住宅</t>
    <phoneticPr fontId="14" type="noConversion"/>
  </si>
  <si>
    <t>基准地价办公</t>
  </si>
  <si>
    <t>基准地价办公</t>
    <phoneticPr fontId="14" type="noConversion"/>
  </si>
  <si>
    <t>地块名称</t>
  </si>
  <si>
    <t>城市</t>
  </si>
  <si>
    <t>用地性质</t>
  </si>
  <si>
    <t>土地位置</t>
  </si>
  <si>
    <t>出让方式</t>
  </si>
  <si>
    <t>详细规划</t>
  </si>
  <si>
    <t>建设用地面积(㎡)</t>
  </si>
  <si>
    <t>规划建筑面积(㎡)</t>
  </si>
  <si>
    <t>成交特殊政策</t>
  </si>
  <si>
    <t>成交日期</t>
  </si>
  <si>
    <t>受让单位</t>
  </si>
  <si>
    <t>成交价(万元)</t>
  </si>
  <si>
    <t>成交每亩价(万元/亩)</t>
  </si>
  <si>
    <t>成交楼面价(元/㎡)</t>
  </si>
  <si>
    <t>溢价率</t>
  </si>
  <si>
    <t>出让年限</t>
  </si>
  <si>
    <t>土地星级</t>
  </si>
  <si>
    <t>北京市朝阳区东坝乡东风村1104-613地块R2二类居住用地、1104-614地块A33基础教育用地</t>
  </si>
  <si>
    <t>综合用地(含住宅)</t>
  </si>
  <si>
    <t>朝阳区东坝乡</t>
  </si>
  <si>
    <t>挂牌</t>
  </si>
  <si>
    <t>R2二类居住用地、A33基础教育用地</t>
  </si>
  <si>
    <t>r2≤2.8,a33≤0.8</t>
  </si>
  <si>
    <t>限地价,限房价,90/70</t>
  </si>
  <si>
    <t>2020-05-15</t>
  </si>
  <si>
    <t>北京盛智房地产有限公司、北京鑫远嘉业科技有限公司和北京首都开发股份有限公司联合体</t>
  </si>
  <si>
    <t>居住70年、商业40年、办公50年</t>
  </si>
  <si>
    <t>4星</t>
  </si>
  <si>
    <t>北京市朝阳区金盏乡小店村3005-12地块R2二类居住用地、3005-14地块A33基础教育用地、3005-15地块A22文化活动用地、3005-17地块A8社区综合服务设施用地</t>
  </si>
  <si>
    <t>朝阳区金盏乡</t>
  </si>
  <si>
    <t>R2二类居住用地、A33基础教育用地、A22文化活动用地、A8社区综合服务设施用地</t>
  </si>
  <si>
    <t>r2≤1.5,a33≤0.8,a22、a8≤1</t>
  </si>
  <si>
    <t>限地价</t>
  </si>
  <si>
    <t>2020-04-02</t>
  </si>
  <si>
    <t>北京中海地产有限公司和北京首都开发股份有限公司联合体</t>
  </si>
  <si>
    <t>北京市朝阳区孙河乡西甸村、孙河村2902-88地块F1住宅混合公建用地</t>
  </si>
  <si>
    <t>朝阳区孙河乡</t>
  </si>
  <si>
    <t>F1住宅混合公建用地</t>
  </si>
  <si>
    <t>≤1.5</t>
  </si>
  <si>
    <t>2019-09-12</t>
  </si>
  <si>
    <t>北京天恒正同资产管理有限公司和徐州恒江房地产开发有限公司联合体</t>
  </si>
  <si>
    <t>居住70年商业40年办公50年</t>
  </si>
  <si>
    <t>北京市朝阳区东坝乡驹子房1106-720地块F1住宅混合公建用地、1106-721地块A33基础教育用地</t>
  </si>
  <si>
    <t>F1住宅混合公建用地、A33基础教育用地</t>
  </si>
  <si>
    <t>f1≤3,a33≤0.9</t>
  </si>
  <si>
    <t>限房价,含自住房/共有产权住房</t>
  </si>
  <si>
    <t>2019-08-29</t>
  </si>
  <si>
    <t>北京房地置业发展有限公司</t>
  </si>
  <si>
    <t>5星</t>
  </si>
  <si>
    <t>北京市朝阳区孙河乡北甸西村、北甸东村、西甸村、孙河村2902-31地块R2二类居住用地</t>
  </si>
  <si>
    <t>住宅用地</t>
  </si>
  <si>
    <t>R2二类居住用地</t>
  </si>
  <si>
    <t>≤1.1</t>
  </si>
  <si>
    <t>2019-05-28</t>
  </si>
  <si>
    <t>苏州恒相房地产开发有限公司</t>
  </si>
  <si>
    <t>北京市朝阳区将台乡1016-030地块R2二类居住用地、1016-033地块F2公建混合住宅用地</t>
  </si>
  <si>
    <t>朝阳区将台乡驼房营村</t>
  </si>
  <si>
    <t>R2二类居住用地、F2公建混合住宅用地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</si>
  <si>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</si>
  <si>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</si>
  <si>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</si>
  <si>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</si>
  <si>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</si>
  <si>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</si>
  <si>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</si>
  <si>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朝阳区崔各庄乡</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</si>
  <si>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</si>
  <si>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</si>
  <si>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</si>
  <si>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</si>
  <si>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</si>
  <si>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</si>
  <si>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R2二类居住用地、A33基础教育用地、A8社区综合服务设施用地</t>
  </si>
  <si>
    <t>限地价,限房价</t>
  </si>
  <si>
    <t>2018-09-13</t>
  </si>
  <si>
    <t>北京中海地产有限公司</t>
  </si>
  <si>
    <t>北京市朝阳区豆各庄乡水牛坊村1306-635地块R2二类居住用地、1306-636地块A8社区综合服务用地</t>
  </si>
  <si>
    <t>朝阳区豆各庄乡</t>
  </si>
  <si>
    <t>R2二类居住用地、A8社区综合服务用地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</si>
  <si>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</si>
  <si>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</si>
  <si>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</si>
  <si>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</si>
  <si>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</si>
  <si>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</si>
  <si>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</si>
  <si>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</si>
  <si>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</si>
  <si>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</si>
  <si>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</si>
  <si>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</si>
  <si>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</si>
  <si>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r>
      <t>R2</t>
    </r>
    <r>
      <rPr>
        <sz val="10"/>
        <rFont val="宋体"/>
        <family val="3"/>
        <charset val="134"/>
      </rPr>
      <t>二类居住用地</t>
    </r>
    <phoneticPr fontId="26" type="noConversion"/>
  </si>
  <si>
    <t>好</t>
  </si>
  <si>
    <t>一般</t>
  </si>
  <si>
    <t>较好</t>
  </si>
  <si>
    <t>特殊政策</t>
    <phoneticPr fontId="26" type="noConversion"/>
  </si>
  <si>
    <t>无</t>
    <phoneticPr fontId="26" type="noConversion"/>
  </si>
  <si>
    <t>限房价</t>
    <phoneticPr fontId="26" type="noConversion"/>
  </si>
  <si>
    <t>无</t>
    <phoneticPr fontId="26" type="noConversion"/>
  </si>
  <si>
    <t>限房价</t>
    <phoneticPr fontId="26" type="noConversion"/>
  </si>
  <si>
    <t>楼面地价</t>
  </si>
  <si>
    <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</si>
  <si>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</si>
  <si>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单价</t>
    <phoneticPr fontId="3" type="noConversion"/>
  </si>
  <si>
    <t>面积</t>
    <phoneticPr fontId="3" type="noConversion"/>
  </si>
  <si>
    <t>商业租金</t>
    <phoneticPr fontId="3" type="noConversion"/>
  </si>
  <si>
    <t>综合单价</t>
    <phoneticPr fontId="3" type="noConversion"/>
  </si>
  <si>
    <t>居住用地（指二类居住用地）</t>
  </si>
  <si>
    <t>基准地价（汇总）</t>
  </si>
  <si>
    <t>金地华著</t>
    <phoneticPr fontId="3" type="noConversion"/>
  </si>
  <si>
    <t>万柳书院</t>
    <phoneticPr fontId="3" type="noConversion"/>
  </si>
  <si>
    <t>北京壹号院</t>
    <phoneticPr fontId="3" type="noConversion"/>
  </si>
  <si>
    <t>住宅</t>
    <phoneticPr fontId="21" type="noConversion"/>
  </si>
  <si>
    <t>50-60（含）</t>
  </si>
  <si>
    <t>吴薇</t>
  </si>
  <si>
    <t>郑燚</t>
  </si>
  <si>
    <t>中国建设银行股份有限公司北京城市建设开发专业支行</t>
    <phoneticPr fontId="6" type="noConversion"/>
  </si>
  <si>
    <t>北京世纪城市房地产开发有限公司</t>
    <phoneticPr fontId="6" type="noConversion"/>
  </si>
  <si>
    <t>朝阳区关东店北京世纪城市南地块1#、2#公寓及会所一宗住宅（公寓）、商业用地及关东店北京世纪城市南地块办公楼及裙房商业一宗商业、办公用地</t>
    <phoneticPr fontId="6" type="noConversion"/>
  </si>
  <si>
    <t>北京世纪城市房地产开发有限公司</t>
    <phoneticPr fontId="6" type="noConversion"/>
  </si>
  <si>
    <t>住宅（公寓）、商业、办公、地下车库</t>
    <phoneticPr fontId="6" type="noConversion"/>
  </si>
  <si>
    <t>住宅（公寓）、商业、办公、地下车库、地下仓储</t>
    <phoneticPr fontId="6" type="noConversion"/>
  </si>
  <si>
    <t>《国有土地使用证》[京朝国用（2007出）第0137、0136号]</t>
    <phoneticPr fontId="6" type="noConversion"/>
  </si>
  <si>
    <t>《国有建设用地使用权出让合同》[京地出（合）字（2006）第103、106号]及附件、《建设工程规划许可证》[建字第110000201900048号]</t>
    <phoneticPr fontId="6" type="noConversion"/>
  </si>
  <si>
    <t>不一致</t>
  </si>
  <si>
    <t>《国有土地使用证》[京朝国用（2007出）第0137、0136号]</t>
    <phoneticPr fontId="3" type="noConversion"/>
  </si>
  <si>
    <t>《国有建设用地使用权出让合同》[京地出（合）字（2006）第103、106号]及附件、《建设工程规划许可证》[建字第110000201900048号]</t>
    <phoneticPr fontId="3" type="noConversion"/>
  </si>
  <si>
    <t>与级别开发程度一致</t>
  </si>
  <si>
    <t>地下车库（销售）</t>
  </si>
  <si>
    <t>地下车库（销售）</t>
    <phoneticPr fontId="7" type="noConversion"/>
  </si>
  <si>
    <t>地下车库（自持）</t>
  </si>
  <si>
    <t>地下车库（自持）</t>
    <phoneticPr fontId="7" type="noConversion"/>
  </si>
  <si>
    <t>元/车位</t>
  </si>
  <si>
    <t>霞公府</t>
    <phoneticPr fontId="3" type="noConversion"/>
  </si>
  <si>
    <t>长安太和</t>
    <phoneticPr fontId="3" type="noConversion"/>
  </si>
  <si>
    <t>瑞安君汇</t>
    <phoneticPr fontId="3" type="noConversion"/>
  </si>
  <si>
    <t>正常</t>
    <phoneticPr fontId="27" type="noConversion"/>
  </si>
  <si>
    <t>较好</t>
    <phoneticPr fontId="27" type="noConversion"/>
  </si>
  <si>
    <t>七通</t>
    <phoneticPr fontId="27" type="noConversion"/>
  </si>
  <si>
    <t>七通</t>
    <phoneticPr fontId="27" type="noConversion"/>
  </si>
  <si>
    <t>住宅</t>
    <phoneticPr fontId="27" type="noConversion"/>
  </si>
  <si>
    <t>合同</t>
    <phoneticPr fontId="228" type="noConversion"/>
  </si>
  <si>
    <t>地上</t>
    <phoneticPr fontId="228" type="noConversion"/>
  </si>
  <si>
    <t>地下</t>
    <phoneticPr fontId="228" type="noConversion"/>
  </si>
  <si>
    <t>可研</t>
    <phoneticPr fontId="228" type="noConversion"/>
  </si>
  <si>
    <t>地上商业</t>
    <phoneticPr fontId="228" type="noConversion"/>
  </si>
  <si>
    <t>地下商业</t>
    <phoneticPr fontId="228" type="noConversion"/>
  </si>
  <si>
    <t>办公</t>
    <phoneticPr fontId="228" type="noConversion"/>
  </si>
  <si>
    <t>车库</t>
    <phoneticPr fontId="228" type="noConversion"/>
  </si>
  <si>
    <t>地下车库</t>
    <phoneticPr fontId="9" type="noConversion"/>
  </si>
  <si>
    <t>地下仓储</t>
    <phoneticPr fontId="9" type="noConversion"/>
  </si>
  <si>
    <t>宗地形状不规则，但对宗地利用影响较小</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</si>
</sst>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quot;￥&quot;#,##0;&quot;￥&quot;\-#,##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195" fontId="32" fillId="0" borderId="0" applyFont="0" applyFill="0" applyBorder="0" applyAlignment="0" applyProtection="0">
      <alignment vertical="center"/>
    </xf>
    <xf numFmtId="0" fontId="86" fillId="0" borderId="0"/>
  </cellStyleXfs>
  <cellXfs count="365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xf>
    <xf numFmtId="0" fontId="146" fillId="6" borderId="1" xfId="1" applyFont="1" applyFill="1" applyBorder="1" applyAlignment="1">
      <alignment horizontal="center" vertical="center"/>
    </xf>
    <xf numFmtId="0" fontId="145" fillId="0" borderId="6" xfId="1" applyFont="1" applyBorder="1" applyAlignment="1">
      <alignment horizontal="center" vertical="center"/>
    </xf>
    <xf numFmtId="0" fontId="145" fillId="0" borderId="7" xfId="1" applyFont="1" applyBorder="1" applyAlignment="1">
      <alignment horizontal="center" vertical="center"/>
    </xf>
    <xf numFmtId="0" fontId="145" fillId="0" borderId="0" xfId="1">
      <alignment vertical="center"/>
    </xf>
    <xf numFmtId="0" fontId="145" fillId="0" borderId="1" xfId="1" applyFont="1" applyFill="1" applyBorder="1" applyAlignment="1">
      <alignment horizontal="center" vertical="center"/>
    </xf>
    <xf numFmtId="0" fontId="145" fillId="0" borderId="6" xfId="1" applyFont="1" applyFill="1" applyBorder="1" applyAlignment="1">
      <alignment horizontal="center" vertical="center"/>
    </xf>
    <xf numFmtId="0" fontId="145" fillId="0" borderId="7" xfId="1" applyFont="1" applyFill="1" applyBorder="1" applyAlignment="1">
      <alignment horizontal="center" vertical="center"/>
    </xf>
    <xf numFmtId="0" fontId="145" fillId="0" borderId="2" xfId="1" applyFont="1" applyBorder="1" applyAlignment="1">
      <alignment horizontal="center" vertical="center" wrapText="1"/>
    </xf>
    <xf numFmtId="0" fontId="145" fillId="0" borderId="12" xfId="1" applyFont="1" applyBorder="1" applyAlignment="1">
      <alignment horizontal="center" vertical="center" wrapText="1"/>
    </xf>
    <xf numFmtId="0" fontId="145" fillId="0" borderId="2" xfId="1" applyFont="1" applyFill="1" applyBorder="1" applyAlignment="1">
      <alignment horizontal="center" vertical="center" wrapText="1"/>
    </xf>
    <xf numFmtId="0" fontId="145" fillId="0" borderId="12" xfId="1" applyBorder="1" applyAlignment="1">
      <alignment horizontal="center" vertical="center"/>
    </xf>
    <xf numFmtId="0" fontId="145" fillId="0" borderId="2" xfId="1" applyFont="1" applyBorder="1" applyAlignment="1">
      <alignment horizontal="center" vertical="center"/>
    </xf>
    <xf numFmtId="0" fontId="145" fillId="0" borderId="44" xfId="1" applyFont="1" applyBorder="1" applyAlignment="1">
      <alignment horizontal="center" vertical="center" wrapText="1"/>
    </xf>
    <xf numFmtId="0" fontId="145" fillId="0" borderId="46" xfId="1" applyFont="1" applyBorder="1" applyAlignment="1">
      <alignment horizontal="center" vertical="center" wrapText="1"/>
    </xf>
    <xf numFmtId="0" fontId="145" fillId="0" borderId="44" xfId="1" applyFont="1" applyBorder="1" applyAlignment="1">
      <alignment horizontal="center" vertical="center"/>
    </xf>
    <xf numFmtId="0" fontId="145" fillId="0" borderId="46" xfId="1" applyBorder="1" applyAlignment="1">
      <alignment horizontal="center" vertical="center"/>
    </xf>
    <xf numFmtId="0" fontId="167" fillId="0" borderId="82" xfId="0" applyFont="1" applyBorder="1" applyAlignment="1">
      <alignment horizontal="center" vertical="center"/>
    </xf>
    <xf numFmtId="0" fontId="167" fillId="0" borderId="38" xfId="0" applyFont="1" applyBorder="1" applyAlignment="1">
      <alignment horizontal="center" vertical="center"/>
    </xf>
    <xf numFmtId="0" fontId="167" fillId="0" borderId="80" xfId="0" applyFont="1" applyBorder="1" applyAlignment="1">
      <alignment horizontal="left" vertical="center"/>
    </xf>
    <xf numFmtId="0" fontId="167" fillId="0" borderId="66" xfId="0" applyFont="1" applyBorder="1" applyAlignment="1">
      <alignment horizontal="left" vertical="center"/>
    </xf>
    <xf numFmtId="0" fontId="167" fillId="0" borderId="66" xfId="0" applyFont="1" applyBorder="1" applyAlignment="1">
      <alignment horizontal="center" vertical="center"/>
    </xf>
    <xf numFmtId="0" fontId="167" fillId="0" borderId="66" xfId="0" applyFont="1" applyBorder="1" applyAlignment="1">
      <alignment horizontal="right" vertical="center"/>
    </xf>
    <xf numFmtId="0" fontId="167" fillId="0" borderId="66" xfId="0" applyFont="1" applyBorder="1" applyAlignment="1">
      <alignment horizontal="left" vertical="center" indent="1"/>
    </xf>
    <xf numFmtId="0" fontId="167" fillId="0" borderId="66" xfId="0" applyFont="1" applyBorder="1" applyAlignment="1">
      <alignment horizontal="left" vertical="center" wrapText="1"/>
    </xf>
    <xf numFmtId="10" fontId="167" fillId="0" borderId="66" xfId="0" applyNumberFormat="1" applyFont="1" applyBorder="1" applyAlignment="1">
      <alignment horizontal="right" vertical="center"/>
    </xf>
    <xf numFmtId="0" fontId="92" fillId="0" borderId="0" xfId="0" applyFont="1" applyFill="1" applyAlignment="1" applyProtection="1">
      <protection locked="0"/>
    </xf>
    <xf numFmtId="0" fontId="86" fillId="0" borderId="0" xfId="18"/>
    <xf numFmtId="0" fontId="86" fillId="6" borderId="0" xfId="18" applyFill="1"/>
    <xf numFmtId="0" fontId="0" fillId="6" borderId="0" xfId="0" applyFill="1">
      <alignment vertical="center"/>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2" fillId="13" borderId="26" xfId="0" applyFont="1" applyFill="1" applyBorder="1" applyAlignment="1" applyProtection="1">
      <alignment horizontal="center" vertical="center"/>
      <protection locked="0"/>
    </xf>
    <xf numFmtId="0" fontId="82" fillId="13" borderId="28" xfId="0" applyFont="1" applyFill="1" applyBorder="1" applyAlignment="1" applyProtection="1">
      <alignment horizontal="center" vertical="center"/>
      <protection locked="0"/>
    </xf>
    <xf numFmtId="0" fontId="82" fillId="13" borderId="39" xfId="0" applyFont="1" applyFill="1" applyBorder="1" applyAlignment="1" applyProtection="1">
      <alignment horizontal="center" vertical="center"/>
      <protection locked="0"/>
    </xf>
    <xf numFmtId="0" fontId="76" fillId="13" borderId="31" xfId="0" applyFont="1" applyFill="1" applyBorder="1" applyAlignment="1" applyProtection="1">
      <alignment horizontal="center" vertical="center"/>
      <protection locked="0"/>
    </xf>
    <xf numFmtId="0" fontId="76" fillId="13" borderId="0" xfId="0" applyFont="1" applyFill="1" applyBorder="1" applyAlignment="1" applyProtection="1">
      <alignment horizontal="center" vertical="center"/>
      <protection locked="0"/>
    </xf>
    <xf numFmtId="0" fontId="76" fillId="13" borderId="65" xfId="0" applyFont="1" applyFill="1" applyBorder="1" applyAlignment="1" applyProtection="1">
      <alignment horizontal="center" vertical="center"/>
      <protection locked="0"/>
    </xf>
    <xf numFmtId="0" fontId="76" fillId="13" borderId="61" xfId="0" applyFont="1" applyFill="1" applyBorder="1" applyAlignment="1" applyProtection="1">
      <alignment horizontal="center" vertical="center"/>
      <protection locked="0"/>
    </xf>
    <xf numFmtId="0" fontId="76" fillId="13" borderId="66" xfId="0" applyFont="1" applyFill="1" applyBorder="1" applyAlignment="1" applyProtection="1">
      <alignment horizontal="center" vertical="center"/>
      <protection locked="0"/>
    </xf>
    <xf numFmtId="0" fontId="82" fillId="13" borderId="54"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7" fillId="0" borderId="35" xfId="0" applyFont="1" applyBorder="1" applyAlignment="1">
      <alignment horizontal="left" vertical="center"/>
    </xf>
    <xf numFmtId="0" fontId="167" fillId="0" borderId="79" xfId="0" applyFont="1" applyBorder="1" applyAlignment="1">
      <alignment horizontal="left" vertical="center"/>
    </xf>
    <xf numFmtId="0" fontId="167" fillId="0" borderId="80" xfId="0" applyFont="1" applyBorder="1" applyAlignment="1">
      <alignment horizontal="left" vertical="center"/>
    </xf>
    <xf numFmtId="0" fontId="145" fillId="0" borderId="22" xfId="1" applyFont="1" applyBorder="1" applyAlignment="1">
      <alignment horizontal="center" vertical="center" wrapText="1"/>
    </xf>
    <xf numFmtId="0" fontId="145" fillId="0" borderId="50" xfId="1" applyFont="1" applyBorder="1" applyAlignment="1">
      <alignment horizontal="center" vertical="center" wrapText="1"/>
    </xf>
    <xf numFmtId="0" fontId="145" fillId="0" borderId="22" xfId="1" applyFont="1" applyBorder="1" applyAlignment="1">
      <alignment horizontal="center" vertical="center"/>
    </xf>
    <xf numFmtId="0" fontId="145" fillId="0" borderId="24" xfId="1" applyFont="1" applyBorder="1" applyAlignment="1">
      <alignment horizontal="center" vertical="center"/>
    </xf>
    <xf numFmtId="0" fontId="145" fillId="0" borderId="23" xfId="1" applyFont="1" applyBorder="1" applyAlignment="1">
      <alignment horizontal="center" vertical="center"/>
    </xf>
    <xf numFmtId="0" fontId="145" fillId="0" borderId="11" xfId="1" applyFont="1" applyBorder="1" applyAlignment="1">
      <alignment horizontal="center" vertical="center" wrapText="1"/>
    </xf>
    <xf numFmtId="0" fontId="145" fillId="0" borderId="43" xfId="1"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178" fontId="81" fillId="0" borderId="2" xfId="2" applyNumberFormat="1" applyFont="1" applyFill="1" applyBorder="1" applyAlignment="1" applyProtection="1">
      <alignment vertical="center"/>
      <protection locked="0"/>
    </xf>
    <xf numFmtId="49" fontId="81" fillId="2" borderId="33"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cellXfs>
  <cellStyles count="19">
    <cellStyle name="百分比 2" xfId="11"/>
    <cellStyle name="常规" xfId="0" builtinId="0"/>
    <cellStyle name="常规 10"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 name="千位分隔 2" xfId="17"/>
  </cellStyles>
  <dxfs count="25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342086</xdr:colOff>
      <xdr:row>25</xdr:row>
      <xdr:rowOff>142322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14286" cy="4428572"/>
        </a:xfrm>
        <a:prstGeom prst="rect">
          <a:avLst/>
        </a:prstGeom>
      </xdr:spPr>
    </xdr:pic>
    <xdr:clientData/>
  </xdr:twoCellAnchor>
  <xdr:twoCellAnchor editAs="oneCell">
    <xdr:from>
      <xdr:col>0</xdr:col>
      <xdr:colOff>0</xdr:colOff>
      <xdr:row>27</xdr:row>
      <xdr:rowOff>0</xdr:rowOff>
    </xdr:from>
    <xdr:to>
      <xdr:col>11</xdr:col>
      <xdr:colOff>475248</xdr:colOff>
      <xdr:row>56</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8019048" cy="5114286"/>
        </a:xfrm>
        <a:prstGeom prst="rect">
          <a:avLst/>
        </a:prstGeom>
      </xdr:spPr>
    </xdr:pic>
    <xdr:clientData/>
  </xdr:twoCellAnchor>
  <xdr:twoCellAnchor editAs="oneCell">
    <xdr:from>
      <xdr:col>0</xdr:col>
      <xdr:colOff>0</xdr:colOff>
      <xdr:row>58</xdr:row>
      <xdr:rowOff>0</xdr:rowOff>
    </xdr:from>
    <xdr:to>
      <xdr:col>11</xdr:col>
      <xdr:colOff>484772</xdr:colOff>
      <xdr:row>85</xdr:row>
      <xdr:rowOff>27993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028572" cy="4657143"/>
        </a:xfrm>
        <a:prstGeom prst="rect">
          <a:avLst/>
        </a:prstGeom>
      </xdr:spPr>
    </xdr:pic>
    <xdr:clientData/>
  </xdr:twoCellAnchor>
  <xdr:twoCellAnchor editAs="oneCell">
    <xdr:from>
      <xdr:col>0</xdr:col>
      <xdr:colOff>0</xdr:colOff>
      <xdr:row>86</xdr:row>
      <xdr:rowOff>0</xdr:rowOff>
    </xdr:from>
    <xdr:to>
      <xdr:col>12</xdr:col>
      <xdr:colOff>94210</xdr:colOff>
      <xdr:row>119</xdr:row>
      <xdr:rowOff>151674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744700"/>
          <a:ext cx="8323810" cy="5809524"/>
        </a:xfrm>
        <a:prstGeom prst="rect">
          <a:avLst/>
        </a:prstGeom>
      </xdr:spPr>
    </xdr:pic>
    <xdr:clientData/>
  </xdr:twoCellAnchor>
  <xdr:twoCellAnchor editAs="oneCell">
    <xdr:from>
      <xdr:col>0</xdr:col>
      <xdr:colOff>0</xdr:colOff>
      <xdr:row>120</xdr:row>
      <xdr:rowOff>0</xdr:rowOff>
    </xdr:from>
    <xdr:to>
      <xdr:col>11</xdr:col>
      <xdr:colOff>656201</xdr:colOff>
      <xdr:row>153</xdr:row>
      <xdr:rowOff>113579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8200001" cy="5771429"/>
        </a:xfrm>
        <a:prstGeom prst="rect">
          <a:avLst/>
        </a:prstGeom>
      </xdr:spPr>
    </xdr:pic>
    <xdr:clientData/>
  </xdr:twoCellAnchor>
  <xdr:twoCellAnchor editAs="oneCell">
    <xdr:from>
      <xdr:col>12</xdr:col>
      <xdr:colOff>142875</xdr:colOff>
      <xdr:row>27</xdr:row>
      <xdr:rowOff>142875</xdr:rowOff>
    </xdr:from>
    <xdr:to>
      <xdr:col>20</xdr:col>
      <xdr:colOff>361237</xdr:colOff>
      <xdr:row>45</xdr:row>
      <xdr:rowOff>94870</xdr:rowOff>
    </xdr:to>
    <xdr:pic>
      <xdr:nvPicPr>
        <xdr:cNvPr id="7" name="图片 6"/>
        <xdr:cNvPicPr>
          <a:picLocks noChangeAspect="1"/>
        </xdr:cNvPicPr>
      </xdr:nvPicPr>
      <xdr:blipFill>
        <a:blip xmlns:r="http://schemas.openxmlformats.org/officeDocument/2006/relationships" r:embed="rId6"/>
        <a:stretch>
          <a:fillRect/>
        </a:stretch>
      </xdr:blipFill>
      <xdr:spPr>
        <a:xfrm>
          <a:off x="8372475" y="4772025"/>
          <a:ext cx="5704762" cy="3038095"/>
        </a:xfrm>
        <a:prstGeom prst="rect">
          <a:avLst/>
        </a:prstGeom>
      </xdr:spPr>
    </xdr:pic>
    <xdr:clientData/>
  </xdr:twoCellAnchor>
  <xdr:twoCellAnchor editAs="oneCell">
    <xdr:from>
      <xdr:col>12</xdr:col>
      <xdr:colOff>0</xdr:colOff>
      <xdr:row>46</xdr:row>
      <xdr:rowOff>0</xdr:rowOff>
    </xdr:from>
    <xdr:to>
      <xdr:col>20</xdr:col>
      <xdr:colOff>265981</xdr:colOff>
      <xdr:row>62</xdr:row>
      <xdr:rowOff>28229</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7886700"/>
          <a:ext cx="5752381" cy="27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522525</xdr:colOff>
      <xdr:row>40</xdr:row>
      <xdr:rowOff>56286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09525" cy="6914286"/>
        </a:xfrm>
        <a:prstGeom prst="rect">
          <a:avLst/>
        </a:prstGeom>
      </xdr:spPr>
    </xdr:pic>
    <xdr:clientData/>
  </xdr:twoCellAnchor>
  <xdr:twoCellAnchor editAs="oneCell">
    <xdr:from>
      <xdr:col>0</xdr:col>
      <xdr:colOff>0</xdr:colOff>
      <xdr:row>40</xdr:row>
      <xdr:rowOff>0</xdr:rowOff>
    </xdr:from>
    <xdr:to>
      <xdr:col>13</xdr:col>
      <xdr:colOff>494124</xdr:colOff>
      <xdr:row>84</xdr:row>
      <xdr:rowOff>75248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9409524" cy="7619048"/>
        </a:xfrm>
        <a:prstGeom prst="rect">
          <a:avLst/>
        </a:prstGeom>
      </xdr:spPr>
    </xdr:pic>
    <xdr:clientData/>
  </xdr:twoCellAnchor>
  <xdr:twoCellAnchor editAs="oneCell">
    <xdr:from>
      <xdr:col>0</xdr:col>
      <xdr:colOff>0</xdr:colOff>
      <xdr:row>85</xdr:row>
      <xdr:rowOff>0</xdr:rowOff>
    </xdr:from>
    <xdr:to>
      <xdr:col>14</xdr:col>
      <xdr:colOff>608325</xdr:colOff>
      <xdr:row>128</xdr:row>
      <xdr:rowOff>27651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0209525" cy="7400001"/>
        </a:xfrm>
        <a:prstGeom prst="rect">
          <a:avLst/>
        </a:prstGeom>
      </xdr:spPr>
    </xdr:pic>
    <xdr:clientData/>
  </xdr:twoCellAnchor>
  <xdr:twoCellAnchor editAs="oneCell">
    <xdr:from>
      <xdr:col>0</xdr:col>
      <xdr:colOff>104775</xdr:colOff>
      <xdr:row>129</xdr:row>
      <xdr:rowOff>47625</xdr:rowOff>
    </xdr:from>
    <xdr:to>
      <xdr:col>14</xdr:col>
      <xdr:colOff>303576</xdr:colOff>
      <xdr:row>142</xdr:row>
      <xdr:rowOff>47347</xdr:rowOff>
    </xdr:to>
    <xdr:pic>
      <xdr:nvPicPr>
        <xdr:cNvPr id="5" name="图片 4"/>
        <xdr:cNvPicPr>
          <a:picLocks noChangeAspect="1"/>
        </xdr:cNvPicPr>
      </xdr:nvPicPr>
      <xdr:blipFill>
        <a:blip xmlns:r="http://schemas.openxmlformats.org/officeDocument/2006/relationships" r:embed="rId4"/>
        <a:stretch>
          <a:fillRect/>
        </a:stretch>
      </xdr:blipFill>
      <xdr:spPr>
        <a:xfrm>
          <a:off x="104775" y="22164675"/>
          <a:ext cx="9800001" cy="22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551267</xdr:colOff>
      <xdr:row>43</xdr:row>
      <xdr:rowOff>18127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66667" cy="7390477"/>
        </a:xfrm>
        <a:prstGeom prst="rect">
          <a:avLst/>
        </a:prstGeom>
      </xdr:spPr>
    </xdr:pic>
    <xdr:clientData/>
  </xdr:twoCellAnchor>
  <xdr:twoCellAnchor editAs="oneCell">
    <xdr:from>
      <xdr:col>0</xdr:col>
      <xdr:colOff>0</xdr:colOff>
      <xdr:row>43</xdr:row>
      <xdr:rowOff>0</xdr:rowOff>
    </xdr:from>
    <xdr:to>
      <xdr:col>13</xdr:col>
      <xdr:colOff>284601</xdr:colOff>
      <xdr:row>85</xdr:row>
      <xdr:rowOff>27672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9200001" cy="7228572"/>
        </a:xfrm>
        <a:prstGeom prst="rect">
          <a:avLst/>
        </a:prstGeom>
      </xdr:spPr>
    </xdr:pic>
    <xdr:clientData/>
  </xdr:twoCellAnchor>
  <xdr:twoCellAnchor editAs="oneCell">
    <xdr:from>
      <xdr:col>0</xdr:col>
      <xdr:colOff>0</xdr:colOff>
      <xdr:row>85</xdr:row>
      <xdr:rowOff>0</xdr:rowOff>
    </xdr:from>
    <xdr:to>
      <xdr:col>13</xdr:col>
      <xdr:colOff>160791</xdr:colOff>
      <xdr:row>128</xdr:row>
      <xdr:rowOff>46698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9076191" cy="7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90;&#32426;&#22478;&#2406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27001;&#22825;&#34903;/2019-1-0632-F01DYGJ2-&#40857;&#28246;-&#29579;&#28165;&#38597;-&#20108;&#23457;-&#23828;&#38196;20191028-171921-&#29579;&#28165;&#38597;20191030-1616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住宅（公寓）</v>
          </cell>
        </row>
        <row r="20">
          <cell r="C20" t="str">
            <v>商业</v>
          </cell>
        </row>
        <row r="21">
          <cell r="C21" t="str">
            <v>办公</v>
          </cell>
        </row>
        <row r="22">
          <cell r="C22" t="str">
            <v>地下车库</v>
          </cell>
        </row>
        <row r="23">
          <cell r="C23"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8">
          <cell r="C48">
            <v>8.4</v>
          </cell>
        </row>
      </sheetData>
      <sheetData sheetId="28">
        <row r="119">
          <cell r="B119" t="str">
            <v>层高</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2634</v>
      </c>
      <c r="B1" s="2608" t="s">
        <v>2731</v>
      </c>
    </row>
    <row r="2" spans="1:55" s="2612" customFormat="1" ht="15" thickTop="1">
      <c r="A2" s="2610" t="s">
        <v>2638</v>
      </c>
      <c r="B2" s="2611" t="str">
        <f>'预评函-封皮'!B37</f>
        <v>北京市朝阳区关东店北京世纪城市南地块1#、2#公寓及会所一宗住宅（公寓）、商业用地及关东店北京世纪城市南地块办公楼及裙房商业一宗商业、办公用地出让国有建设用地使用权抵押价格预评估</v>
      </c>
      <c r="AX2" s="2613"/>
      <c r="AZ2" s="2613"/>
      <c r="BA2" s="2614"/>
      <c r="BC2" s="2614"/>
    </row>
    <row r="3" spans="1:55" s="2615" customFormat="1">
      <c r="A3" s="2594" t="s">
        <v>2639</v>
      </c>
      <c r="B3" s="2597" t="str">
        <f>'预评函-封皮'!B40</f>
        <v>中国建设银行股份有限公司北京城市建设开发专业支行</v>
      </c>
    </row>
    <row r="4" spans="1:55" s="2596" customFormat="1">
      <c r="A4" s="2594" t="s">
        <v>2640</v>
      </c>
      <c r="B4" s="2595" t="str">
        <f>'预评函-封皮'!B46</f>
        <v>吴薇、郑燚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2641</v>
      </c>
      <c r="B5" s="2617" t="str">
        <f>'预评函-封皮'!B49</f>
        <v>康正预评字号</v>
      </c>
    </row>
    <row r="6" spans="1:55" s="2618" customFormat="1" ht="15" thickTop="1">
      <c r="A6" s="2610" t="s">
        <v>2683</v>
      </c>
      <c r="B6" s="2611" t="str">
        <f>'预评函-1'!A4</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c r="AM6" s="2619"/>
    </row>
    <row r="7" spans="1:55" s="2593" customFormat="1">
      <c r="A7" s="2594" t="s">
        <v>2635</v>
      </c>
      <c r="B7" s="2595" t="str">
        <f>'预评函-1'!A6</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8" spans="1:55" s="2593" customFormat="1">
      <c r="A8" s="2594" t="s">
        <v>2636</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2686</v>
      </c>
      <c r="B9" s="2595" t="str">
        <f>'预评函-1'!A9</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55" s="2593" customFormat="1">
      <c r="A10" s="2594" t="s">
        <v>2637</v>
      </c>
      <c r="B10" s="2595" t="str">
        <f>'预评函-1'!A11</f>
        <v>2020年10月23日（评估专业人员勘察现场之日）</v>
      </c>
    </row>
    <row r="11" spans="1:55" s="2593" customFormat="1">
      <c r="A11" s="2594" t="s">
        <v>2643</v>
      </c>
      <c r="B11" s="2595" t="str">
        <f>'预评函-1'!A14</f>
        <v>根据《国有土地使用证》[京朝国用（2007出）第0137、0136号]，本次评估估价对象证载（地类）用途为住宅（公寓）、商业、办公、地下车库。</v>
      </c>
    </row>
    <row r="12" spans="1:55" s="2593" customFormat="1">
      <c r="A12" s="2594" t="s">
        <v>2644</v>
      </c>
      <c r="B12" s="2595" t="str">
        <f>'预评函-1'!A15</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row>
    <row r="13" spans="1:55" s="2593" customFormat="1">
      <c r="A13" s="2594" t="s">
        <v>2645</v>
      </c>
      <c r="B13" s="2595" t="str">
        <f>'预评函-1'!A17</f>
        <v>根据委托估价方介绍及评估专业人员现场勘查，本次评估估价对象实际土地开发程度为红线外市政基础设施达“七通”（即通路、通电、通讯、通上水、通下水、通热、燃气）、宗地红线内场地平整。</v>
      </c>
    </row>
    <row r="14" spans="1:55" s="2593" customFormat="1">
      <c r="A14" s="2594" t="s">
        <v>2646</v>
      </c>
      <c r="B14" s="2595" t="str">
        <f>'预评函-1'!A18</f>
        <v>本次评估设定土地开发程度为红线外市政基础设施达“七通”、宗地红线内场地平整。</v>
      </c>
    </row>
    <row r="15" spans="1:55" s="2593" customFormat="1">
      <c r="A15" s="2594" t="s">
        <v>2642</v>
      </c>
      <c r="B15" s="2595" t="str">
        <f>'预评函-1'!A20</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16" spans="1:55" s="2593" customFormat="1">
      <c r="A16" s="2594" t="s">
        <v>2647</v>
      </c>
      <c r="B16" s="2595" t="str">
        <f>'预评函-1'!A22</f>
        <v>本次估价对象为出让国有建设用地使用权，依据《国有土地使用证》[京朝国用（2007出）第0137、0136号]、《国有建设用地使用权出让合同》[京地出（合）字（2006）第103、106号]及附件、《建设工程规划许可证》[建字第110000201900048号]，土地终止日期为住宅2076年2月22日、商业2046年2月22日、办公2056年2月22日、地下车库2056年2月22日、地下仓储2056年2月22日。截至估价期日，出让国有建设用地使用权剩余土地使用年限为。</v>
      </c>
    </row>
    <row r="17" spans="1:48" s="2593" customFormat="1">
      <c r="A17" s="2594" t="s">
        <v>2648</v>
      </c>
      <c r="B17" s="2595" t="str">
        <f>'预评函-1'!A23</f>
        <v>本次评估设定估价对象剩余土地使用年限为。</v>
      </c>
    </row>
    <row r="18" spans="1:48" s="2593" customFormat="1">
      <c r="A18" s="2594" t="s">
        <v>2649</v>
      </c>
      <c r="B18" s="2595" t="str">
        <f>'预评函-1'!A25</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19" spans="1:48" s="2593" customFormat="1">
      <c r="A19" s="2594" t="s">
        <v>2650</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2651</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2652</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2653</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4" t="s">
        <v>2654</v>
      </c>
      <c r="B23" s="2595" t="str">
        <f>'预评函-2'!K2</f>
        <v>估价期日：2020年10月23日</v>
      </c>
    </row>
    <row r="24" spans="1:48">
      <c r="A24" s="2594" t="s">
        <v>2655</v>
      </c>
      <c r="B24" s="2595" t="str">
        <f>'预评函-2'!R2</f>
        <v>估价期日的国有建设用地使用权性质：出让</v>
      </c>
    </row>
    <row r="25" spans="1:48">
      <c r="A25" s="2594" t="s">
        <v>2711</v>
      </c>
      <c r="B25" s="2595" t="str">
        <f>'预评函-2'!A3</f>
        <v>估价期日土地使用者</v>
      </c>
    </row>
    <row r="26" spans="1:48">
      <c r="A26" s="2594" t="s">
        <v>2687</v>
      </c>
      <c r="B26" s="2595" t="str">
        <f>'预评函-2'!A5</f>
        <v>中信开发</v>
      </c>
    </row>
    <row r="27" spans="1:48">
      <c r="A27" s="2594" t="s">
        <v>2712</v>
      </c>
      <c r="B27" s="2595" t="str">
        <f>'预评函-2'!B3</f>
        <v>宗地编号/不动产单元号</v>
      </c>
    </row>
    <row r="28" spans="1:48">
      <c r="A28" s="2594" t="s">
        <v>2688</v>
      </c>
      <c r="B28" s="2595" t="str">
        <f>'预评函-2'!B5</f>
        <v>11111111111</v>
      </c>
    </row>
    <row r="29" spans="1:48">
      <c r="A29" s="2594" t="s">
        <v>2714</v>
      </c>
      <c r="B29" s="2595">
        <f>'预评函-2'!C5</f>
        <v>22</v>
      </c>
    </row>
    <row r="30" spans="1:48">
      <c r="A30" s="2594" t="s">
        <v>2715</v>
      </c>
      <c r="B30" s="2595" t="str">
        <f>'预评函-2'!D3</f>
        <v>土地使用证编号/不动产权证书编号</v>
      </c>
    </row>
    <row r="31" spans="1:48">
      <c r="A31" s="2594" t="s">
        <v>2689</v>
      </c>
      <c r="B31" s="2595" t="str">
        <f>'预评函-2'!D5</f>
        <v>京国土字第111号</v>
      </c>
    </row>
    <row r="32" spans="1:48">
      <c r="A32" s="2594" t="s">
        <v>2690</v>
      </c>
      <c r="B32" s="2595" t="str">
        <f>'预评函-2'!E5</f>
        <v>住宅（公寓）、商业、办公、地下车库</v>
      </c>
      <c r="AV32" s="2599"/>
    </row>
    <row r="33" spans="1:2">
      <c r="A33" s="2594" t="s">
        <v>2691</v>
      </c>
      <c r="B33" s="2595">
        <f>'预评函-2'!F5</f>
        <v>258</v>
      </c>
    </row>
    <row r="34" spans="1:2">
      <c r="A34" s="2594" t="s">
        <v>2692</v>
      </c>
      <c r="B34" s="2595" t="str">
        <f>'预评函-2'!G5</f>
        <v>住宅（公寓）、商业、办公、地下车库、地下仓储</v>
      </c>
    </row>
    <row r="35" spans="1:2">
      <c r="A35" s="2594" t="s">
        <v>2693</v>
      </c>
      <c r="B35" s="2595">
        <f>'预评函-2'!H5</f>
        <v>1.5</v>
      </c>
    </row>
    <row r="36" spans="1:2">
      <c r="A36" s="2594" t="s">
        <v>2694</v>
      </c>
      <c r="B36" s="2595">
        <f>'预评函-2'!I5</f>
        <v>1.5</v>
      </c>
    </row>
    <row r="37" spans="1:2">
      <c r="A37" s="2594" t="s">
        <v>2695</v>
      </c>
      <c r="B37" s="2595">
        <f>'预评函-2'!J5</f>
        <v>1.5</v>
      </c>
    </row>
    <row r="38" spans="1:2">
      <c r="A38" s="2594" t="s">
        <v>2696</v>
      </c>
      <c r="B38" s="2595" t="str">
        <f>'预评函-2'!K5</f>
        <v>红线外七通、宗地红线内场地平整</v>
      </c>
    </row>
    <row r="39" spans="1:2">
      <c r="A39" s="2594" t="s">
        <v>2697</v>
      </c>
      <c r="B39" s="2595" t="str">
        <f>'预评函-2'!L5</f>
        <v>红线外七通、宗地红线内场地平整</v>
      </c>
    </row>
    <row r="40" spans="1:2">
      <c r="A40" s="2594" t="s">
        <v>2716</v>
      </c>
      <c r="B40" s="2595" t="str">
        <f>'预评函-2'!M3</f>
        <v>（剩余）土地使用年限/年</v>
      </c>
    </row>
    <row r="41" spans="1:2">
      <c r="A41" s="2594" t="s">
        <v>2698</v>
      </c>
      <c r="B41" s="2595">
        <f>'预评函-2'!M5</f>
        <v>0</v>
      </c>
    </row>
    <row r="42" spans="1:2">
      <c r="A42" s="2594" t="s">
        <v>2717</v>
      </c>
      <c r="B42" s="2595" t="str">
        <f>'预评函-2'!N3</f>
        <v>（分摊）出让国有建设用地使用权面积/㎡</v>
      </c>
    </row>
    <row r="43" spans="1:2">
      <c r="A43" s="2594" t="s">
        <v>2699</v>
      </c>
      <c r="B43" s="2595">
        <f>'预评函-2'!N5</f>
        <v>18893.75</v>
      </c>
    </row>
    <row r="44" spans="1:2">
      <c r="A44" s="2594" t="s">
        <v>2718</v>
      </c>
      <c r="B44" s="2595" t="str">
        <f>'预评函-2'!O3</f>
        <v>规划建筑面积/㎡</v>
      </c>
    </row>
    <row r="45" spans="1:2">
      <c r="A45" s="2594" t="s">
        <v>2700</v>
      </c>
      <c r="B45" s="2595">
        <f>'预评函-2'!O5</f>
        <v>273635.53999999998</v>
      </c>
    </row>
    <row r="46" spans="1:2">
      <c r="A46" s="2594" t="s">
        <v>2701</v>
      </c>
      <c r="B46" s="2595">
        <f ca="1">'预评函-2'!P5</f>
        <v>346457</v>
      </c>
    </row>
    <row r="47" spans="1:2">
      <c r="A47" s="2594" t="s">
        <v>2702</v>
      </c>
      <c r="B47" s="2595">
        <f ca="1">'预评函-2'!Q5</f>
        <v>23922</v>
      </c>
    </row>
    <row r="48" spans="1:2">
      <c r="A48" s="2594" t="s">
        <v>2703</v>
      </c>
      <c r="B48" s="2595">
        <f ca="1">'预评函-2'!R5</f>
        <v>654587</v>
      </c>
    </row>
    <row r="49" spans="1:2">
      <c r="A49" s="2594" t="s">
        <v>2719</v>
      </c>
      <c r="B49" s="2595" t="str">
        <f>'预评函-2'!A6</f>
        <v>抵押价格</v>
      </c>
    </row>
    <row r="50" spans="1:2">
      <c r="A50" s="2594" t="s">
        <v>2704</v>
      </c>
      <c r="B50" s="2595">
        <f ca="1">'预评函-2'!R6</f>
        <v>649766</v>
      </c>
    </row>
    <row r="51" spans="1:2">
      <c r="A51" s="2594" t="s">
        <v>2720</v>
      </c>
      <c r="B51" s="2595" t="str">
        <f>'预评函-2'!A7</f>
        <v>——</v>
      </c>
    </row>
    <row r="52" spans="1:2">
      <c r="A52" s="2594" t="s">
        <v>2705</v>
      </c>
      <c r="B52" s="2595" t="str">
        <f>'预评函-2'!R7</f>
        <v>——</v>
      </c>
    </row>
    <row r="53" spans="1:2">
      <c r="A53" s="2594" t="s">
        <v>2721</v>
      </c>
      <c r="B53" s="2595">
        <f>'预评函-2'!A8</f>
        <v>0</v>
      </c>
    </row>
    <row r="54" spans="1:2" s="2609" customFormat="1" ht="15" thickBot="1">
      <c r="A54" s="2616" t="s">
        <v>2706</v>
      </c>
      <c r="B54" s="2617" t="str">
        <f>'预评函-2'!R8</f>
        <v>——</v>
      </c>
    </row>
    <row r="55" spans="1:2" ht="15" thickTop="1">
      <c r="A55" s="2605" t="s">
        <v>2656</v>
      </c>
      <c r="B55" s="2606" t="str">
        <f>'预评函-3'!A2</f>
        <v>1.权利限制：根据估价对象《不动产权证书》——、《国有土地使用权》复印件，截至估价期日，估价对象抵押权未见登记。未设定租赁等其他他项权利。</v>
      </c>
    </row>
    <row r="56" spans="1:2">
      <c r="A56" s="2594" t="s">
        <v>2657</v>
      </c>
      <c r="B56" s="2595" t="str">
        <f>'预评函-3'!A3</f>
        <v>2.基础设施条件：估价对象实际开发程度为红线外七通、宗地红线内场地平整；本次评估设定开发程度为红线外七通、宗地红线内场地平整。</v>
      </c>
    </row>
    <row r="57" spans="1:2">
      <c r="A57" s="2594" t="s">
        <v>2658</v>
      </c>
      <c r="B57" s="2595" t="str">
        <f>'预评函-3'!A4</f>
        <v>3.估价规划限制条件：详见《国有建设用地使用权出让合同》[京地出（合）字（2006）第103、106号]及附件、《建设工程规划许可证》[建字第110000201900048号]。</v>
      </c>
    </row>
    <row r="58" spans="1:2" s="2609" customFormat="1" ht="15" thickBot="1">
      <c r="A58" s="2616" t="s">
        <v>2707</v>
      </c>
      <c r="B58" s="2617" t="str">
        <f>'预评函-3'!A5</f>
        <v>4.影响价格的其他限定条件：无。</v>
      </c>
    </row>
    <row r="59" spans="1:2" ht="15" thickTop="1">
      <c r="A59" s="2605" t="s">
        <v>2659</v>
      </c>
      <c r="B59" s="2606" t="str">
        <f>'预评函-3'!A8</f>
        <v>2.本《评估意见函》仅供金融机构进行内部审核使用，不做其他目的之用。</v>
      </c>
    </row>
    <row r="60" spans="1:2">
      <c r="A60" s="2594" t="s">
        <v>2660</v>
      </c>
      <c r="B60" s="2595" t="str">
        <f>'预评函-3'!A9</f>
        <v>3.抵押双方在办理抵押登记手续时，应使用本公司出具的正式《土地估价报告》，特提请报告使用者注意。</v>
      </c>
    </row>
    <row r="61" spans="1:2">
      <c r="A61" s="2594" t="s">
        <v>2662</v>
      </c>
      <c r="B61" s="2595" t="str">
        <f>'预评函-3'!A10</f>
        <v>4.估价师所知悉的法定优先受偿款情况为：</v>
      </c>
    </row>
    <row r="62" spans="1:2">
      <c r="A62" s="2594" t="s">
        <v>2661</v>
      </c>
      <c r="B62" s="2595" t="str">
        <f>'预评函-3'!A11</f>
        <v>（1）根据估价对象《不动产权证书》——、《国有土地使用权》复印件，截至估价期日，估价对象抵押权未见登记。</v>
      </c>
    </row>
    <row r="63" spans="1:2">
      <c r="A63" s="2594" t="s">
        <v>2663</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2664</v>
      </c>
      <c r="B64" s="2600" t="str">
        <f>'预评函-3'!A13</f>
        <v>（3）。</v>
      </c>
    </row>
    <row r="65" spans="1:2">
      <c r="A65" s="2594" t="s">
        <v>2665</v>
      </c>
      <c r="B65" s="2601" t="str">
        <f ca="1">'预评函-3'!A14</f>
        <v>综上，本次评估估价师知悉的法定优先受偿款为人民币4821万元整。</v>
      </c>
    </row>
    <row r="66" spans="1:2">
      <c r="A66" s="2594" t="s">
        <v>2666</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2667</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2670</v>
      </c>
      <c r="B68" s="2620">
        <f>'预评函-3'!D30</f>
        <v>42558</v>
      </c>
    </row>
    <row r="69" spans="1:2" ht="15" thickTop="1">
      <c r="A69" s="2605" t="s">
        <v>2668</v>
      </c>
      <c r="B69" s="2606" t="str">
        <f>'预评函-3'!A20</f>
        <v>吴薇</v>
      </c>
    </row>
    <row r="70" spans="1:2">
      <c r="A70" s="2594" t="s">
        <v>2668</v>
      </c>
      <c r="B70" s="2601">
        <f ca="1">'预评函-3'!B20</f>
        <v>2002110125</v>
      </c>
    </row>
    <row r="71" spans="1:2">
      <c r="A71" s="2594" t="s">
        <v>2669</v>
      </c>
      <c r="B71" s="2595" t="str">
        <f>'预评函-3'!A21</f>
        <v>郑燚</v>
      </c>
    </row>
    <row r="72" spans="1:2" s="2609" customFormat="1" ht="15" thickBot="1">
      <c r="A72" s="2616" t="s">
        <v>2669</v>
      </c>
      <c r="B72" s="2622">
        <f ca="1">'预评函-3'!B21</f>
        <v>2014110011</v>
      </c>
    </row>
    <row r="73" spans="1:2" ht="15" thickTop="1">
      <c r="A73" s="2605" t="s">
        <v>2728</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2729</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2730</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2764</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E10" zoomScale="115" zoomScaleNormal="100" zoomScaleSheetLayoutView="115" workbookViewId="0">
      <selection activeCell="G18" sqref="G18"/>
    </sheetView>
  </sheetViews>
  <sheetFormatPr defaultColWidth="10" defaultRowHeight="14.25"/>
  <cols>
    <col min="1" max="1" width="15.375" style="1612" customWidth="1"/>
    <col min="2" max="2" width="11.375" style="1612" customWidth="1"/>
    <col min="3" max="3" width="12.625" style="1612" customWidth="1"/>
    <col min="4" max="4" width="11.2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67" t="str">
        <f>IF(B10="北京市","北京市",C10)&amp;F10&amp;B16&amp;"国有建设用地使用权"&amp;B9&amp;"预评估"</f>
        <v>北京市朝阳区关东店北京世纪城市南地块1#、2#公寓及会所一宗住宅（公寓）、商业用地及关东店北京世纪城市南地块办公楼及裙房商业一宗商业、办公用地出让国有建设用地使用权抵押价格预评估</v>
      </c>
      <c r="C1" s="3368"/>
      <c r="D1" s="3368"/>
      <c r="E1" s="3368"/>
      <c r="F1" s="3368"/>
      <c r="G1" s="3368"/>
      <c r="H1" s="3368"/>
      <c r="I1" s="3369"/>
      <c r="J1" s="3073"/>
      <c r="K1" s="2309" t="str">
        <f>IF(B10="北京市","北京市",C10)&amp;F10&amp;B16&amp;"国有建设用地使用权"&amp;B9</f>
        <v>北京市朝阳区关东店北京世纪城市南地块1#、2#公寓及会所一宗住宅（公寓）、商业用地及关东店北京世纪城市南地块办公楼及裙房商业一宗商业、办公用地出让国有建设用地使用权抵押价格</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北京市朝阳区关东店北京世纪城市南地块1#、2#公寓及会所一宗住宅（公寓）、商业用地及关东店北京世纪城市南地块办公楼及裙房商业一宗商业、办公用地出让国有建设用地使用权</v>
      </c>
      <c r="L2" s="3052"/>
      <c r="M2" s="3052"/>
      <c r="N2" s="3053"/>
      <c r="O2" s="3054"/>
      <c r="P2" s="3053"/>
      <c r="Q2" s="3053"/>
      <c r="R2" s="3053"/>
      <c r="S2" s="3053"/>
      <c r="T2" s="3053"/>
      <c r="U2" s="3053"/>
    </row>
    <row r="3" spans="1:21">
      <c r="A3" s="1587" t="s">
        <v>1928</v>
      </c>
      <c r="B3" s="1588">
        <v>44127</v>
      </c>
      <c r="C3" s="2996" t="s">
        <v>1983</v>
      </c>
      <c r="D3" s="1588">
        <f>B3</f>
        <v>44127</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3235</v>
      </c>
      <c r="C4" s="1758">
        <f ca="1">SUMIF(土地估价师,B4,估价师及机构信息!E3:E16)</f>
        <v>2002110125</v>
      </c>
      <c r="D4" s="1755" t="s">
        <v>3236</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吴薇、郑燚</v>
      </c>
      <c r="L4" s="3052"/>
      <c r="M4" s="3052"/>
      <c r="N4" s="3053"/>
      <c r="O4" s="3054"/>
      <c r="P4" s="3053"/>
      <c r="Q4" s="3053"/>
      <c r="R4" s="3053"/>
      <c r="S4" s="3053"/>
      <c r="T4" s="3053"/>
      <c r="U4" s="3053"/>
    </row>
    <row r="5" spans="1:21" ht="15" thickTop="1">
      <c r="A5" s="1591" t="s">
        <v>1930</v>
      </c>
      <c r="B5" s="1702" t="s">
        <v>3237</v>
      </c>
      <c r="C5" s="1592"/>
      <c r="D5" s="1593"/>
      <c r="E5" s="3073"/>
      <c r="F5" s="3073"/>
      <c r="G5" s="3073"/>
      <c r="H5" s="3074"/>
      <c r="I5" s="3075"/>
      <c r="J5" s="3073"/>
      <c r="K5" s="3056"/>
      <c r="L5" s="3052"/>
      <c r="M5" s="3052"/>
      <c r="N5" s="3053"/>
      <c r="O5" s="3054"/>
      <c r="P5" s="3053"/>
      <c r="Q5" s="3053"/>
      <c r="R5" s="3053"/>
      <c r="S5" s="3053"/>
      <c r="T5" s="3053"/>
      <c r="U5" s="3053"/>
    </row>
    <row r="6" spans="1:21" ht="26.25">
      <c r="A6" s="1589" t="s">
        <v>2684</v>
      </c>
      <c r="B6" s="1702" t="s">
        <v>3237</v>
      </c>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2685</v>
      </c>
      <c r="B7" s="1702" t="s">
        <v>3240</v>
      </c>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2950</v>
      </c>
      <c r="C8" s="1597"/>
      <c r="D8" s="3373" t="s">
        <v>1933</v>
      </c>
      <c r="E8" s="1756" t="s">
        <v>2997</v>
      </c>
      <c r="F8" s="1598"/>
      <c r="G8" s="3074"/>
      <c r="H8" s="3074"/>
      <c r="I8" s="3077"/>
      <c r="J8" s="3073"/>
      <c r="K8" s="3056"/>
      <c r="L8" s="3052"/>
      <c r="M8" s="3052"/>
      <c r="N8" s="3053"/>
      <c r="O8" s="3054"/>
      <c r="P8" s="3053"/>
      <c r="Q8" s="3053"/>
      <c r="R8" s="3053"/>
      <c r="S8" s="3053"/>
      <c r="T8" s="3053"/>
      <c r="U8" s="3053"/>
    </row>
    <row r="9" spans="1:21" ht="15" thickBot="1">
      <c r="A9" s="2998" t="s">
        <v>1932</v>
      </c>
      <c r="B9" s="1599" t="s">
        <v>2997</v>
      </c>
      <c r="C9" s="1600"/>
      <c r="D9" s="3374"/>
      <c r="E9" s="1599"/>
      <c r="F9" s="1663"/>
      <c r="G9" s="3078"/>
      <c r="H9" s="3078"/>
      <c r="I9" s="3079"/>
      <c r="J9" s="3073"/>
      <c r="K9" s="3056"/>
      <c r="L9" s="3052"/>
      <c r="M9" s="3052"/>
      <c r="N9" s="3053"/>
      <c r="O9" s="3054"/>
      <c r="P9" s="3053"/>
      <c r="Q9" s="3053"/>
      <c r="R9" s="3053"/>
      <c r="S9" s="3053"/>
      <c r="T9" s="3053"/>
      <c r="U9" s="3053"/>
    </row>
    <row r="10" spans="1:21" ht="15" thickTop="1">
      <c r="A10" s="2999" t="s">
        <v>1986</v>
      </c>
      <c r="B10" s="1639" t="s">
        <v>1934</v>
      </c>
      <c r="C10" s="1601"/>
      <c r="D10" s="1593"/>
      <c r="E10" s="1602" t="s">
        <v>1935</v>
      </c>
      <c r="F10" s="1603" t="s">
        <v>3239</v>
      </c>
      <c r="G10" s="1661"/>
      <c r="H10" s="1662"/>
      <c r="I10" s="1593"/>
      <c r="J10" s="3073"/>
      <c r="K10" s="3056"/>
      <c r="L10" s="3052"/>
      <c r="M10" s="3052"/>
      <c r="N10" s="3053"/>
      <c r="O10" s="3054"/>
      <c r="P10" s="3053"/>
      <c r="Q10" s="3053"/>
      <c r="R10" s="3053"/>
      <c r="S10" s="3053"/>
      <c r="T10" s="3053"/>
      <c r="U10" s="3053"/>
    </row>
    <row r="11" spans="1:21" ht="42.75">
      <c r="A11" s="3000" t="s">
        <v>1987</v>
      </c>
      <c r="B11" s="1618" t="s">
        <v>2998</v>
      </c>
      <c r="C11" s="1604" t="s">
        <v>3238</v>
      </c>
      <c r="D11" s="1678"/>
      <c r="E11" s="3072"/>
      <c r="F11" s="3072"/>
      <c r="G11" s="3072"/>
      <c r="H11" s="3072"/>
      <c r="I11" s="3072"/>
      <c r="J11" s="3073"/>
      <c r="K11" s="3056"/>
      <c r="L11" s="3052"/>
      <c r="M11" s="3052"/>
      <c r="N11" s="3053"/>
      <c r="O11" s="3054"/>
      <c r="P11" s="3053"/>
      <c r="Q11" s="3053"/>
      <c r="R11" s="3053"/>
      <c r="S11" s="3053"/>
      <c r="T11" s="3053"/>
      <c r="U11" s="3053"/>
    </row>
    <row r="12" spans="1:21">
      <c r="A12" s="1698" t="s">
        <v>2045</v>
      </c>
      <c r="B12" s="3370" t="s">
        <v>3241</v>
      </c>
      <c r="C12" s="3371"/>
      <c r="D12" s="3372"/>
      <c r="E12" s="1619" t="s">
        <v>2048</v>
      </c>
      <c r="F12" s="3388" t="s">
        <v>3243</v>
      </c>
      <c r="G12" s="3389"/>
      <c r="H12" s="3389"/>
      <c r="I12" s="3390"/>
      <c r="J12" s="3073"/>
      <c r="K12" s="3056"/>
      <c r="L12" s="3052"/>
      <c r="M12" s="3052"/>
      <c r="N12" s="3053"/>
      <c r="O12" s="3054"/>
      <c r="P12" s="3053"/>
      <c r="Q12" s="3053"/>
      <c r="R12" s="3053"/>
      <c r="S12" s="3053"/>
      <c r="T12" s="3053"/>
      <c r="U12" s="3053"/>
    </row>
    <row r="13" spans="1:21">
      <c r="A13" s="1610" t="s">
        <v>2046</v>
      </c>
      <c r="B13" s="3370" t="s">
        <v>3242</v>
      </c>
      <c r="C13" s="3371"/>
      <c r="D13" s="3372"/>
      <c r="E13" s="1619" t="s">
        <v>2048</v>
      </c>
      <c r="F13" s="3388" t="s">
        <v>3244</v>
      </c>
      <c r="G13" s="3389"/>
      <c r="H13" s="3389"/>
      <c r="I13" s="3390"/>
      <c r="J13" s="3073"/>
      <c r="K13" s="3056"/>
      <c r="L13" s="3052"/>
      <c r="M13" s="3052"/>
      <c r="N13" s="3053"/>
      <c r="O13" s="3054"/>
      <c r="P13" s="3053"/>
      <c r="Q13" s="3053"/>
      <c r="R13" s="3053"/>
      <c r="S13" s="3053"/>
      <c r="T13" s="3053"/>
      <c r="U13" s="3053"/>
    </row>
    <row r="14" spans="1:21">
      <c r="A14" s="1587" t="s">
        <v>2049</v>
      </c>
      <c r="B14" s="1619"/>
      <c r="C14" s="1757" t="s">
        <v>3245</v>
      </c>
      <c r="D14" s="1653" t="str">
        <f>IF(C14="不一致","是否符合证载地类范围","")</f>
        <v>是否符合证载地类范围</v>
      </c>
      <c r="E14" s="1619"/>
      <c r="F14" s="1703" t="s">
        <v>2999</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42.75">
      <c r="A16" s="3001" t="s">
        <v>1936</v>
      </c>
      <c r="B16" s="1605" t="s">
        <v>2945</v>
      </c>
      <c r="C16" s="1619" t="s">
        <v>1937</v>
      </c>
      <c r="D16" s="2487" t="s">
        <v>1938</v>
      </c>
      <c r="E16" s="1642" t="s">
        <v>3000</v>
      </c>
      <c r="F16" s="1642" t="s">
        <v>1668</v>
      </c>
      <c r="G16" s="1642" t="s">
        <v>35</v>
      </c>
      <c r="H16" s="1642" t="s">
        <v>3001</v>
      </c>
      <c r="I16" s="1609" t="s">
        <v>1943</v>
      </c>
      <c r="J16" s="3073"/>
      <c r="K16" s="2310" t="str">
        <f>IF(D17="","",D16&amp;TEXT(D17,"yyyy年m月d日;;"))</f>
        <v>住宅2076年2月22日</v>
      </c>
      <c r="L16" s="1619" t="str">
        <f>IF(OR(K16="",M16=""),"","、")</f>
        <v>、</v>
      </c>
      <c r="M16" s="2310" t="str">
        <f>IF(E17="","",E16&amp;TEXT(E17,"yyyy年m月d日;;"))</f>
        <v>商业2046年2月22日</v>
      </c>
      <c r="N16" s="1619" t="str">
        <f>IF(OR(M16="",O16=""),"","、")</f>
        <v>、</v>
      </c>
      <c r="O16" s="2310" t="str">
        <f>IF(F17="","",F16&amp;TEXT(F17,"yyyy年m月d日;;"))</f>
        <v>办公2056年2月22日</v>
      </c>
      <c r="P16" s="1619" t="str">
        <f>IF(OR(O16="",Q16=""),"","、")</f>
        <v>、</v>
      </c>
      <c r="Q16" s="2310" t="str">
        <f>IF(G17="","",G16&amp;TEXT(G17,"yyyy年m月d日;;"))</f>
        <v>地下车库2056年2月22日</v>
      </c>
      <c r="R16" s="1619" t="str">
        <f>IF(OR(Q16="",S16=""),"","、")</f>
        <v>、</v>
      </c>
      <c r="S16" s="2310" t="str">
        <f>IF(H17="","",H16&amp;TEXT(H17,"yyyy年m月d日;;"))</f>
        <v>地下仓储2056年2月22日</v>
      </c>
      <c r="T16" s="1619" t="str">
        <f>IF(OR(S16="",U16=""),"","、")</f>
        <v/>
      </c>
      <c r="U16" s="2310" t="str">
        <f>IF(I17="","",I16&amp;TEXT(I17,"yyyy年m月d日;;"))</f>
        <v/>
      </c>
    </row>
    <row r="17" spans="1:21">
      <c r="A17" s="1679"/>
      <c r="B17" s="1606"/>
      <c r="C17" s="3002" t="s">
        <v>1944</v>
      </c>
      <c r="D17" s="1620">
        <v>64337</v>
      </c>
      <c r="E17" s="1620">
        <v>53380</v>
      </c>
      <c r="F17" s="1620">
        <v>57032</v>
      </c>
      <c r="G17" s="1620">
        <v>57032</v>
      </c>
      <c r="H17" s="1620">
        <v>57032</v>
      </c>
      <c r="I17" s="1620"/>
      <c r="J17" s="3073"/>
      <c r="K17" s="3051" t="str">
        <f>CONCATENATE(K16,L16,M16,N16,O16,P16,Q16,R16,S16,T16,,U16)</f>
        <v>住宅2076年2月22日、商业2046年2月22日、办公2056年2月22日、地下车库2056年2月22日、地下仓储2056年2月22日</v>
      </c>
      <c r="L17" s="3052"/>
      <c r="M17" s="3052"/>
      <c r="N17" s="3053"/>
      <c r="O17" s="3054"/>
      <c r="P17" s="3053"/>
      <c r="Q17" s="3053"/>
      <c r="R17" s="3053"/>
      <c r="S17" s="3053"/>
      <c r="T17" s="3053"/>
      <c r="U17" s="3053"/>
    </row>
    <row r="18" spans="1:21">
      <c r="A18" s="1679"/>
      <c r="B18" s="1606"/>
      <c r="C18" s="3002" t="s">
        <v>1945</v>
      </c>
      <c r="D18" s="1607">
        <v>70</v>
      </c>
      <c r="E18" s="1607">
        <v>40</v>
      </c>
      <c r="F18" s="1607">
        <v>50</v>
      </c>
      <c r="G18" s="1607">
        <v>50</v>
      </c>
      <c r="H18" s="1607">
        <v>50</v>
      </c>
      <c r="I18" s="1607"/>
      <c r="J18" s="3073"/>
      <c r="K18" s="3056"/>
      <c r="L18" s="3052"/>
      <c r="M18" s="3052"/>
      <c r="N18" s="3053"/>
      <c r="O18" s="3054"/>
      <c r="P18" s="3053"/>
      <c r="Q18" s="3053"/>
      <c r="R18" s="3053"/>
      <c r="S18" s="3053"/>
      <c r="T18" s="3053"/>
      <c r="U18" s="3053"/>
    </row>
    <row r="19" spans="1:21">
      <c r="A19" s="1679"/>
      <c r="B19" s="1606"/>
      <c r="C19" s="1586" t="s">
        <v>1946</v>
      </c>
      <c r="D19" s="1674">
        <f>IF(B16="出让",IF(D17="","",ROUNDDOWN(MIN((D17-$D$3)/365,D18),2)),D18)</f>
        <v>55.36</v>
      </c>
      <c r="E19" s="1608">
        <f>IF(B16="出让",IF(E17="","",ROUNDDOWN(MIN((E17-$D$3)/365,E18),2)),E18)</f>
        <v>25.35</v>
      </c>
      <c r="F19" s="1608">
        <f>IF(B16="出让",IF(F17="","",ROUNDDOWN(MIN((F17-$D$3)/365,F18),2)),F18)</f>
        <v>35.35</v>
      </c>
      <c r="G19" s="1608">
        <f>IF(B16="出让",IF(G17="","",ROUNDDOWN(MIN((G17-$D$3)/365,G18),2)),G18)</f>
        <v>35.35</v>
      </c>
      <c r="H19" s="1608">
        <f>IF(B16="出让",IF(H17="","",ROUNDDOWN(MIN((H17-$D$3)/365,H18),2)),H18)</f>
        <v>35.35</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2047</v>
      </c>
      <c r="D20" s="3385"/>
      <c r="E20" s="3386"/>
      <c r="F20" s="3386"/>
      <c r="G20" s="3386"/>
      <c r="H20" s="3386"/>
      <c r="I20" s="3387"/>
      <c r="J20" s="3073"/>
      <c r="K20" s="3056"/>
      <c r="L20" s="3052"/>
      <c r="M20" s="3052"/>
      <c r="N20" s="3053"/>
      <c r="O20" s="3054"/>
      <c r="P20" s="3053"/>
      <c r="Q20" s="3053"/>
      <c r="R20" s="3053"/>
      <c r="S20" s="3053"/>
      <c r="T20" s="3053"/>
      <c r="U20" s="3053"/>
    </row>
    <row r="21" spans="1:21">
      <c r="A21" s="1679" t="s">
        <v>1947</v>
      </c>
      <c r="B21" s="1680" t="s">
        <v>1948</v>
      </c>
      <c r="C21" s="1675">
        <f>'数据-汇总表'!E3</f>
        <v>273635.53999999998</v>
      </c>
      <c r="D21" s="1676" t="s">
        <v>1949</v>
      </c>
      <c r="E21" s="3375" t="s">
        <v>3247</v>
      </c>
      <c r="F21" s="3376"/>
      <c r="G21" s="3376"/>
      <c r="H21" s="3376"/>
      <c r="I21" s="3377"/>
      <c r="J21" s="3073"/>
      <c r="K21" s="3056"/>
      <c r="L21" s="3052"/>
      <c r="M21" s="3052"/>
      <c r="N21" s="3053"/>
      <c r="O21" s="3054"/>
      <c r="P21" s="3053"/>
      <c r="Q21" s="3053"/>
      <c r="R21" s="3053"/>
      <c r="S21" s="3053"/>
      <c r="T21" s="3053"/>
      <c r="U21" s="3053"/>
    </row>
    <row r="22" spans="1:21">
      <c r="A22" s="2801" t="s">
        <v>943</v>
      </c>
      <c r="B22" s="1587" t="s">
        <v>1950</v>
      </c>
      <c r="C22" s="1609">
        <f>'数据-汇总表'!D3</f>
        <v>18893.75</v>
      </c>
      <c r="D22" s="1610" t="s">
        <v>1949</v>
      </c>
      <c r="E22" s="3375" t="s">
        <v>3246</v>
      </c>
      <c r="F22" s="3376"/>
      <c r="G22" s="3376"/>
      <c r="H22" s="3376"/>
      <c r="I22" s="3377"/>
      <c r="J22" s="3073"/>
      <c r="K22" s="3056"/>
      <c r="L22" s="3052"/>
      <c r="M22" s="3052"/>
      <c r="N22" s="3053"/>
      <c r="O22" s="3054"/>
      <c r="P22" s="3053"/>
      <c r="Q22" s="3053"/>
      <c r="R22" s="3053"/>
      <c r="S22" s="3053"/>
      <c r="T22" s="3053"/>
      <c r="U22" s="3053"/>
    </row>
    <row r="23" spans="1:21" ht="43.5" thickBot="1">
      <c r="A23" s="1681" t="s">
        <v>1951</v>
      </c>
      <c r="B23" s="1621" t="s">
        <v>1952</v>
      </c>
      <c r="C23" s="1622" t="s">
        <v>3012</v>
      </c>
      <c r="D23" s="1623" t="s">
        <v>1953</v>
      </c>
      <c r="E23" s="1624" t="s">
        <v>943</v>
      </c>
      <c r="F23" s="1625" t="str">
        <f>IF(AND(C23="是",E23="否"),"是否提供他项权证或相关说明","")</f>
        <v/>
      </c>
      <c r="G23" s="1626" t="s">
        <v>943</v>
      </c>
      <c r="H23" s="3073"/>
      <c r="I23" s="3077"/>
      <c r="J23" s="3073"/>
      <c r="K23" s="3056"/>
      <c r="L23" s="3052"/>
      <c r="M23" s="3052"/>
      <c r="N23" s="3053"/>
      <c r="O23" s="3054"/>
      <c r="P23" s="3053"/>
      <c r="Q23" s="3053"/>
      <c r="R23" s="3053"/>
      <c r="S23" s="3053"/>
      <c r="T23" s="3053"/>
      <c r="U23" s="3053"/>
    </row>
    <row r="24" spans="1:21">
      <c r="A24" s="1666" t="s">
        <v>1954</v>
      </c>
      <c r="B24" s="3378" t="s">
        <v>1955</v>
      </c>
      <c r="C24" s="3379"/>
      <c r="D24" s="3380" t="s">
        <v>1956</v>
      </c>
      <c r="E24" s="3381"/>
      <c r="F24" s="1628" t="s">
        <v>1957</v>
      </c>
      <c r="G24" s="3073"/>
      <c r="H24" s="3073"/>
      <c r="I24" s="3077"/>
      <c r="J24" s="3073"/>
      <c r="K24" s="3366" t="s">
        <v>1958</v>
      </c>
      <c r="L24" s="2311"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643"/>
      <c r="N24" s="3053"/>
      <c r="O24" s="3054"/>
      <c r="P24" s="3053"/>
      <c r="Q24" s="3053"/>
      <c r="R24" s="3053"/>
      <c r="S24" s="3053"/>
      <c r="T24" s="3053"/>
      <c r="U24" s="3053"/>
    </row>
    <row r="25" spans="1:21" ht="28.5">
      <c r="A25" s="1667"/>
      <c r="B25" s="1664" t="s">
        <v>2311</v>
      </c>
      <c r="C25" s="1629" t="s">
        <v>943</v>
      </c>
      <c r="D25" s="1630"/>
      <c r="E25" s="1631" t="s">
        <v>943</v>
      </c>
      <c r="F25" s="1632"/>
      <c r="G25" s="3073"/>
      <c r="H25" s="3073"/>
      <c r="I25" s="3077"/>
      <c r="J25" s="3073"/>
      <c r="K25" s="336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29.25" thickBot="1">
      <c r="A26" s="1668"/>
      <c r="B26" s="1665" t="s">
        <v>1959</v>
      </c>
      <c r="C26" s="1629" t="s">
        <v>2312</v>
      </c>
      <c r="D26" s="3074"/>
      <c r="E26" s="3074"/>
      <c r="F26" s="3080"/>
      <c r="G26" s="3073"/>
      <c r="H26" s="3073"/>
      <c r="I26" s="3077"/>
      <c r="J26" s="3073"/>
      <c r="K26" s="336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93" t="s">
        <v>1988</v>
      </c>
      <c r="B31" s="1680" t="s">
        <v>1989</v>
      </c>
      <c r="C31" s="3391" t="s">
        <v>3002</v>
      </c>
      <c r="D31" s="3392"/>
      <c r="E31" s="3073"/>
      <c r="F31" s="3073"/>
      <c r="G31" s="3073"/>
      <c r="H31" s="3073"/>
      <c r="I31" s="3077"/>
      <c r="J31" s="3073"/>
      <c r="K31" s="3059"/>
      <c r="L31" s="3053"/>
      <c r="M31" s="3053"/>
      <c r="N31" s="3053"/>
      <c r="O31" s="3053"/>
      <c r="P31" s="3053"/>
      <c r="Q31" s="3053"/>
      <c r="R31" s="3053"/>
      <c r="S31" s="3053"/>
      <c r="T31" s="3053"/>
      <c r="U31" s="3053"/>
    </row>
    <row r="32" spans="1:21">
      <c r="A32" s="3393"/>
      <c r="B32" s="1587" t="s">
        <v>1990</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93"/>
      <c r="B33" s="1587" t="s">
        <v>1991</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94"/>
      <c r="B34" s="1587" t="s">
        <v>1992</v>
      </c>
      <c r="C34" s="3395"/>
      <c r="D34" s="3396"/>
      <c r="E34" s="3073"/>
      <c r="F34" s="3073"/>
      <c r="G34" s="3073"/>
      <c r="H34" s="3073"/>
      <c r="I34" s="3077"/>
      <c r="J34" s="3073"/>
      <c r="K34" s="3059"/>
      <c r="L34" s="3053"/>
      <c r="M34" s="3053"/>
      <c r="N34" s="3053"/>
      <c r="O34" s="3053"/>
      <c r="P34" s="3053"/>
      <c r="Q34" s="3053"/>
      <c r="R34" s="3053"/>
      <c r="S34" s="3053"/>
      <c r="T34" s="3053"/>
      <c r="U34" s="3053"/>
    </row>
    <row r="35" spans="1:28">
      <c r="A35" s="3397" t="s">
        <v>839</v>
      </c>
      <c r="B35" s="1642" t="s">
        <v>3003</v>
      </c>
      <c r="C35" s="1689" t="str">
        <f>IF(B35="场地平整","——","具体情况：")</f>
        <v>——</v>
      </c>
      <c r="D35" s="3399"/>
      <c r="E35" s="3400"/>
      <c r="F35" s="3400"/>
      <c r="G35" s="3400"/>
      <c r="H35" s="3400"/>
      <c r="I35" s="3401"/>
      <c r="J35" s="3073"/>
      <c r="K35" s="3060"/>
      <c r="L35" s="3052"/>
      <c r="M35" s="3052"/>
      <c r="N35" s="3053"/>
      <c r="O35" s="3054"/>
      <c r="P35" s="3053"/>
      <c r="Q35" s="3053"/>
      <c r="R35" s="3053"/>
      <c r="S35" s="3053"/>
      <c r="T35" s="3053"/>
      <c r="U35" s="3053"/>
    </row>
    <row r="36" spans="1:28">
      <c r="A36" s="3393"/>
      <c r="B36" s="3402" t="s">
        <v>2041</v>
      </c>
      <c r="C36" s="3403"/>
      <c r="D36" s="1705" t="s">
        <v>3004</v>
      </c>
      <c r="E36" s="3404"/>
      <c r="F36" s="3404"/>
      <c r="G36" s="1610" t="str">
        <f>IF(B35="场地未平整","估价结果处理","")</f>
        <v/>
      </c>
      <c r="H36" s="3405"/>
      <c r="I36" s="3405"/>
      <c r="J36" s="3073"/>
      <c r="K36" s="3060"/>
      <c r="L36" s="3052"/>
      <c r="M36" s="3052"/>
      <c r="N36" s="3053"/>
      <c r="O36" s="3054"/>
      <c r="P36" s="3053"/>
      <c r="Q36" s="3053"/>
      <c r="R36" s="3053"/>
      <c r="S36" s="3053"/>
      <c r="T36" s="3053"/>
      <c r="U36" s="3053"/>
    </row>
    <row r="37" spans="1:28" ht="28.5">
      <c r="A37" s="3393"/>
      <c r="B37" s="3382"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93"/>
      <c r="B38" s="3383"/>
      <c r="C38" s="1595" t="s">
        <v>842</v>
      </c>
      <c r="D38" s="1704">
        <f>ROUNDDOWN(MIN(('数据-取费表'!$B$2-D37)/365,D34),1)</f>
        <v>120.8</v>
      </c>
      <c r="E38" s="1647" t="s">
        <v>843</v>
      </c>
      <c r="F38" s="3073"/>
      <c r="G38" s="3073"/>
      <c r="H38" s="3073"/>
      <c r="I38" s="3077"/>
      <c r="J38" s="3073"/>
      <c r="K38" s="3060"/>
      <c r="L38" s="3053"/>
      <c r="M38" s="3053"/>
      <c r="N38" s="3053"/>
      <c r="O38" s="3053"/>
      <c r="P38" s="3053"/>
      <c r="Q38" s="3053"/>
      <c r="R38" s="3053"/>
      <c r="S38" s="3053"/>
      <c r="T38" s="3053"/>
      <c r="U38" s="3053"/>
    </row>
    <row r="39" spans="1:28">
      <c r="A39" s="3394"/>
      <c r="B39" s="3384"/>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t="s">
        <v>3005</v>
      </c>
      <c r="C40" s="1611" t="s">
        <v>3006</v>
      </c>
      <c r="D40" s="1611" t="s">
        <v>3007</v>
      </c>
      <c r="E40" s="1611" t="s">
        <v>3008</v>
      </c>
      <c r="F40" s="1611" t="s">
        <v>3009</v>
      </c>
      <c r="G40" s="1611" t="s">
        <v>3010</v>
      </c>
      <c r="H40" s="1611" t="s">
        <v>3011</v>
      </c>
      <c r="I40" s="3077"/>
      <c r="J40" s="3073"/>
      <c r="K40" s="3021">
        <f>COUNTIF(B40:H40,"——")</f>
        <v>0</v>
      </c>
      <c r="L40" s="1619" t="s">
        <v>1966</v>
      </c>
      <c r="M40" s="1616" t="s">
        <v>1967</v>
      </c>
      <c r="N40" s="1616" t="s">
        <v>1968</v>
      </c>
      <c r="O40" s="1616" t="s">
        <v>1969</v>
      </c>
      <c r="P40" s="1616" t="s">
        <v>1970</v>
      </c>
      <c r="Q40" s="1616" t="s">
        <v>1971</v>
      </c>
      <c r="R40" s="1616" t="s">
        <v>1972</v>
      </c>
      <c r="S40" s="3365" t="s">
        <v>1973</v>
      </c>
      <c r="T40" s="1651" t="str">
        <f>NUMBERSTRING(7-K40,1)&amp;"通"</f>
        <v>七通</v>
      </c>
      <c r="U40" s="3053"/>
    </row>
    <row r="41" spans="1:28">
      <c r="A41" s="1589"/>
      <c r="B41" s="3398" t="s">
        <v>1712</v>
      </c>
      <c r="C41" s="3398"/>
      <c r="D41" s="3398"/>
      <c r="E41" s="3398"/>
      <c r="F41" s="1652">
        <f>C10</f>
        <v>0</v>
      </c>
      <c r="G41" s="3073"/>
      <c r="H41" s="3073"/>
      <c r="I41" s="3077"/>
      <c r="J41" s="3073"/>
      <c r="K41" s="1619"/>
      <c r="L41" s="1616" t="str">
        <f>B40</f>
        <v>通路</v>
      </c>
      <c r="M41" s="1653" t="str">
        <f>B40&amp;"、"&amp;C40</f>
        <v>通路、通电</v>
      </c>
      <c r="N41" s="1654" t="str">
        <f>B40&amp;"、"&amp;C40&amp;"、"&amp;D40</f>
        <v>通路、通电、通讯</v>
      </c>
      <c r="O41" s="1654" t="str">
        <f>B40&amp;"、"&amp;C40&amp;"、"&amp;D40&amp;"、"&amp;E40</f>
        <v>通路、通电、通讯、通上水</v>
      </c>
      <c r="P41" s="1654" t="str">
        <f>B40&amp;"、"&amp;C40&amp;"、"&amp;D40&amp;"、"&amp;E40&amp;"、"&amp;F40</f>
        <v>通路、通电、通讯、通上水、通下水</v>
      </c>
      <c r="Q41" s="1654" t="str">
        <f>B40&amp;"、"&amp;C40&amp;"、"&amp;D40&amp;"、"&amp;E40&amp;"、"&amp;F40&amp;"、"&amp;G40</f>
        <v>通路、通电、通讯、通上水、通下水、通热</v>
      </c>
      <c r="R41" s="1654" t="str">
        <f>B40&amp;"、"&amp;C40&amp;"、"&amp;D40&amp;"、"&amp;E40&amp;"、"&amp;F40&amp;"、"&amp;G40&amp;"、"&amp;H40</f>
        <v>通路、通电、通讯、通上水、通下水、通热、燃气</v>
      </c>
      <c r="S41" s="3365"/>
      <c r="T41" s="1653" t="str">
        <f>IF(T40="一通",L41,IF(T40="二通",M41,IF(T40="三通",N41,IF(T40="四通",O41,IF(T40="五通",P41,IF(T40="六通",Q41,R41))))))</f>
        <v>通路、通电、通讯、通上水、通下水、通热、燃气</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t="s">
        <v>1087</v>
      </c>
      <c r="C43" s="1657" t="s">
        <v>1087</v>
      </c>
      <c r="D43" s="1657" t="s">
        <v>1087</v>
      </c>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t="s">
        <v>1088</v>
      </c>
      <c r="C44" s="1657" t="s">
        <v>1088</v>
      </c>
      <c r="D44" s="1657" t="s">
        <v>1088</v>
      </c>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2865</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1993</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1994</v>
      </c>
      <c r="B48" s="1609" t="s">
        <v>1995</v>
      </c>
      <c r="C48" s="1609" t="s">
        <v>1996</v>
      </c>
      <c r="D48" s="1609" t="s">
        <v>1997</v>
      </c>
      <c r="E48" s="1609" t="s">
        <v>1998</v>
      </c>
      <c r="F48" s="1609" t="s">
        <v>1999</v>
      </c>
      <c r="G48" s="1609" t="s">
        <v>2000</v>
      </c>
      <c r="H48" s="1609" t="s">
        <v>2001</v>
      </c>
      <c r="I48" s="1609" t="s">
        <v>2002</v>
      </c>
      <c r="J48" s="1688" t="s">
        <v>2003</v>
      </c>
      <c r="K48" s="3066" t="s">
        <v>2004</v>
      </c>
      <c r="L48" s="3066" t="s">
        <v>2005</v>
      </c>
      <c r="M48" s="3066" t="s">
        <v>2006</v>
      </c>
      <c r="N48" s="3067" t="s">
        <v>2007</v>
      </c>
      <c r="O48" s="3067" t="s">
        <v>2008</v>
      </c>
      <c r="P48" s="3067" t="s">
        <v>2009</v>
      </c>
      <c r="Q48" s="3058" t="s">
        <v>2010</v>
      </c>
      <c r="R48" s="3058" t="s">
        <v>2011</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2" sqref="B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2319</v>
      </c>
      <c r="BA2" s="2219" t="s">
        <v>2318</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6364.06+12529.69</f>
        <v>18893.75</v>
      </c>
      <c r="B3" s="22">
        <f>IF(C3="否",G5-AT5,G5)</f>
        <v>273635.53999999998</v>
      </c>
      <c r="C3" s="23" t="s">
        <v>3012</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295457.82999999996</v>
      </c>
      <c r="H5" s="27">
        <f t="shared" ref="H5:AT5" si="0">SUM(H13:H641)</f>
        <v>256566.12999999998</v>
      </c>
      <c r="I5" s="27">
        <f t="shared" si="0"/>
        <v>33313</v>
      </c>
      <c r="J5" s="27">
        <f t="shared" si="0"/>
        <v>0</v>
      </c>
      <c r="K5" s="27">
        <f t="shared" si="0"/>
        <v>6312</v>
      </c>
      <c r="L5" s="27">
        <f t="shared" si="0"/>
        <v>0</v>
      </c>
      <c r="M5" s="27">
        <f t="shared" si="0"/>
        <v>151175</v>
      </c>
      <c r="N5" s="27">
        <f t="shared" si="0"/>
        <v>0</v>
      </c>
      <c r="O5" s="27">
        <f t="shared" si="0"/>
        <v>11600.12</v>
      </c>
      <c r="P5" s="27">
        <f t="shared" si="0"/>
        <v>0</v>
      </c>
      <c r="Q5" s="27">
        <f t="shared" si="0"/>
        <v>50872.61</v>
      </c>
      <c r="R5" s="27">
        <f t="shared" si="0"/>
        <v>0</v>
      </c>
      <c r="S5" s="27">
        <f t="shared" si="0"/>
        <v>3293.4</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17069.41</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17069.41</v>
      </c>
      <c r="AO5" s="27">
        <f t="shared" si="0"/>
        <v>0</v>
      </c>
      <c r="AP5" s="27">
        <f t="shared" si="0"/>
        <v>0</v>
      </c>
      <c r="AQ5" s="27">
        <f t="shared" si="0"/>
        <v>0</v>
      </c>
      <c r="AR5" s="27">
        <f t="shared" si="0"/>
        <v>0</v>
      </c>
      <c r="AS5" s="27">
        <f t="shared" si="0"/>
        <v>0</v>
      </c>
      <c r="AT5" s="27">
        <f t="shared" si="0"/>
        <v>21822.29</v>
      </c>
      <c r="AU5" s="976"/>
      <c r="AV5" s="26" t="s">
        <v>168</v>
      </c>
      <c r="AW5" s="977"/>
      <c r="AX5" s="977"/>
      <c r="AY5" s="28" t="s">
        <v>3</v>
      </c>
      <c r="AZ5" s="29">
        <f t="shared" ref="AZ5:BT5" si="1">SUM(AZ13:AZ641)</f>
        <v>273635.53999999998</v>
      </c>
      <c r="BA5" s="29">
        <f t="shared" si="1"/>
        <v>256566.12999999998</v>
      </c>
      <c r="BB5" s="29">
        <f t="shared" si="1"/>
        <v>33313</v>
      </c>
      <c r="BC5" s="29">
        <f t="shared" si="1"/>
        <v>6312</v>
      </c>
      <c r="BD5" s="29">
        <f t="shared" si="1"/>
        <v>151175</v>
      </c>
      <c r="BE5" s="29">
        <f t="shared" si="1"/>
        <v>11600.12</v>
      </c>
      <c r="BF5" s="29">
        <f t="shared" si="1"/>
        <v>50872.61</v>
      </c>
      <c r="BG5" s="29">
        <f t="shared" si="1"/>
        <v>3293.4</v>
      </c>
      <c r="BH5" s="29">
        <f t="shared" si="1"/>
        <v>0</v>
      </c>
      <c r="BI5" s="29">
        <f t="shared" si="1"/>
        <v>0</v>
      </c>
      <c r="BJ5" s="29">
        <f t="shared" si="1"/>
        <v>0</v>
      </c>
      <c r="BK5" s="29">
        <f t="shared" si="1"/>
        <v>0</v>
      </c>
      <c r="BL5" s="29">
        <f t="shared" si="1"/>
        <v>17069.41</v>
      </c>
      <c r="BM5" s="29">
        <f t="shared" si="1"/>
        <v>0</v>
      </c>
      <c r="BN5" s="29">
        <f t="shared" si="1"/>
        <v>0</v>
      </c>
      <c r="BO5" s="29">
        <f t="shared" si="1"/>
        <v>0</v>
      </c>
      <c r="BP5" s="29">
        <f t="shared" si="1"/>
        <v>0</v>
      </c>
      <c r="BQ5" s="29">
        <f t="shared" si="1"/>
        <v>0</v>
      </c>
      <c r="BR5" s="29">
        <f t="shared" si="1"/>
        <v>17069.41</v>
      </c>
      <c r="BS5" s="29">
        <f t="shared" si="1"/>
        <v>0</v>
      </c>
      <c r="BT5" s="30">
        <f t="shared" si="1"/>
        <v>0</v>
      </c>
    </row>
    <row r="6" spans="1:72" s="37" customFormat="1" ht="12.75">
      <c r="A6" s="26" t="s">
        <v>169</v>
      </c>
      <c r="B6" s="31"/>
      <c r="C6" s="31"/>
      <c r="D6" s="32"/>
      <c r="E6" s="27">
        <f>H6+AC6+AT6</f>
        <v>18893.760000000002</v>
      </c>
      <c r="F6" s="27" t="s">
        <v>1</v>
      </c>
      <c r="G6" s="27" t="s">
        <v>2</v>
      </c>
      <c r="H6" s="33">
        <f>SUMIF(I$12:AB$12,"总值",I6:AB6)</f>
        <v>17715.170000000002</v>
      </c>
      <c r="I6" s="27">
        <f t="shared" ref="I6:AB6" si="2">ROUND($A$3*I5/$B$3,2)</f>
        <v>2300.17</v>
      </c>
      <c r="J6" s="27">
        <f t="shared" si="2"/>
        <v>0</v>
      </c>
      <c r="K6" s="27">
        <f t="shared" si="2"/>
        <v>435.83</v>
      </c>
      <c r="L6" s="27">
        <f t="shared" si="2"/>
        <v>0</v>
      </c>
      <c r="M6" s="27">
        <f t="shared" si="2"/>
        <v>10438.200000000001</v>
      </c>
      <c r="N6" s="27">
        <f t="shared" si="2"/>
        <v>0</v>
      </c>
      <c r="O6" s="27">
        <f t="shared" si="2"/>
        <v>800.96</v>
      </c>
      <c r="P6" s="27">
        <f t="shared" si="2"/>
        <v>0</v>
      </c>
      <c r="Q6" s="27">
        <f t="shared" si="2"/>
        <v>3512.61</v>
      </c>
      <c r="R6" s="27">
        <f t="shared" si="2"/>
        <v>0</v>
      </c>
      <c r="S6" s="27">
        <f t="shared" si="2"/>
        <v>227.4</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1178.5899999999999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1178.5899999999999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18893.75</v>
      </c>
      <c r="AZ6" s="27" t="s">
        <v>3</v>
      </c>
      <c r="BA6" s="27">
        <f>ROUND($AY$6*BA5/$AZ$5,2)</f>
        <v>17715.16</v>
      </c>
      <c r="BB6" s="27">
        <f>ROUND($AY$6*BB5/$AZ$5,2)</f>
        <v>2300.17</v>
      </c>
      <c r="BC6" s="27">
        <f t="shared" ref="BC6:BH6" si="4">ROUND($AY$6*BC5/$AZ$5,2)</f>
        <v>435.83</v>
      </c>
      <c r="BD6" s="27">
        <f t="shared" si="4"/>
        <v>10438.200000000001</v>
      </c>
      <c r="BE6" s="27">
        <f t="shared" si="4"/>
        <v>800.96</v>
      </c>
      <c r="BF6" s="27">
        <f t="shared" si="4"/>
        <v>3512.61</v>
      </c>
      <c r="BG6" s="27">
        <f t="shared" si="4"/>
        <v>227.4</v>
      </c>
      <c r="BH6" s="27">
        <f t="shared" si="4"/>
        <v>0</v>
      </c>
      <c r="BI6" s="27">
        <f t="shared" ref="BI6:BT6" si="5">ROUND($AY$6*BI5/$AZ$5,2)</f>
        <v>0</v>
      </c>
      <c r="BJ6" s="27">
        <f t="shared" si="5"/>
        <v>0</v>
      </c>
      <c r="BK6" s="27">
        <f t="shared" si="5"/>
        <v>0</v>
      </c>
      <c r="BL6" s="27">
        <f t="shared" si="5"/>
        <v>1178.5899999999999</v>
      </c>
      <c r="BM6" s="27">
        <f t="shared" si="5"/>
        <v>0</v>
      </c>
      <c r="BN6" s="27">
        <f t="shared" si="5"/>
        <v>0</v>
      </c>
      <c r="BO6" s="27">
        <f t="shared" si="5"/>
        <v>0</v>
      </c>
      <c r="BP6" s="27">
        <f t="shared" si="5"/>
        <v>0</v>
      </c>
      <c r="BQ6" s="27">
        <f t="shared" si="5"/>
        <v>0</v>
      </c>
      <c r="BR6" s="27">
        <f t="shared" si="5"/>
        <v>1178.5899999999999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3013</v>
      </c>
      <c r="J9" s="51"/>
      <c r="K9" s="2731" t="s">
        <v>3013</v>
      </c>
      <c r="L9" s="51"/>
      <c r="M9" s="2731" t="s">
        <v>3013</v>
      </c>
      <c r="N9" s="51"/>
      <c r="O9" s="59" t="s">
        <v>3015</v>
      </c>
      <c r="P9" s="51"/>
      <c r="Q9" s="59" t="s">
        <v>3015</v>
      </c>
      <c r="R9" s="51"/>
      <c r="S9" s="59" t="s">
        <v>3015</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914</v>
      </c>
      <c r="J10" s="51"/>
      <c r="K10" s="2733" t="s">
        <v>3000</v>
      </c>
      <c r="L10" s="51"/>
      <c r="M10" s="2733" t="s">
        <v>1668</v>
      </c>
      <c r="N10" s="51"/>
      <c r="O10" s="66" t="s">
        <v>3000</v>
      </c>
      <c r="P10" s="51"/>
      <c r="Q10" s="66" t="s">
        <v>3058</v>
      </c>
      <c r="R10" s="51"/>
      <c r="S10" s="66" t="s">
        <v>3016</v>
      </c>
      <c r="T10" s="51"/>
      <c r="U10" s="66"/>
      <c r="V10" s="51"/>
      <c r="W10" s="66"/>
      <c r="X10" s="51"/>
      <c r="Y10" s="66"/>
      <c r="Z10" s="51"/>
      <c r="AA10" s="66"/>
      <c r="AB10" s="51"/>
      <c r="AC10" s="55"/>
      <c r="AD10" s="2193" t="s">
        <v>2303</v>
      </c>
      <c r="AE10" s="2215"/>
      <c r="AF10" s="2193" t="s">
        <v>2303</v>
      </c>
      <c r="AG10" s="2215"/>
      <c r="AH10" s="2193" t="s">
        <v>2304</v>
      </c>
      <c r="AI10" s="2215"/>
      <c r="AJ10" s="26" t="s">
        <v>2317</v>
      </c>
      <c r="AK10" s="2212"/>
      <c r="AL10" s="2193" t="s">
        <v>2305</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3014</v>
      </c>
      <c r="J11" s="71"/>
      <c r="K11" s="2732"/>
      <c r="L11" s="71"/>
      <c r="M11" s="70"/>
      <c r="N11" s="71"/>
      <c r="O11" s="70"/>
      <c r="P11" s="71"/>
      <c r="Q11" s="70"/>
      <c r="R11" s="71"/>
      <c r="S11" s="70"/>
      <c r="T11" s="71"/>
      <c r="U11" s="70"/>
      <c r="V11" s="71"/>
      <c r="W11" s="70"/>
      <c r="X11" s="71"/>
      <c r="Y11" s="70"/>
      <c r="Z11" s="71"/>
      <c r="AA11" s="70"/>
      <c r="AB11" s="71"/>
      <c r="AC11" s="55"/>
      <c r="AD11" s="2213" t="s">
        <v>2316</v>
      </c>
      <c r="AE11" s="990"/>
      <c r="AF11" s="2213" t="s">
        <v>2316</v>
      </c>
      <c r="AG11" s="990"/>
      <c r="AH11" s="2213" t="s">
        <v>2315</v>
      </c>
      <c r="AI11" s="2214"/>
      <c r="AJ11" s="2213" t="s">
        <v>2315</v>
      </c>
      <c r="AK11" s="2212"/>
      <c r="AL11" s="988"/>
      <c r="AM11" s="990"/>
      <c r="AN11" s="988"/>
      <c r="AO11" s="990"/>
      <c r="AP11" s="1171"/>
      <c r="AQ11" s="1173"/>
      <c r="AR11" s="1171"/>
      <c r="AS11" s="1173"/>
      <c r="AT11" s="991"/>
      <c r="AU11" s="45"/>
      <c r="AV11" s="55"/>
      <c r="AW11" s="991"/>
      <c r="AX11" s="55"/>
      <c r="AY11" s="62"/>
      <c r="AZ11" s="62"/>
      <c r="BA11" s="62"/>
      <c r="BB11" s="50" t="str">
        <f>I10</f>
        <v>住宅</v>
      </c>
      <c r="BC11" s="50" t="str">
        <f>K10</f>
        <v>商业</v>
      </c>
      <c r="BD11" s="50" t="str">
        <f>M10</f>
        <v>办公</v>
      </c>
      <c r="BE11" s="50" t="str">
        <f>O10</f>
        <v>商业</v>
      </c>
      <c r="BF11" s="50" t="str">
        <f>Q10</f>
        <v>车库</v>
      </c>
      <c r="BG11" s="50" t="str">
        <f>S10</f>
        <v>仓储</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18893.75</v>
      </c>
      <c r="F13" s="81"/>
      <c r="G13" s="82">
        <f t="shared" ref="G13:G20" si="7">H13+AC13+AT13</f>
        <v>295457.82999999996</v>
      </c>
      <c r="H13" s="33">
        <f t="shared" ref="H13:H20" si="8">SUMIF(I$12:AB$12,"总值",I13:AB13)</f>
        <v>256566.12999999998</v>
      </c>
      <c r="I13" s="83">
        <f>面积清单!D23</f>
        <v>33313</v>
      </c>
      <c r="J13" s="83"/>
      <c r="K13" s="83">
        <f>面积清单!D21</f>
        <v>6312</v>
      </c>
      <c r="L13" s="83"/>
      <c r="M13" s="83">
        <f>面积清单!D22</f>
        <v>151175</v>
      </c>
      <c r="N13" s="83"/>
      <c r="O13" s="83">
        <f>面积清单!D27+面积清单!D28</f>
        <v>11600.12</v>
      </c>
      <c r="P13" s="83"/>
      <c r="Q13" s="83">
        <f>面积清单!D25</f>
        <v>50872.61</v>
      </c>
      <c r="R13" s="83"/>
      <c r="S13" s="83">
        <f>面积清单!D29</f>
        <v>3293.4</v>
      </c>
      <c r="T13" s="83"/>
      <c r="U13" s="83"/>
      <c r="V13" s="83"/>
      <c r="W13" s="83"/>
      <c r="X13" s="83"/>
      <c r="Y13" s="83"/>
      <c r="Z13" s="83"/>
      <c r="AA13" s="83"/>
      <c r="AB13" s="83"/>
      <c r="AC13" s="27">
        <f t="shared" ref="AC13:AC20" si="9">SUMIF(AD$12:AS$12,"总值",AD13:AS13)</f>
        <v>17069.41</v>
      </c>
      <c r="AD13" s="2734"/>
      <c r="AE13" s="2734"/>
      <c r="AF13" s="2734"/>
      <c r="AG13" s="2734"/>
      <c r="AH13" s="2734"/>
      <c r="AI13" s="2734"/>
      <c r="AJ13" s="2734"/>
      <c r="AK13" s="2734"/>
      <c r="AL13" s="2734"/>
      <c r="AM13" s="2734"/>
      <c r="AN13" s="2734">
        <v>17069.41</v>
      </c>
      <c r="AO13" s="2734"/>
      <c r="AP13" s="2734"/>
      <c r="AQ13" s="2734"/>
      <c r="AR13" s="2734"/>
      <c r="AS13" s="2734"/>
      <c r="AT13" s="2735">
        <v>21822.29</v>
      </c>
      <c r="AU13" s="2736"/>
      <c r="AV13" s="17">
        <f t="shared" ref="AV13:AX20" si="10">A13</f>
        <v>0</v>
      </c>
      <c r="AW13" s="17">
        <f t="shared" si="10"/>
        <v>0</v>
      </c>
      <c r="AX13" s="17">
        <f t="shared" si="10"/>
        <v>0</v>
      </c>
      <c r="AY13" s="984">
        <f t="shared" ref="AY13:AY20" si="11">ROUND($AY$6*AZ13/$AZ$5,2)</f>
        <v>18893.75</v>
      </c>
      <c r="AZ13" s="27">
        <f t="shared" ref="AZ13:AZ20" si="12">BA13+BL13</f>
        <v>273635.53999999998</v>
      </c>
      <c r="BA13" s="27">
        <f t="shared" ref="BA13:BA20" si="13">SUM(BB13:BK13)</f>
        <v>256566.12999999998</v>
      </c>
      <c r="BB13" s="27">
        <f t="shared" ref="BB13:BB20" si="14">IF($D13="是",I13-J13,0)</f>
        <v>33313</v>
      </c>
      <c r="BC13" s="27">
        <f t="shared" ref="BC13:BC20" si="15">IF($D13="是",K13-L13,0)</f>
        <v>6312</v>
      </c>
      <c r="BD13" s="27">
        <f t="shared" ref="BD13:BD20" si="16">IF($D13="是",M13-N13,0)</f>
        <v>151175</v>
      </c>
      <c r="BE13" s="27">
        <f t="shared" ref="BE13:BE20" si="17">IF($D13="是",O13-P13,0)</f>
        <v>11600.12</v>
      </c>
      <c r="BF13" s="27">
        <f t="shared" ref="BF13:BF20" si="18">IF($D13="是",Q13-R13,0)</f>
        <v>50872.61</v>
      </c>
      <c r="BG13" s="27">
        <f t="shared" ref="BG13:BG20" si="19">IF($D13="是",S13-T13,0)</f>
        <v>3293.4</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17069.41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17069.41</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6" t="s">
        <v>0</v>
      </c>
      <c r="B1" s="3406" t="s">
        <v>4</v>
      </c>
      <c r="C1" s="3406" t="s">
        <v>5</v>
      </c>
      <c r="D1" s="3407" t="s">
        <v>40</v>
      </c>
      <c r="E1" s="3407" t="s">
        <v>41</v>
      </c>
      <c r="F1" s="3407"/>
      <c r="G1" s="3407"/>
      <c r="H1" s="3407"/>
      <c r="I1" s="3407"/>
      <c r="J1" s="3407"/>
      <c r="K1" s="3407"/>
      <c r="L1" s="3407"/>
      <c r="M1" s="3407"/>
    </row>
    <row r="2" spans="1:13" ht="27" customHeight="1">
      <c r="A2" s="3406"/>
      <c r="B2" s="3406"/>
      <c r="C2" s="3406"/>
      <c r="D2" s="3407"/>
      <c r="E2" s="3407" t="s">
        <v>24</v>
      </c>
      <c r="F2" s="3407" t="s">
        <v>25</v>
      </c>
      <c r="G2" s="3407"/>
      <c r="H2" s="3407"/>
      <c r="I2" s="3407"/>
      <c r="J2" s="3407" t="s">
        <v>26</v>
      </c>
      <c r="K2" s="3407"/>
      <c r="L2" s="3407"/>
      <c r="M2" s="3407"/>
    </row>
    <row r="3" spans="1:13" ht="28.5">
      <c r="A3" s="3406"/>
      <c r="B3" s="3406"/>
      <c r="C3" s="3406"/>
      <c r="D3" s="3407"/>
      <c r="E3" s="34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7" t="s">
        <v>42</v>
      </c>
      <c r="B9" s="3407"/>
      <c r="C9" s="34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election activeCell="G27" sqref="G27"/>
    </sheetView>
  </sheetViews>
  <sheetFormatPr defaultRowHeight="13.5"/>
  <cols>
    <col min="1" max="1" width="11.25" style="3291" customWidth="1"/>
    <col min="2" max="2" width="14.75" style="3291" customWidth="1"/>
    <col min="3" max="3" width="25.125" style="3291" customWidth="1"/>
    <col min="4" max="4" width="11.375" style="3291" customWidth="1"/>
    <col min="5" max="6" width="9" style="3291"/>
    <col min="7" max="7" width="13.75" style="3291" customWidth="1"/>
    <col min="8" max="8" width="12.5" style="3291" customWidth="1"/>
    <col min="9" max="11" width="9" style="3291"/>
    <col min="12" max="12" width="12" style="3291" customWidth="1"/>
    <col min="13" max="16384" width="9" style="3291"/>
  </cols>
  <sheetData>
    <row r="1" spans="1:11">
      <c r="A1" s="3288" t="s">
        <v>3017</v>
      </c>
      <c r="B1" s="3289" t="s">
        <v>3018</v>
      </c>
      <c r="C1" s="3289" t="s">
        <v>3019</v>
      </c>
      <c r="D1" s="3290" t="s">
        <v>3020</v>
      </c>
      <c r="F1" s="3292" t="s">
        <v>3021</v>
      </c>
      <c r="G1" s="3293" t="s">
        <v>3018</v>
      </c>
      <c r="H1" s="3294" t="s">
        <v>3020</v>
      </c>
    </row>
    <row r="2" spans="1:11" ht="27">
      <c r="A2" s="3411" t="s">
        <v>3022</v>
      </c>
      <c r="B2" s="3295" t="s">
        <v>3023</v>
      </c>
      <c r="C2" s="3295" t="s">
        <v>3024</v>
      </c>
      <c r="D2" s="3296">
        <v>33313</v>
      </c>
      <c r="F2" s="3413" t="s">
        <v>3025</v>
      </c>
      <c r="G2" s="3297" t="s">
        <v>3026</v>
      </c>
      <c r="H2" s="3298">
        <v>8600.1200000000008</v>
      </c>
      <c r="K2" s="3291">
        <f>D2+D3+D10+D11</f>
        <v>203767</v>
      </c>
    </row>
    <row r="3" spans="1:11" ht="27">
      <c r="A3" s="3412"/>
      <c r="B3" s="3295" t="s">
        <v>3027</v>
      </c>
      <c r="C3" s="3295" t="s">
        <v>3028</v>
      </c>
      <c r="D3" s="3296">
        <v>4915</v>
      </c>
      <c r="F3" s="3414"/>
      <c r="G3" s="3299" t="s">
        <v>3029</v>
      </c>
      <c r="H3" s="3298">
        <v>3000</v>
      </c>
      <c r="K3" s="3291">
        <f>'数据-基础表'!A3</f>
        <v>18893.75</v>
      </c>
    </row>
    <row r="4" spans="1:11">
      <c r="A4" s="3416" t="s">
        <v>3030</v>
      </c>
      <c r="B4" s="3295" t="s">
        <v>3027</v>
      </c>
      <c r="C4" s="3295" t="s">
        <v>3031</v>
      </c>
      <c r="D4" s="3296">
        <v>160</v>
      </c>
      <c r="F4" s="3414"/>
      <c r="G4" s="3299" t="s">
        <v>3032</v>
      </c>
      <c r="H4" s="3298">
        <v>3293.4</v>
      </c>
      <c r="K4" s="3291">
        <f>K2/K3</f>
        <v>10.784889182930863</v>
      </c>
    </row>
    <row r="5" spans="1:11">
      <c r="A5" s="3416"/>
      <c r="B5" s="3295" t="s">
        <v>3033</v>
      </c>
      <c r="C5" s="3295" t="s">
        <v>3034</v>
      </c>
      <c r="D5" s="3296">
        <v>11837</v>
      </c>
      <c r="F5" s="3414"/>
      <c r="G5" s="3299" t="s">
        <v>3035</v>
      </c>
      <c r="H5" s="3298">
        <v>12542.3</v>
      </c>
    </row>
    <row r="6" spans="1:11" ht="14.25" thickBot="1">
      <c r="A6" s="3417"/>
      <c r="B6" s="3300" t="s">
        <v>3036</v>
      </c>
      <c r="C6" s="3300" t="s">
        <v>3037</v>
      </c>
      <c r="D6" s="3301">
        <v>13459</v>
      </c>
      <c r="F6" s="3414"/>
      <c r="G6" s="3299" t="s">
        <v>3038</v>
      </c>
      <c r="H6" s="3298">
        <f>72694.9-H8</f>
        <v>50872.609999999993</v>
      </c>
    </row>
    <row r="7" spans="1:11">
      <c r="D7" s="3291">
        <f>SUM(D2:D6)</f>
        <v>63684</v>
      </c>
      <c r="F7" s="3414"/>
      <c r="G7" s="3299" t="s">
        <v>3039</v>
      </c>
      <c r="H7" s="3298">
        <v>4527.1099999999997</v>
      </c>
    </row>
    <row r="8" spans="1:11" ht="14.25" thickBot="1">
      <c r="F8" s="3414"/>
      <c r="G8" s="3299" t="s">
        <v>3040</v>
      </c>
      <c r="H8" s="3298">
        <f>20276.29+1546</f>
        <v>21822.29</v>
      </c>
    </row>
    <row r="9" spans="1:11" ht="14.25" thickBot="1">
      <c r="A9" s="3288" t="s">
        <v>3041</v>
      </c>
      <c r="B9" s="3289" t="s">
        <v>3042</v>
      </c>
      <c r="C9" s="3289" t="s">
        <v>3043</v>
      </c>
      <c r="D9" s="3290" t="s">
        <v>3044</v>
      </c>
      <c r="F9" s="3415"/>
      <c r="G9" s="3302" t="s">
        <v>3045</v>
      </c>
      <c r="H9" s="3303">
        <f>SUM(H2:H8)</f>
        <v>104657.82999999999</v>
      </c>
    </row>
    <row r="10" spans="1:11">
      <c r="A10" s="3411" t="s">
        <v>3046</v>
      </c>
      <c r="B10" s="3295" t="s">
        <v>3047</v>
      </c>
      <c r="C10" s="3295" t="s">
        <v>3048</v>
      </c>
      <c r="D10" s="3296">
        <v>143300</v>
      </c>
    </row>
    <row r="11" spans="1:11">
      <c r="A11" s="3412"/>
      <c r="B11" s="3295" t="s">
        <v>3049</v>
      </c>
      <c r="C11" s="3295" t="s">
        <v>3050</v>
      </c>
      <c r="D11" s="3296">
        <v>22239</v>
      </c>
      <c r="F11" s="3291">
        <f>D4+D12</f>
        <v>13927</v>
      </c>
    </row>
    <row r="12" spans="1:11">
      <c r="A12" s="3416" t="s">
        <v>3051</v>
      </c>
      <c r="B12" s="3295" t="s">
        <v>3049</v>
      </c>
      <c r="C12" s="3295" t="s">
        <v>3052</v>
      </c>
      <c r="D12" s="3296">
        <v>13767</v>
      </c>
      <c r="F12" s="3291">
        <f>D5+D13</f>
        <v>35244</v>
      </c>
    </row>
    <row r="13" spans="1:11">
      <c r="A13" s="3416"/>
      <c r="B13" s="3295" t="s">
        <v>3053</v>
      </c>
      <c r="C13" s="3295" t="s">
        <v>3054</v>
      </c>
      <c r="D13" s="3296">
        <v>23407</v>
      </c>
      <c r="F13" s="3291">
        <f>D6+D14</f>
        <v>27895</v>
      </c>
      <c r="H13" s="3291">
        <f>H9+D2+D3+D10+D11</f>
        <v>308424.82999999996</v>
      </c>
    </row>
    <row r="14" spans="1:11" ht="14.25" thickBot="1">
      <c r="A14" s="3417"/>
      <c r="B14" s="3300" t="s">
        <v>3055</v>
      </c>
      <c r="C14" s="3300" t="s">
        <v>3056</v>
      </c>
      <c r="D14" s="3301">
        <v>14436</v>
      </c>
    </row>
    <row r="15" spans="1:11">
      <c r="D15" s="3291">
        <f>SUM(D10:D14)</f>
        <v>217149</v>
      </c>
    </row>
    <row r="16" spans="1:11" ht="14.25" thickBot="1"/>
    <row r="17" spans="1:12" ht="14.25" thickBot="1">
      <c r="A17" s="3304" t="s">
        <v>2358</v>
      </c>
      <c r="B17" s="3305" t="s">
        <v>2359</v>
      </c>
      <c r="C17" s="3305" t="s">
        <v>3063</v>
      </c>
      <c r="D17" s="3305" t="s">
        <v>3064</v>
      </c>
      <c r="E17" s="3305" t="s">
        <v>3065</v>
      </c>
      <c r="I17" s="3291" t="s">
        <v>3263</v>
      </c>
      <c r="J17" s="3291" t="s">
        <v>3264</v>
      </c>
    </row>
    <row r="18" spans="1:12" ht="14.25" thickBot="1">
      <c r="A18" s="3306" t="s">
        <v>3066</v>
      </c>
      <c r="B18" s="3307" t="s">
        <v>3067</v>
      </c>
      <c r="C18" s="3308" t="s">
        <v>3068</v>
      </c>
      <c r="D18" s="3309">
        <v>18893.75</v>
      </c>
      <c r="E18" s="3307"/>
      <c r="H18" s="3291" t="s">
        <v>3262</v>
      </c>
      <c r="I18" s="3291">
        <f>D2+D3+D10+D11</f>
        <v>203767</v>
      </c>
      <c r="J18" s="3291">
        <f>D4+D5+D12+D13</f>
        <v>49171</v>
      </c>
    </row>
    <row r="19" spans="1:12" ht="14.25" thickBot="1">
      <c r="A19" s="3306" t="s">
        <v>3069</v>
      </c>
      <c r="B19" s="3307" t="s">
        <v>3070</v>
      </c>
      <c r="C19" s="3308" t="s">
        <v>3068</v>
      </c>
      <c r="D19" s="3309">
        <v>295457.83</v>
      </c>
      <c r="E19" s="3307"/>
      <c r="H19" s="3291" t="s">
        <v>3265</v>
      </c>
      <c r="I19" s="3291">
        <f>D20</f>
        <v>190800</v>
      </c>
      <c r="J19" s="3291">
        <f>D25+D27+D28+D29</f>
        <v>65766.13</v>
      </c>
    </row>
    <row r="20" spans="1:12" ht="14.25" thickBot="1">
      <c r="A20" s="3408">
        <v>1</v>
      </c>
      <c r="B20" s="3307" t="s">
        <v>3071</v>
      </c>
      <c r="C20" s="3308" t="s">
        <v>3068</v>
      </c>
      <c r="D20" s="3309">
        <v>190800</v>
      </c>
      <c r="E20" s="3307"/>
      <c r="J20" s="3291">
        <f>J18-J19</f>
        <v>-16595.130000000005</v>
      </c>
    </row>
    <row r="21" spans="1:12" ht="14.25" thickBot="1">
      <c r="A21" s="3409"/>
      <c r="B21" s="3310" t="s">
        <v>3000</v>
      </c>
      <c r="C21" s="3308" t="s">
        <v>3068</v>
      </c>
      <c r="D21" s="3309">
        <v>6312</v>
      </c>
      <c r="E21" s="3307"/>
    </row>
    <row r="22" spans="1:12" ht="14.25" thickBot="1">
      <c r="A22" s="3409"/>
      <c r="B22" s="3310" t="s">
        <v>1668</v>
      </c>
      <c r="C22" s="3308" t="s">
        <v>3068</v>
      </c>
      <c r="D22" s="3309">
        <v>151175</v>
      </c>
      <c r="E22" s="3307"/>
      <c r="I22" s="3291" t="s">
        <v>3266</v>
      </c>
      <c r="J22" s="3291" t="s">
        <v>3267</v>
      </c>
      <c r="K22" s="3291" t="s">
        <v>3268</v>
      </c>
      <c r="L22" s="3291" t="s">
        <v>3269</v>
      </c>
    </row>
    <row r="23" spans="1:12" ht="14.25" thickBot="1">
      <c r="A23" s="3410"/>
      <c r="B23" s="3310" t="s">
        <v>3072</v>
      </c>
      <c r="C23" s="3308" t="s">
        <v>3068</v>
      </c>
      <c r="D23" s="3309">
        <v>33313</v>
      </c>
      <c r="E23" s="3307"/>
      <c r="H23" s="3291" t="s">
        <v>3262</v>
      </c>
      <c r="I23" s="3291">
        <f>D3+D11</f>
        <v>27154</v>
      </c>
      <c r="J23" s="3291">
        <f>D4+D12</f>
        <v>13927</v>
      </c>
      <c r="K23" s="3291">
        <f>D10</f>
        <v>143300</v>
      </c>
      <c r="L23" s="3291">
        <f>D5+D13</f>
        <v>35244</v>
      </c>
    </row>
    <row r="24" spans="1:12" ht="14.25" thickBot="1">
      <c r="A24" s="3408">
        <v>2</v>
      </c>
      <c r="B24" s="3307" t="s">
        <v>3073</v>
      </c>
      <c r="C24" s="3308" t="s">
        <v>3068</v>
      </c>
      <c r="D24" s="3309">
        <v>104657.83</v>
      </c>
      <c r="E24" s="3307"/>
      <c r="H24" s="3291" t="s">
        <v>3265</v>
      </c>
      <c r="I24" s="3291">
        <f>D21</f>
        <v>6312</v>
      </c>
      <c r="J24" s="3291">
        <f>D27+D28</f>
        <v>11600.12</v>
      </c>
      <c r="K24" s="3291">
        <f>D22</f>
        <v>151175</v>
      </c>
      <c r="L24" s="3291">
        <f>D25</f>
        <v>50872.61</v>
      </c>
    </row>
    <row r="25" spans="1:12" ht="14.25" thickBot="1">
      <c r="A25" s="3409"/>
      <c r="B25" s="3310" t="s">
        <v>3074</v>
      </c>
      <c r="C25" s="3308" t="s">
        <v>3068</v>
      </c>
      <c r="D25" s="3309">
        <v>50872.61</v>
      </c>
      <c r="E25" s="3307"/>
    </row>
    <row r="26" spans="1:12" ht="68.25" thickBot="1">
      <c r="A26" s="3409"/>
      <c r="B26" s="3310" t="s">
        <v>3075</v>
      </c>
      <c r="C26" s="3308" t="s">
        <v>3068</v>
      </c>
      <c r="D26" s="3309">
        <v>21822.29</v>
      </c>
      <c r="E26" s="3311" t="s">
        <v>3076</v>
      </c>
      <c r="I26" s="3291">
        <f>I23-I24</f>
        <v>20842</v>
      </c>
      <c r="J26" s="3291">
        <f t="shared" ref="J26:L26" si="0">J23-J24</f>
        <v>2326.8799999999992</v>
      </c>
      <c r="K26" s="3291">
        <f t="shared" si="0"/>
        <v>-7875</v>
      </c>
      <c r="L26" s="3291">
        <f t="shared" si="0"/>
        <v>-15628.61</v>
      </c>
    </row>
    <row r="27" spans="1:12" ht="14.25" thickBot="1">
      <c r="A27" s="3409"/>
      <c r="B27" s="3310" t="s">
        <v>3077</v>
      </c>
      <c r="C27" s="3308" t="s">
        <v>3068</v>
      </c>
      <c r="D27" s="3309">
        <v>8600.1200000000008</v>
      </c>
      <c r="E27" s="3307"/>
    </row>
    <row r="28" spans="1:12" ht="14.25" thickBot="1">
      <c r="A28" s="3409"/>
      <c r="B28" s="3310" t="s">
        <v>3078</v>
      </c>
      <c r="C28" s="3308" t="s">
        <v>3068</v>
      </c>
      <c r="D28" s="3309">
        <v>3000</v>
      </c>
      <c r="E28" s="3307"/>
    </row>
    <row r="29" spans="1:12" ht="14.25" thickBot="1">
      <c r="A29" s="3409"/>
      <c r="B29" s="3310" t="s">
        <v>3079</v>
      </c>
      <c r="C29" s="3308" t="s">
        <v>3068</v>
      </c>
      <c r="D29" s="3309">
        <v>3293.4</v>
      </c>
      <c r="E29" s="3307"/>
    </row>
    <row r="30" spans="1:12" ht="14.25" thickBot="1">
      <c r="A30" s="3409"/>
      <c r="B30" s="3310" t="s">
        <v>3080</v>
      </c>
      <c r="C30" s="3308" t="s">
        <v>3068</v>
      </c>
      <c r="D30" s="3309">
        <v>11913.4</v>
      </c>
      <c r="E30" s="3307"/>
    </row>
    <row r="31" spans="1:12" ht="14.25" thickBot="1">
      <c r="A31" s="3409"/>
      <c r="B31" s="3310" t="s">
        <v>3081</v>
      </c>
      <c r="C31" s="3308" t="s">
        <v>3068</v>
      </c>
      <c r="D31" s="3309">
        <v>628.9</v>
      </c>
      <c r="E31" s="3307"/>
    </row>
    <row r="32" spans="1:12" ht="14.25" thickBot="1">
      <c r="A32" s="3410"/>
      <c r="B32" s="3310" t="s">
        <v>3082</v>
      </c>
      <c r="C32" s="3308" t="s">
        <v>3068</v>
      </c>
      <c r="D32" s="3309">
        <v>4527.1099999999997</v>
      </c>
      <c r="E32" s="3307"/>
    </row>
    <row r="33" spans="1:5" ht="68.25" thickBot="1">
      <c r="A33" s="3306" t="s">
        <v>3083</v>
      </c>
      <c r="B33" s="3307" t="s">
        <v>3084</v>
      </c>
      <c r="C33" s="3308" t="s">
        <v>3085</v>
      </c>
      <c r="D33" s="3312">
        <v>0.28799999999999998</v>
      </c>
      <c r="E33" s="3311" t="s">
        <v>3086</v>
      </c>
    </row>
    <row r="34" spans="1:5" ht="14.25" thickBot="1">
      <c r="A34" s="3306" t="s">
        <v>3087</v>
      </c>
      <c r="B34" s="3307" t="s">
        <v>3088</v>
      </c>
      <c r="C34" s="3308" t="s">
        <v>3089</v>
      </c>
      <c r="D34" s="3309">
        <v>99.99</v>
      </c>
      <c r="E34" s="3307"/>
    </row>
  </sheetData>
  <mergeCells count="7">
    <mergeCell ref="A24:A32"/>
    <mergeCell ref="A2:A3"/>
    <mergeCell ref="F2:F9"/>
    <mergeCell ref="A4:A6"/>
    <mergeCell ref="A10:A11"/>
    <mergeCell ref="A12:A14"/>
    <mergeCell ref="A20:A2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70" zoomScaleSheetLayoutView="85" workbookViewId="0">
      <selection activeCell="E35" sqref="E35"/>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27" t="s">
        <v>203</v>
      </c>
      <c r="B2" s="3427"/>
      <c r="C2" s="3427"/>
      <c r="D2" s="1888" t="s">
        <v>204</v>
      </c>
      <c r="E2" s="106" t="s">
        <v>205</v>
      </c>
      <c r="F2" s="3082"/>
      <c r="G2" s="1181"/>
      <c r="H2" s="1182"/>
      <c r="I2" s="1183" t="s">
        <v>849</v>
      </c>
      <c r="J2" s="3082"/>
      <c r="K2" s="3082"/>
      <c r="L2" s="3082"/>
      <c r="M2" s="3082"/>
      <c r="N2" s="3082"/>
      <c r="O2" s="3082"/>
      <c r="P2" s="3082"/>
    </row>
    <row r="3" spans="1:16" ht="15.75" thickBot="1">
      <c r="A3" s="3428" t="s">
        <v>206</v>
      </c>
      <c r="B3" s="3428"/>
      <c r="C3" s="3428"/>
      <c r="D3" s="107">
        <f>'数据-基础表'!AY6</f>
        <v>18893.75</v>
      </c>
      <c r="E3" s="107">
        <f>'数据-基础表'!AZ5</f>
        <v>273635.53999999998</v>
      </c>
      <c r="F3" s="3082"/>
      <c r="G3" s="278" t="s">
        <v>850</v>
      </c>
      <c r="H3" s="273" t="s">
        <v>851</v>
      </c>
      <c r="I3" s="1889">
        <f>ROUND('数据-基础表'!B3/'数据-基础表'!A3,2)</f>
        <v>14.48</v>
      </c>
      <c r="J3" s="3082"/>
      <c r="K3" s="3082"/>
      <c r="L3" s="3082"/>
      <c r="M3" s="3082"/>
      <c r="N3" s="3082"/>
      <c r="O3" s="3082"/>
      <c r="P3" s="3082"/>
    </row>
    <row r="4" spans="1:16" ht="15">
      <c r="A4" s="3429"/>
      <c r="B4" s="3430"/>
      <c r="C4" s="3431"/>
      <c r="D4" s="108" t="s">
        <v>204</v>
      </c>
      <c r="E4" s="109" t="s">
        <v>205</v>
      </c>
      <c r="F4" s="3082"/>
      <c r="G4" s="1184"/>
      <c r="H4" s="273" t="s">
        <v>852</v>
      </c>
      <c r="I4" s="1889">
        <f>ROUND(SUMIF('数据-基础表'!I9:AS9,"地上",'数据-基础表'!I5:AS5)/'数据-基础表'!A3,2)</f>
        <v>10.1</v>
      </c>
      <c r="J4" s="3082"/>
      <c r="K4" s="3082"/>
      <c r="L4" s="3082"/>
      <c r="M4" s="3082"/>
      <c r="N4" s="3082"/>
      <c r="O4" s="3082"/>
      <c r="P4" s="3082"/>
    </row>
    <row r="5" spans="1:16">
      <c r="A5" s="110" t="s">
        <v>207</v>
      </c>
      <c r="B5" s="3432" t="s">
        <v>230</v>
      </c>
      <c r="C5" s="3432"/>
      <c r="D5" s="111">
        <f>ROUND($D$3*E5/$E$3,2)</f>
        <v>2300.17</v>
      </c>
      <c r="E5" s="112">
        <f>SUMIF('数据-基础表'!$11:$11,"住宅",'数据-基础表'!$5:$5)</f>
        <v>33313</v>
      </c>
      <c r="F5" s="3082"/>
      <c r="G5" s="278" t="s">
        <v>853</v>
      </c>
      <c r="H5" s="273" t="s">
        <v>851</v>
      </c>
      <c r="I5" s="1889">
        <f>ROUND(E31/D31,2)</f>
        <v>14.48</v>
      </c>
      <c r="J5" s="3082"/>
      <c r="K5" s="3082"/>
      <c r="L5" s="3082"/>
      <c r="M5" s="3082"/>
      <c r="N5" s="3082"/>
      <c r="O5" s="3082"/>
      <c r="P5" s="3082"/>
    </row>
    <row r="6" spans="1:16" ht="15" thickBot="1">
      <c r="A6" s="113"/>
      <c r="B6" s="3432" t="s">
        <v>208</v>
      </c>
      <c r="C6" s="3432"/>
      <c r="D6" s="111">
        <f>ROUND($D$3*E6/$E$3,2)</f>
        <v>16593.580000000002</v>
      </c>
      <c r="E6" s="112">
        <f>E3-E5</f>
        <v>240322.53999999998</v>
      </c>
      <c r="F6" s="3082"/>
      <c r="G6" s="1184"/>
      <c r="H6" s="273" t="s">
        <v>852</v>
      </c>
      <c r="I6" s="1889">
        <f>ROUND(F31/D31,2)</f>
        <v>10.1</v>
      </c>
      <c r="J6" s="3082"/>
      <c r="K6" s="3082"/>
      <c r="L6" s="3082"/>
      <c r="M6" s="3082"/>
      <c r="N6" s="3082"/>
      <c r="O6" s="3082"/>
      <c r="P6" s="3082"/>
    </row>
    <row r="7" spans="1:16" ht="15">
      <c r="A7" s="3424"/>
      <c r="B7" s="3425"/>
      <c r="C7" s="3426"/>
      <c r="D7" s="108" t="s">
        <v>204</v>
      </c>
      <c r="E7" s="114" t="s">
        <v>231</v>
      </c>
      <c r="F7" s="3082"/>
      <c r="G7" s="1139" t="s">
        <v>1636</v>
      </c>
      <c r="H7" s="1140"/>
      <c r="I7" s="1759"/>
      <c r="J7" s="3082"/>
      <c r="K7" s="3082"/>
      <c r="L7" s="3082"/>
      <c r="M7" s="3082"/>
      <c r="N7" s="3082"/>
      <c r="O7" s="3082"/>
      <c r="P7" s="3082"/>
    </row>
    <row r="8" spans="1:16">
      <c r="A8" s="110" t="s">
        <v>209</v>
      </c>
      <c r="B8" s="115" t="s">
        <v>210</v>
      </c>
      <c r="C8" s="111" t="s">
        <v>211</v>
      </c>
      <c r="D8" s="111">
        <f t="shared" ref="D8:D15" si="0">ROUND($D$3*E8/$E$3,2)</f>
        <v>13174.19</v>
      </c>
      <c r="E8" s="116">
        <f>SUMIF('数据-基础表'!BB10:BK10,"地上",'数据-基础表'!BB5:BK5)</f>
        <v>190800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800.96</v>
      </c>
      <c r="E10" s="116">
        <f>SUMPRODUCT(('数据-基础表'!BB10:BK10="地下")*('数据-基础表'!BB11:BK11="商业")*('数据-基础表'!BB5:BK5))</f>
        <v>11600.12</v>
      </c>
      <c r="F10" s="3082"/>
      <c r="G10" s="3083"/>
      <c r="H10" s="3083"/>
      <c r="I10" s="3082"/>
      <c r="J10" s="3082"/>
      <c r="K10" s="3082"/>
      <c r="L10" s="3082"/>
      <c r="M10" s="3082"/>
      <c r="N10" s="3082"/>
      <c r="O10" s="3082"/>
      <c r="P10" s="3082"/>
    </row>
    <row r="11" spans="1:16">
      <c r="A11" s="117"/>
      <c r="B11" s="118"/>
      <c r="C11" s="2210" t="s">
        <v>2313</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227.4</v>
      </c>
      <c r="E12" s="116">
        <f>SUMPRODUCT(('数据-基础表'!BB10:BK10="地下")*('数据-基础表'!BB11:BK11="仓储")*('数据-基础表'!BB5:BK5))</f>
        <v>3293.4</v>
      </c>
      <c r="F12" s="3082"/>
      <c r="G12" s="3083"/>
      <c r="H12" s="3083"/>
      <c r="I12" s="3082"/>
      <c r="J12" s="3082"/>
      <c r="K12" s="3082"/>
      <c r="L12" s="3082"/>
      <c r="M12" s="3082"/>
      <c r="N12" s="3082"/>
      <c r="O12" s="3082"/>
      <c r="P12" s="3082"/>
    </row>
    <row r="13" spans="1:16">
      <c r="A13" s="117"/>
      <c r="B13" s="118"/>
      <c r="C13" s="2210" t="s">
        <v>2320</v>
      </c>
      <c r="D13" s="111">
        <f t="shared" si="0"/>
        <v>3512.61</v>
      </c>
      <c r="E13" s="116">
        <f>SUMPRODUCT(('数据-基础表'!BB10:BK10="地下")*('数据-基础表'!BB11:BK11="车库")*('数据-基础表'!BB5:BK5))</f>
        <v>50872.61</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17715.16</v>
      </c>
      <c r="E16" s="120">
        <f>SUM(E8:E15)</f>
        <v>256566.13</v>
      </c>
      <c r="F16" s="3082"/>
      <c r="G16" s="3083"/>
      <c r="H16" s="956" t="s">
        <v>219</v>
      </c>
      <c r="I16" s="957"/>
      <c r="J16" s="1897"/>
      <c r="K16" s="3418" t="s">
        <v>2546</v>
      </c>
      <c r="L16" s="3419"/>
      <c r="M16" s="3419"/>
      <c r="N16" s="3419"/>
      <c r="O16" s="3419"/>
      <c r="P16" s="3420"/>
    </row>
    <row r="17" spans="1:19" ht="15">
      <c r="A17" s="121" t="s">
        <v>216</v>
      </c>
      <c r="B17" s="122" t="s">
        <v>217</v>
      </c>
      <c r="C17" s="2177" t="s">
        <v>2299</v>
      </c>
      <c r="D17" s="108" t="s">
        <v>204</v>
      </c>
      <c r="E17" s="124" t="s">
        <v>205</v>
      </c>
      <c r="F17" s="125"/>
      <c r="G17" s="1318"/>
      <c r="H17" s="958" t="s">
        <v>218</v>
      </c>
      <c r="I17" s="959" t="s">
        <v>2298</v>
      </c>
      <c r="J17" s="1897"/>
      <c r="K17" s="3421" t="s">
        <v>2547</v>
      </c>
      <c r="L17" s="3422"/>
      <c r="M17" s="3423"/>
      <c r="N17" s="3421" t="s">
        <v>2548</v>
      </c>
      <c r="O17" s="3422"/>
      <c r="P17" s="3423"/>
      <c r="R17" s="2178" t="s">
        <v>2297</v>
      </c>
      <c r="S17" s="142"/>
    </row>
    <row r="18" spans="1:19" ht="15">
      <c r="A18" s="117"/>
      <c r="B18" s="128"/>
      <c r="C18" s="129"/>
      <c r="D18" s="2483"/>
      <c r="E18" s="130" t="s">
        <v>220</v>
      </c>
      <c r="F18" s="131" t="s">
        <v>221</v>
      </c>
      <c r="G18" s="1319" t="s">
        <v>222</v>
      </c>
      <c r="H18" s="960" t="s">
        <v>223</v>
      </c>
      <c r="I18" s="961" t="s">
        <v>224</v>
      </c>
      <c r="J18" s="1897"/>
      <c r="K18" s="2448" t="s">
        <v>2549</v>
      </c>
      <c r="L18" s="2449" t="s">
        <v>2550</v>
      </c>
      <c r="M18" s="2450" t="s">
        <v>2551</v>
      </c>
      <c r="N18" s="2448" t="s">
        <v>2549</v>
      </c>
      <c r="O18" s="2449" t="s">
        <v>2550</v>
      </c>
      <c r="P18" s="2450" t="s">
        <v>2551</v>
      </c>
      <c r="R18" s="2179" t="s">
        <v>2295</v>
      </c>
      <c r="S18" s="2179" t="s">
        <v>2296</v>
      </c>
    </row>
    <row r="19" spans="1:19">
      <c r="A19" s="133"/>
      <c r="B19" s="115" t="s">
        <v>225</v>
      </c>
      <c r="C19" s="2737" t="s">
        <v>3057</v>
      </c>
      <c r="D19" s="111">
        <f t="shared" ref="D19:D26" si="1">ROUND($D$3*E19/$E$3,2)</f>
        <v>2300.17</v>
      </c>
      <c r="E19" s="134">
        <f t="shared" ref="E19:E26" si="2">SUM(F19:G19)</f>
        <v>33313</v>
      </c>
      <c r="F19" s="3084">
        <f>'数据-基础表'!I5</f>
        <v>33313</v>
      </c>
      <c r="G19" s="3085"/>
      <c r="H19" s="962">
        <f>ROUND($D$3*I19/$E$3,2)</f>
        <v>153.03</v>
      </c>
      <c r="I19" s="116">
        <f>IF($I$17="自定义",P19,M19)</f>
        <v>2216.3200000000002</v>
      </c>
      <c r="J19" s="1897"/>
      <c r="K19" s="2451">
        <f t="shared" ref="K19:K26" si="3">ROUND(E$28*E19/E$27,2)</f>
        <v>2216.3200000000002</v>
      </c>
      <c r="L19" s="273">
        <f t="shared" ref="L19:L26" si="4">ROUND(IF(COUNTIF(C19,"*住宅*")&gt;0,E$29*E19/E$32,0),2)</f>
        <v>0</v>
      </c>
      <c r="M19" s="2452">
        <f>K19+L19</f>
        <v>2216.3200000000002</v>
      </c>
      <c r="N19" s="2453"/>
      <c r="O19" s="2454"/>
      <c r="P19" s="2455">
        <f>N19+O19</f>
        <v>0</v>
      </c>
      <c r="R19" s="273">
        <f t="shared" ref="R19:S26" si="5">D19+H19</f>
        <v>2453.2000000000003</v>
      </c>
      <c r="S19" s="2180">
        <f t="shared" si="5"/>
        <v>35529.32</v>
      </c>
    </row>
    <row r="20" spans="1:19">
      <c r="A20" s="137"/>
      <c r="B20" s="115" t="s">
        <v>226</v>
      </c>
      <c r="C20" s="2737" t="s">
        <v>3000</v>
      </c>
      <c r="D20" s="111">
        <f t="shared" si="1"/>
        <v>1236.78</v>
      </c>
      <c r="E20" s="134">
        <f t="shared" si="2"/>
        <v>17912.120000000003</v>
      </c>
      <c r="F20" s="3084">
        <f>'数据-基础表'!K5</f>
        <v>6312</v>
      </c>
      <c r="G20" s="3085">
        <f>'数据-基础表'!O13</f>
        <v>11600.12</v>
      </c>
      <c r="H20" s="962">
        <f t="shared" ref="H20:H26" si="6">ROUND($D$3*I20/$E$3,2)</f>
        <v>82.28</v>
      </c>
      <c r="I20" s="116">
        <f t="shared" ref="I20:I26" si="7">IF($I$17="自定义",P20,M20)</f>
        <v>1191.7</v>
      </c>
      <c r="J20" s="1897"/>
      <c r="K20" s="2451">
        <f t="shared" si="3"/>
        <v>1191.7</v>
      </c>
      <c r="L20" s="273">
        <f t="shared" si="4"/>
        <v>0</v>
      </c>
      <c r="M20" s="2452">
        <f t="shared" ref="M20:M26" si="8">K20+L20</f>
        <v>1191.7</v>
      </c>
      <c r="N20" s="2453"/>
      <c r="O20" s="2454"/>
      <c r="P20" s="2455">
        <f t="shared" ref="P20:P26" si="9">N20+O20</f>
        <v>0</v>
      </c>
      <c r="R20" s="273">
        <f t="shared" si="5"/>
        <v>1319.06</v>
      </c>
      <c r="S20" s="2180">
        <f t="shared" si="5"/>
        <v>19103.820000000003</v>
      </c>
    </row>
    <row r="21" spans="1:19">
      <c r="A21" s="137"/>
      <c r="B21" s="115" t="s">
        <v>226</v>
      </c>
      <c r="C21" s="2737" t="s">
        <v>1668</v>
      </c>
      <c r="D21" s="111">
        <f t="shared" si="1"/>
        <v>10438.200000000001</v>
      </c>
      <c r="E21" s="134">
        <f t="shared" si="2"/>
        <v>151175</v>
      </c>
      <c r="F21" s="3084">
        <f>'数据-基础表'!M5</f>
        <v>151175</v>
      </c>
      <c r="G21" s="3085"/>
      <c r="H21" s="962">
        <f t="shared" si="6"/>
        <v>694.46</v>
      </c>
      <c r="I21" s="116">
        <f t="shared" si="7"/>
        <v>10057.709999999999</v>
      </c>
      <c r="J21" s="1897"/>
      <c r="K21" s="2451">
        <f t="shared" si="3"/>
        <v>10057.709999999999</v>
      </c>
      <c r="L21" s="273">
        <f t="shared" si="4"/>
        <v>0</v>
      </c>
      <c r="M21" s="2452">
        <f t="shared" si="8"/>
        <v>10057.709999999999</v>
      </c>
      <c r="N21" s="2453"/>
      <c r="O21" s="2454"/>
      <c r="P21" s="2455">
        <f t="shared" si="9"/>
        <v>0</v>
      </c>
      <c r="R21" s="273">
        <f t="shared" si="5"/>
        <v>11132.66</v>
      </c>
      <c r="S21" s="2180">
        <f t="shared" si="5"/>
        <v>161232.71</v>
      </c>
    </row>
    <row r="22" spans="1:19">
      <c r="A22" s="137"/>
      <c r="B22" s="115" t="s">
        <v>226</v>
      </c>
      <c r="C22" s="3651" t="s">
        <v>3252</v>
      </c>
      <c r="D22" s="111">
        <f t="shared" si="1"/>
        <v>3217.66</v>
      </c>
      <c r="E22" s="134">
        <f t="shared" si="2"/>
        <v>46600.86</v>
      </c>
      <c r="F22" s="3086"/>
      <c r="G22" s="3087">
        <f>ROUND('数据-基础表'!Q5*(1179-99)/1179,2)</f>
        <v>46600.86</v>
      </c>
      <c r="H22" s="962">
        <f t="shared" si="6"/>
        <v>214.07</v>
      </c>
      <c r="I22" s="116">
        <f t="shared" si="7"/>
        <v>3100.37</v>
      </c>
      <c r="J22" s="1897"/>
      <c r="K22" s="2451">
        <f t="shared" si="3"/>
        <v>3100.37</v>
      </c>
      <c r="L22" s="273">
        <f t="shared" si="4"/>
        <v>0</v>
      </c>
      <c r="M22" s="2452">
        <f t="shared" si="8"/>
        <v>3100.37</v>
      </c>
      <c r="N22" s="2453"/>
      <c r="O22" s="2454"/>
      <c r="P22" s="2455">
        <f t="shared" si="9"/>
        <v>0</v>
      </c>
      <c r="R22" s="273">
        <f t="shared" si="5"/>
        <v>3431.73</v>
      </c>
      <c r="S22" s="2180">
        <f t="shared" si="5"/>
        <v>49701.23</v>
      </c>
    </row>
    <row r="23" spans="1:19">
      <c r="A23" s="137"/>
      <c r="B23" s="115" t="s">
        <v>226</v>
      </c>
      <c r="C23" s="138" t="s">
        <v>3001</v>
      </c>
      <c r="D23" s="111">
        <f>ROUND($D$3*E23/$E$3,2)</f>
        <v>227.4</v>
      </c>
      <c r="E23" s="134">
        <f>SUM(F23:G23)</f>
        <v>3293.4</v>
      </c>
      <c r="F23" s="3086"/>
      <c r="G23" s="3087">
        <f>'数据-基础表'!S5</f>
        <v>3293.4</v>
      </c>
      <c r="H23" s="962">
        <f>ROUND($D$3*I23/$E$3,2)</f>
        <v>15.13</v>
      </c>
      <c r="I23" s="116">
        <f t="shared" si="7"/>
        <v>219.11</v>
      </c>
      <c r="J23" s="1897"/>
      <c r="K23" s="2451">
        <f t="shared" si="3"/>
        <v>219.11</v>
      </c>
      <c r="L23" s="273">
        <f t="shared" si="4"/>
        <v>0</v>
      </c>
      <c r="M23" s="2452">
        <f t="shared" si="8"/>
        <v>219.11</v>
      </c>
      <c r="N23" s="2453"/>
      <c r="O23" s="2454"/>
      <c r="P23" s="2455">
        <f t="shared" si="9"/>
        <v>0</v>
      </c>
      <c r="R23" s="273">
        <f t="shared" si="5"/>
        <v>242.53</v>
      </c>
      <c r="S23" s="2180">
        <f t="shared" si="5"/>
        <v>3512.51</v>
      </c>
    </row>
    <row r="24" spans="1:19">
      <c r="A24" s="137"/>
      <c r="B24" s="115" t="s">
        <v>226</v>
      </c>
      <c r="C24" s="3651" t="s">
        <v>3250</v>
      </c>
      <c r="D24" s="111">
        <f>ROUND($D$3*E24/$E$3,2)</f>
        <v>294.95</v>
      </c>
      <c r="E24" s="134">
        <f>SUM(F24:G24)</f>
        <v>4271.75</v>
      </c>
      <c r="F24" s="3086"/>
      <c r="G24" s="3087">
        <f>'数据-基础表'!Q13-'数据-汇总表'!G22</f>
        <v>4271.75</v>
      </c>
      <c r="H24" s="962">
        <f>ROUND($D$3*I24/$E$3,2)</f>
        <v>19.62</v>
      </c>
      <c r="I24" s="116">
        <f t="shared" si="7"/>
        <v>284.2</v>
      </c>
      <c r="J24" s="1897"/>
      <c r="K24" s="2451">
        <f t="shared" si="3"/>
        <v>284.2</v>
      </c>
      <c r="L24" s="273">
        <f t="shared" si="4"/>
        <v>0</v>
      </c>
      <c r="M24" s="2452">
        <f t="shared" si="8"/>
        <v>284.2</v>
      </c>
      <c r="N24" s="2453"/>
      <c r="O24" s="2454"/>
      <c r="P24" s="2455">
        <f t="shared" si="9"/>
        <v>0</v>
      </c>
      <c r="R24" s="273">
        <f t="shared" si="5"/>
        <v>314.57</v>
      </c>
      <c r="S24" s="2180">
        <f t="shared" si="5"/>
        <v>4555.95</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17715.160000000003</v>
      </c>
      <c r="E27" s="141">
        <f>IF(SUM(E19:E26)='数据-基础表'!BA5,SUM(E19:E26),IF(F27="地上面积有误","面积有误","地下面积有误"))</f>
        <v>256566.12999999998</v>
      </c>
      <c r="F27" s="134">
        <f>IF(SUM(F19:F26)=E8,SUM(F19:F26),"地上面积有误")</f>
        <v>190800</v>
      </c>
      <c r="G27" s="112">
        <f>SUM(G19:G26)</f>
        <v>65766.13</v>
      </c>
      <c r="H27" s="963">
        <f>SUM(H19:H26)</f>
        <v>1178.5899999999999</v>
      </c>
      <c r="I27" s="964">
        <f>SUM(I19:I26)</f>
        <v>17069.41</v>
      </c>
      <c r="J27" s="1897"/>
      <c r="K27" s="2460">
        <f>SUM(K19:K26)</f>
        <v>17069.41</v>
      </c>
      <c r="L27" s="2461">
        <f>SUM(L19:L26)</f>
        <v>0</v>
      </c>
      <c r="M27" s="2462">
        <f>SUM(M19:M26)</f>
        <v>17069.41</v>
      </c>
      <c r="N27" s="2460">
        <f t="shared" ref="N27:O27" si="10">SUM(N19:N26)</f>
        <v>0</v>
      </c>
      <c r="O27" s="2461">
        <f t="shared" si="10"/>
        <v>0</v>
      </c>
      <c r="P27" s="2463">
        <f>SUM(P19:P26)</f>
        <v>0</v>
      </c>
      <c r="R27" s="2184">
        <f>IF(SUM(R19:R26)=$D$3,SUM(R19:R26),SUM(R19:R26)&amp;"误差"&amp;ROUND(SUM(R19:R26)-$D$3,2))</f>
        <v>18893.75</v>
      </c>
      <c r="S27" s="273">
        <f>IF(SUM(S19:S26)=$E$3,SUM(S19:S26),SUM(S19:S26)&amp;"误差"&amp;ROUND(SUM(S19:S26)-E3,2))</f>
        <v>273635.53999999998</v>
      </c>
    </row>
    <row r="28" spans="1:19">
      <c r="A28" s="137"/>
      <c r="B28" s="115" t="s">
        <v>227</v>
      </c>
      <c r="C28" s="135" t="s">
        <v>228</v>
      </c>
      <c r="D28" s="111">
        <f>ROUND($D$3*E28/$E$3,2)</f>
        <v>1178.5899999999999</v>
      </c>
      <c r="E28" s="134">
        <f>SUM(F28:G28)</f>
        <v>17069.41</v>
      </c>
      <c r="F28" s="142">
        <f>'数据-基础表'!BQ5+'数据-基础表'!BS5</f>
        <v>0</v>
      </c>
      <c r="G28" s="143">
        <f>'数据-基础表'!BR5+'数据-基础表'!BT5</f>
        <v>17069.41</v>
      </c>
      <c r="H28" s="3082"/>
      <c r="I28" s="3082"/>
      <c r="J28" s="3082"/>
      <c r="K28" s="3082"/>
      <c r="L28" s="3082"/>
      <c r="M28" s="3082"/>
      <c r="N28" s="3082"/>
      <c r="O28" s="3082"/>
      <c r="P28" s="3082"/>
    </row>
    <row r="29" spans="1:19">
      <c r="A29" s="137"/>
      <c r="B29" s="115" t="s">
        <v>227</v>
      </c>
      <c r="C29" s="2192" t="s">
        <v>2306</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1178.5899999999999</v>
      </c>
      <c r="E30" s="134">
        <f>SUM(E28:E29)</f>
        <v>17069.41</v>
      </c>
      <c r="F30" s="134">
        <f>SUM(F28:F29)</f>
        <v>0</v>
      </c>
      <c r="G30" s="112">
        <f>SUM(G28:G29)</f>
        <v>17069.41</v>
      </c>
      <c r="H30" s="3082"/>
      <c r="I30" s="3082"/>
      <c r="J30" s="3082"/>
      <c r="K30" s="3082"/>
      <c r="L30" s="3082"/>
      <c r="M30" s="3082"/>
      <c r="N30" s="3082"/>
      <c r="O30" s="3082"/>
      <c r="P30" s="3082"/>
    </row>
    <row r="31" spans="1:19" ht="32.25" customHeight="1" thickBot="1">
      <c r="A31" s="1320"/>
      <c r="B31" s="1321" t="s">
        <v>229</v>
      </c>
      <c r="C31" s="2209" t="s">
        <v>2308</v>
      </c>
      <c r="D31" s="1322">
        <f>D27+D30</f>
        <v>18893.750000000004</v>
      </c>
      <c r="E31" s="1322">
        <f>E27+E30</f>
        <v>273635.53999999998</v>
      </c>
      <c r="F31" s="1323">
        <f>F27+F30</f>
        <v>190800</v>
      </c>
      <c r="G31" s="1324">
        <f>G27+G30</f>
        <v>82835.540000000008</v>
      </c>
      <c r="H31" s="3082"/>
      <c r="I31" s="3082"/>
      <c r="J31" s="3082"/>
      <c r="K31" s="3082"/>
      <c r="L31" s="3082"/>
      <c r="M31" s="3082"/>
      <c r="N31" s="3082"/>
      <c r="O31" s="3082"/>
      <c r="P31" s="3082"/>
    </row>
    <row r="32" spans="1:19">
      <c r="A32" s="1897"/>
      <c r="B32" s="2221" t="s">
        <v>2307</v>
      </c>
      <c r="C32" s="2488"/>
      <c r="D32" s="1184"/>
      <c r="E32" s="1184">
        <f>SUMIF(C19:C26,"*住宅*",E19:E26)</f>
        <v>33313</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1" priority="1" stopIfTrue="1" operator="containsText" text="面积有误">
      <formula>NOT(ISERROR(SEARCH("面积有误",E27)))</formula>
    </cfRule>
    <cfRule type="cellIs" dxfId="220" priority="3" stopIfTrue="1" operator="equal">
      <formula>"地下面积有误"</formula>
    </cfRule>
  </conditionalFormatting>
  <conditionalFormatting sqref="F27">
    <cfRule type="cellIs" dxfId="21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T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44127</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2310</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2805</v>
      </c>
      <c r="O5" s="161" t="s">
        <v>246</v>
      </c>
      <c r="P5" s="163" t="s">
        <v>247</v>
      </c>
      <c r="Q5" s="164" t="s">
        <v>248</v>
      </c>
      <c r="R5" s="165" t="s">
        <v>249</v>
      </c>
      <c r="S5" s="2464" t="s">
        <v>2552</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2309</v>
      </c>
      <c r="AI5" s="169" t="s">
        <v>2278</v>
      </c>
      <c r="AJ5" s="169" t="s">
        <v>258</v>
      </c>
      <c r="AK5" s="157" t="s">
        <v>259</v>
      </c>
      <c r="AL5" s="157" t="s">
        <v>260</v>
      </c>
      <c r="AM5" s="170" t="s">
        <v>261</v>
      </c>
      <c r="AN5" s="2245" t="s">
        <v>2356</v>
      </c>
      <c r="AO5" s="3103"/>
      <c r="AP5" s="3088" t="s">
        <v>2969</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住宅（公寓）</v>
      </c>
      <c r="B6" s="2216" t="str">
        <f>IF(A6=0,"","经营性")</f>
        <v>经营性</v>
      </c>
      <c r="C6" s="171" t="s">
        <v>914</v>
      </c>
      <c r="D6" s="2187">
        <f>SUMIF(项目基本情况!D$15:I$15,C6,项目基本情况!D$18:I$18)</f>
        <v>70</v>
      </c>
      <c r="E6" s="2188">
        <f>IF(B6="","",SUMIF(项目基本情况!D$15:I$15,C6,项目基本情况!D$17:I$17))</f>
        <v>64337</v>
      </c>
      <c r="F6" s="172">
        <f>SUMIF(项目基本情况!D$15:I$15,C6,项目基本情况!D$19:I$19)</f>
        <v>55.36</v>
      </c>
      <c r="G6" s="173">
        <f ca="1">IF(ISERROR(ROUND(POWER(1+H6,D6-F6)*(POWER(1+H6,F6)-1)/(POWER(1+H6,D6)-1),3)),0,ROUND(POWER(1+H6,D6-F6)*(POWER(1+H6,F6)-1)/(POWER(1+H6,D6)-1),3))</f>
        <v>0.96499999999999997</v>
      </c>
      <c r="H6" s="2738">
        <f ca="1">基准地价住宅!G20</f>
        <v>0.05</v>
      </c>
      <c r="I6" s="2738">
        <v>5.5E-2</v>
      </c>
      <c r="J6" s="174">
        <v>0.08</v>
      </c>
      <c r="K6" s="177">
        <f>SUMIF('数据-汇总表'!C$19:C$33,'数据-取费表'!A6,'数据-汇总表'!E$19:E$33)</f>
        <v>33313</v>
      </c>
      <c r="L6" s="2739">
        <v>20000</v>
      </c>
      <c r="M6" s="175">
        <f t="shared" ref="M6:M14" si="0">ROUND(K6*L6/10000,0)</f>
        <v>66626</v>
      </c>
      <c r="N6" s="2740">
        <v>0</v>
      </c>
      <c r="O6" s="175">
        <f>IF($N$5="成新度","——",ROUND(M6*N6,0))</f>
        <v>0</v>
      </c>
      <c r="P6" s="176">
        <f>IF($N$5="成新度","——",M6-O6)</f>
        <v>66626</v>
      </c>
      <c r="Q6" s="2741">
        <v>0.3</v>
      </c>
      <c r="R6" s="177">
        <f>SUMIF('数据-汇总表'!C$19:C$33,A6,'数据-汇总表'!R$19:R$33)</f>
        <v>2453.2000000000003</v>
      </c>
      <c r="S6" s="132">
        <f>IF('数据-汇总表'!$I$17="按面积比例",SUMIF('数据-汇总表'!C$19:C$33,A6,'数据-汇总表'!K$19:K$33),SUMIF('数据-汇总表'!C$19:C$33,A6,'数据-汇总表'!N$19:N$33))</f>
        <v>2216.3200000000002</v>
      </c>
      <c r="T6" s="2113">
        <f>IF($T$4="按面积比例",IF(ISERROR(ROUND($M$14*S6/S$16,0)),"0",ROUND($M$14*S6/S$16,0)),"需自行计算录入")</f>
        <v>1995</v>
      </c>
      <c r="U6" s="178"/>
      <c r="V6" s="179"/>
      <c r="W6" s="179"/>
      <c r="X6" s="2200"/>
      <c r="Y6" s="180">
        <v>1</v>
      </c>
      <c r="Z6" s="181"/>
      <c r="AA6" s="174"/>
      <c r="AB6" s="174"/>
      <c r="AC6" s="2203"/>
      <c r="AD6" s="182"/>
      <c r="AE6" s="960">
        <f ca="1">IF(AN6="",0,SUMIF(INDIRECT("'"&amp;AN6&amp;"'"&amp;"!E:E"),$AE$5,INDIRECT("'"&amp;AN6&amp;"'"&amp;"!F:F")))</f>
        <v>0</v>
      </c>
      <c r="AF6" s="139"/>
      <c r="AG6" s="1196">
        <f>IF(AF6="",0,AE6-AF6)</f>
        <v>0</v>
      </c>
      <c r="AH6" s="139"/>
      <c r="AI6" s="185">
        <v>365</v>
      </c>
      <c r="AJ6" s="186"/>
      <c r="AK6" s="187">
        <v>0.02</v>
      </c>
      <c r="AL6" s="188">
        <v>2E-3</v>
      </c>
      <c r="AM6" s="2752">
        <v>2.5000000000000001E-2</v>
      </c>
      <c r="AN6" s="2246"/>
      <c r="AO6" s="3092"/>
      <c r="AP6" s="1187">
        <f ca="1">ROUND(1-1/(1+H6)^F6,3)</f>
        <v>0.93300000000000005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商业</v>
      </c>
      <c r="B7" s="2216" t="str">
        <f t="shared" ref="B7:B13" si="1">IF(A7=0,"","经营性")</f>
        <v>经营性</v>
      </c>
      <c r="C7" s="171" t="s">
        <v>3000</v>
      </c>
      <c r="D7" s="2187">
        <f>SUMIF(项目基本情况!D$15:I$15,C7,项目基本情况!D$18:I$18)</f>
        <v>40</v>
      </c>
      <c r="E7" s="2188">
        <f>IF(B7="","",SUMIF(项目基本情况!D$15:I$15,C7,项目基本情况!D$17:I$17))</f>
        <v>53380</v>
      </c>
      <c r="F7" s="172">
        <f>SUMIF(项目基本情况!D$15:I$15,C7,项目基本情况!D$19:I$19)</f>
        <v>25.35</v>
      </c>
      <c r="G7" s="173">
        <f t="shared" ref="G7:G11" ca="1" si="2">IF(ISERROR(ROUND(POWER(1+H7,D7-F7)*(POWER(1+H7,F7)-1)/(POWER(1+H7,D7)-1),3)),0,ROUND(POWER(1+H7,D7-F7)*(POWER(1+H7,F7)-1)/(POWER(1+H7,D7)-1),3))</f>
        <v>0.83899999999999997</v>
      </c>
      <c r="H7" s="2738">
        <f ca="1">基准地价商业!G20</f>
        <v>5.3999999999999999E-2</v>
      </c>
      <c r="I7" s="2738">
        <v>6.5000000000000002E-2</v>
      </c>
      <c r="J7" s="174">
        <v>0.08</v>
      </c>
      <c r="K7" s="177">
        <f>SUMIF('数据-汇总表'!C$19:C$33,'数据-取费表'!A7,'数据-汇总表'!E$19:E$33)</f>
        <v>17912.120000000003</v>
      </c>
      <c r="L7" s="2739">
        <v>12000</v>
      </c>
      <c r="M7" s="175">
        <f t="shared" si="0"/>
        <v>21495</v>
      </c>
      <c r="N7" s="2740">
        <v>0</v>
      </c>
      <c r="O7" s="175">
        <f t="shared" ref="O7:O14" si="3">IF($N$5="成新度","——",ROUND(M7*N7,0))</f>
        <v>0</v>
      </c>
      <c r="P7" s="176">
        <f t="shared" ref="P7:P14" si="4">IF($N$5="成新度","——",M7-O7)</f>
        <v>21495</v>
      </c>
      <c r="Q7" s="2741">
        <v>0.3</v>
      </c>
      <c r="R7" s="177">
        <f>SUMIF('数据-汇总表'!C$19:C$33,A7,'数据-汇总表'!R$19:R$33)</f>
        <v>1319.06</v>
      </c>
      <c r="S7" s="132">
        <f>IF('数据-汇总表'!$I$17="按面积比例",SUMIF('数据-汇总表'!C$19:C$33,A7,'数据-汇总表'!K$19:K$33),SUMIF('数据-汇总表'!C$19:C$33,A7,'数据-汇总表'!N$19:N$33))</f>
        <v>1191.7</v>
      </c>
      <c r="T7" s="2113">
        <f t="shared" ref="T7:T13" si="5">IF($T$4="按面积比例",IF(ISERROR(ROUND($M$14*S7/S$16,0)),"0",ROUND($M$14*S7/S$16,0)),"需自行计算录入")</f>
        <v>1072</v>
      </c>
      <c r="U7" s="178">
        <f>V20</f>
        <v>13.06</v>
      </c>
      <c r="V7" s="179">
        <v>1.4999999999999999E-2</v>
      </c>
      <c r="W7" s="179">
        <v>0.1</v>
      </c>
      <c r="X7" s="2200"/>
      <c r="Y7" s="180">
        <v>1</v>
      </c>
      <c r="Z7" s="181"/>
      <c r="AA7" s="174"/>
      <c r="AB7" s="174"/>
      <c r="AC7" s="2203"/>
      <c r="AD7" s="182"/>
      <c r="AE7" s="960">
        <f t="shared" ref="AE7:AE13" ca="1" si="6">IF(AN7="",0,SUMIF(INDIRECT("'"&amp;AN7&amp;"'"&amp;"!E:E"),$AE$5,INDIRECT("'"&amp;AN7&amp;"'"&amp;"!F:F")))</f>
        <v>25.35</v>
      </c>
      <c r="AF7" s="139"/>
      <c r="AG7" s="1196">
        <f t="shared" ref="AG7:AG13" si="7">IF(AF7="",0,AE7-AF7)</f>
        <v>0</v>
      </c>
      <c r="AH7" s="139"/>
      <c r="AI7" s="185">
        <v>365</v>
      </c>
      <c r="AJ7" s="186"/>
      <c r="AK7" s="187">
        <v>0.02</v>
      </c>
      <c r="AL7" s="188">
        <v>2E-3</v>
      </c>
      <c r="AM7" s="2752">
        <v>2.5000000000000001E-2</v>
      </c>
      <c r="AN7" s="2246" t="s">
        <v>3097</v>
      </c>
      <c r="AO7" s="3092"/>
      <c r="AP7" s="1187">
        <f t="shared" ref="AP7:AP13" ca="1" si="8">ROUND(1-1/(1+H7)^F7,3)</f>
        <v>0.73599999999999999</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办公</v>
      </c>
      <c r="B8" s="2216" t="str">
        <f t="shared" si="1"/>
        <v>经营性</v>
      </c>
      <c r="C8" s="171" t="s">
        <v>1668</v>
      </c>
      <c r="D8" s="2187">
        <f>SUMIF(项目基本情况!D$15:I$15,C8,项目基本情况!D$18:I$18)</f>
        <v>50</v>
      </c>
      <c r="E8" s="2188">
        <f>IF(B8="","",SUMIF(项目基本情况!D$15:I$15,C8,项目基本情况!D$17:I$17))</f>
        <v>57032</v>
      </c>
      <c r="F8" s="172">
        <f>SUMIF(项目基本情况!D$15:I$15,C8,项目基本情况!D$19:I$19)</f>
        <v>35.35</v>
      </c>
      <c r="G8" s="173">
        <f t="shared" ca="1" si="2"/>
        <v>0.90500000000000003</v>
      </c>
      <c r="H8" s="2738">
        <f ca="1">基准地价办公!G20</f>
        <v>5.1999999999999998E-2</v>
      </c>
      <c r="I8" s="2738">
        <v>0.06</v>
      </c>
      <c r="J8" s="174">
        <v>0.08</v>
      </c>
      <c r="K8" s="177">
        <f>SUMIF('数据-汇总表'!C$19:C$33,'数据-取费表'!A8,'数据-汇总表'!E$19:E$33)</f>
        <v>151175</v>
      </c>
      <c r="L8" s="2739">
        <f>L7</f>
        <v>12000</v>
      </c>
      <c r="M8" s="175">
        <f>ROUND(K8*L8/10000,0)</f>
        <v>181410</v>
      </c>
      <c r="N8" s="2740">
        <v>0</v>
      </c>
      <c r="O8" s="175">
        <f t="shared" si="3"/>
        <v>0</v>
      </c>
      <c r="P8" s="176">
        <f t="shared" si="4"/>
        <v>181410</v>
      </c>
      <c r="Q8" s="2741">
        <v>0.3</v>
      </c>
      <c r="R8" s="177">
        <f>SUMIF('数据-汇总表'!C$19:C$33,A8,'数据-汇总表'!R$19:R$33)</f>
        <v>11132.66</v>
      </c>
      <c r="S8" s="132">
        <f>IF('数据-汇总表'!$I$17="按面积比例",SUMIF('数据-汇总表'!C$19:C$33,A8,'数据-汇总表'!K$19:K$33),SUMIF('数据-汇总表'!C$19:C$33,A8,'数据-汇总表'!N$19:N$33))</f>
        <v>10057.709999999999</v>
      </c>
      <c r="T8" s="2113">
        <f t="shared" si="5"/>
        <v>9052</v>
      </c>
      <c r="U8" s="178">
        <v>13</v>
      </c>
      <c r="V8" s="179">
        <v>1.4999999999999999E-2</v>
      </c>
      <c r="W8" s="179">
        <v>0.1</v>
      </c>
      <c r="X8" s="2200"/>
      <c r="Y8" s="180">
        <v>1</v>
      </c>
      <c r="Z8" s="181"/>
      <c r="AA8" s="174"/>
      <c r="AB8" s="174"/>
      <c r="AC8" s="2203"/>
      <c r="AD8" s="182"/>
      <c r="AE8" s="960">
        <f t="shared" ca="1" si="6"/>
        <v>35.35</v>
      </c>
      <c r="AF8" s="139"/>
      <c r="AG8" s="1196">
        <f t="shared" si="7"/>
        <v>0</v>
      </c>
      <c r="AH8" s="139"/>
      <c r="AI8" s="185">
        <v>365</v>
      </c>
      <c r="AJ8" s="186"/>
      <c r="AK8" s="187">
        <v>0.02</v>
      </c>
      <c r="AL8" s="188">
        <v>2E-3</v>
      </c>
      <c r="AM8" s="2752">
        <v>2.5000000000000001E-2</v>
      </c>
      <c r="AN8" s="2246" t="s">
        <v>3091</v>
      </c>
      <c r="AO8" s="3092"/>
      <c r="AP8" s="1187">
        <f t="shared" ca="1" si="8"/>
        <v>0.83299999999999996</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地下车库（自持）</v>
      </c>
      <c r="B9" s="2216" t="str">
        <f t="shared" si="1"/>
        <v>经营性</v>
      </c>
      <c r="C9" s="171" t="s">
        <v>3058</v>
      </c>
      <c r="D9" s="2187">
        <f>SUMIF(项目基本情况!D$15:I$15,C9,项目基本情况!D$18:I$18)</f>
        <v>50</v>
      </c>
      <c r="E9" s="2188">
        <f>IF(B9="","",SUMIF(项目基本情况!D$15:I$15,C9,项目基本情况!D$17:I$17))</f>
        <v>57032</v>
      </c>
      <c r="F9" s="172">
        <f>SUMIF(项目基本情况!D$15:I$15,C9,项目基本情况!D$19:I$19)</f>
        <v>35.35</v>
      </c>
      <c r="G9" s="173">
        <f t="shared" ca="1" si="2"/>
        <v>0.90500000000000003</v>
      </c>
      <c r="H9" s="2738">
        <f ca="1">H8</f>
        <v>5.1999999999999998E-2</v>
      </c>
      <c r="I9" s="2738">
        <v>5.5E-2</v>
      </c>
      <c r="J9" s="174">
        <v>0.08</v>
      </c>
      <c r="K9" s="177">
        <f>SUMIF('数据-汇总表'!C$19:C$33,'数据-取费表'!A9,'数据-汇总表'!E$19:E$33)</f>
        <v>46600.86</v>
      </c>
      <c r="L9" s="191">
        <v>9000</v>
      </c>
      <c r="M9" s="175">
        <f t="shared" si="0"/>
        <v>41941</v>
      </c>
      <c r="N9" s="192">
        <v>0</v>
      </c>
      <c r="O9" s="175">
        <f t="shared" si="3"/>
        <v>0</v>
      </c>
      <c r="P9" s="176">
        <f t="shared" si="4"/>
        <v>41941</v>
      </c>
      <c r="Q9" s="190">
        <v>0.15</v>
      </c>
      <c r="R9" s="177">
        <f>SUMIF('数据-汇总表'!C$19:C$33,A9,'数据-汇总表'!R$19:R$33)</f>
        <v>3431.73</v>
      </c>
      <c r="S9" s="132">
        <f>IF('数据-汇总表'!$I$17="按面积比例",SUMIF('数据-汇总表'!C$19:C$33,A9,'数据-汇总表'!K$19:K$33),SUMIF('数据-汇总表'!C$19:C$33,A9,'数据-汇总表'!N$19:N$33))</f>
        <v>3100.37</v>
      </c>
      <c r="T9" s="2113">
        <f t="shared" si="5"/>
        <v>2790</v>
      </c>
      <c r="U9" s="178">
        <v>1800</v>
      </c>
      <c r="V9" s="179">
        <v>0</v>
      </c>
      <c r="W9" s="179">
        <v>0.1</v>
      </c>
      <c r="X9" s="2200"/>
      <c r="Y9" s="180">
        <v>1</v>
      </c>
      <c r="Z9" s="181"/>
      <c r="AA9" s="174"/>
      <c r="AB9" s="174"/>
      <c r="AC9" s="2203"/>
      <c r="AD9" s="182"/>
      <c r="AE9" s="960">
        <f t="shared" ca="1" si="6"/>
        <v>35.35</v>
      </c>
      <c r="AF9" s="139"/>
      <c r="AG9" s="1196">
        <f t="shared" si="7"/>
        <v>0</v>
      </c>
      <c r="AH9" s="139">
        <f>1080</f>
        <v>1080</v>
      </c>
      <c r="AI9" s="185">
        <v>12</v>
      </c>
      <c r="AJ9" s="186"/>
      <c r="AK9" s="187">
        <v>0.01</v>
      </c>
      <c r="AL9" s="188">
        <v>1.5E-3</v>
      </c>
      <c r="AM9" s="2752">
        <v>2.5000000000000001E-2</v>
      </c>
      <c r="AN9" s="2246" t="s">
        <v>3093</v>
      </c>
      <c r="AO9" s="3092"/>
      <c r="AP9" s="1187">
        <f t="shared" ca="1" si="8"/>
        <v>0.83299999999999996</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t="str">
        <f>'数据-汇总表'!C23</f>
        <v>地下仓储</v>
      </c>
      <c r="B10" s="2216" t="str">
        <f t="shared" si="1"/>
        <v>经营性</v>
      </c>
      <c r="C10" s="171" t="s">
        <v>3016</v>
      </c>
      <c r="D10" s="2187">
        <f>SUMIF(项目基本情况!D$15:I$15,C10,项目基本情况!D$18:I$18)</f>
        <v>50</v>
      </c>
      <c r="E10" s="2188">
        <f>IF(B10="","",SUMIF(项目基本情况!D$15:I$15,C10,项目基本情况!D$17:I$17))</f>
        <v>57032</v>
      </c>
      <c r="F10" s="172">
        <f>SUMIF(项目基本情况!D$15:I$15,C10,项目基本情况!D$19:I$19)</f>
        <v>35.35</v>
      </c>
      <c r="G10" s="173">
        <f t="shared" ca="1" si="2"/>
        <v>0.90500000000000003</v>
      </c>
      <c r="H10" s="2738">
        <f ca="1">H8</f>
        <v>5.1999999999999998E-2</v>
      </c>
      <c r="I10" s="2738">
        <v>5.5E-2</v>
      </c>
      <c r="J10" s="174">
        <v>0.08</v>
      </c>
      <c r="K10" s="177">
        <f>SUMIF('数据-汇总表'!C$19:C$33,'数据-取费表'!A10,'数据-汇总表'!E$19:E$33)</f>
        <v>3293.4</v>
      </c>
      <c r="L10" s="191">
        <f>L9</f>
        <v>9000</v>
      </c>
      <c r="M10" s="175">
        <f t="shared" si="0"/>
        <v>2964</v>
      </c>
      <c r="N10" s="192">
        <v>0</v>
      </c>
      <c r="O10" s="175">
        <f t="shared" si="3"/>
        <v>0</v>
      </c>
      <c r="P10" s="176">
        <f t="shared" si="4"/>
        <v>2964</v>
      </c>
      <c r="Q10" s="190">
        <v>0.15</v>
      </c>
      <c r="R10" s="177">
        <f>SUMIF('数据-汇总表'!C$19:C$33,A10,'数据-汇总表'!R$19:R$33)</f>
        <v>242.53</v>
      </c>
      <c r="S10" s="132">
        <f>IF('数据-汇总表'!$I$17="按面积比例",SUMIF('数据-汇总表'!C$19:C$33,A10,'数据-汇总表'!K$19:K$33),SUMIF('数据-汇总表'!C$19:C$33,A10,'数据-汇总表'!N$19:N$33))</f>
        <v>219.11</v>
      </c>
      <c r="T10" s="2113">
        <f t="shared" si="5"/>
        <v>197</v>
      </c>
      <c r="U10" s="178">
        <v>3</v>
      </c>
      <c r="V10" s="179">
        <f>V7</f>
        <v>1.4999999999999999E-2</v>
      </c>
      <c r="W10" s="179">
        <v>0.1</v>
      </c>
      <c r="X10" s="2200"/>
      <c r="Y10" s="180">
        <v>1</v>
      </c>
      <c r="Z10" s="181"/>
      <c r="AA10" s="174"/>
      <c r="AB10" s="174"/>
      <c r="AC10" s="2203"/>
      <c r="AD10" s="182"/>
      <c r="AE10" s="960">
        <f t="shared" ca="1" si="6"/>
        <v>35.35</v>
      </c>
      <c r="AF10" s="139"/>
      <c r="AG10" s="1196">
        <f t="shared" si="7"/>
        <v>0</v>
      </c>
      <c r="AH10" s="139"/>
      <c r="AI10" s="185">
        <v>365</v>
      </c>
      <c r="AJ10" s="186"/>
      <c r="AK10" s="187">
        <v>0.01</v>
      </c>
      <c r="AL10" s="188">
        <v>1.5E-3</v>
      </c>
      <c r="AM10" s="2752">
        <v>2.5000000000000001E-2</v>
      </c>
      <c r="AN10" s="2246" t="s">
        <v>3095</v>
      </c>
      <c r="AO10" s="3092"/>
      <c r="AP10" s="1187">
        <f t="shared" ca="1" si="8"/>
        <v>0.83299999999999996</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t="str">
        <f>'数据-汇总表'!C24</f>
        <v>地下车库（销售）</v>
      </c>
      <c r="B11" s="2216" t="str">
        <f t="shared" si="1"/>
        <v>经营性</v>
      </c>
      <c r="C11" s="171" t="s">
        <v>3058</v>
      </c>
      <c r="D11" s="2187">
        <f>SUMIF(项目基本情况!D$15:I$15,C11,项目基本情况!D$18:I$18)</f>
        <v>50</v>
      </c>
      <c r="E11" s="2188">
        <f>IF(B11="","",SUMIF(项目基本情况!D$15:I$15,C11,项目基本情况!D$17:I$17))</f>
        <v>57032</v>
      </c>
      <c r="F11" s="172">
        <f>SUMIF(项目基本情况!D$15:I$15,C11,项目基本情况!D$19:I$19)</f>
        <v>35.35</v>
      </c>
      <c r="G11" s="173">
        <f t="shared" ca="1" si="2"/>
        <v>0.90500000000000003</v>
      </c>
      <c r="H11" s="174">
        <f ca="1">H8</f>
        <v>5.1999999999999998E-2</v>
      </c>
      <c r="I11" s="174">
        <v>5.5E-2</v>
      </c>
      <c r="J11" s="174">
        <v>0.08</v>
      </c>
      <c r="K11" s="177">
        <f>SUMIF('数据-汇总表'!C$19:C$33,'数据-取费表'!A11,'数据-汇总表'!E$19:E$33)</f>
        <v>4271.75</v>
      </c>
      <c r="L11" s="191">
        <f>L9</f>
        <v>9000</v>
      </c>
      <c r="M11" s="175">
        <f t="shared" si="0"/>
        <v>3845</v>
      </c>
      <c r="N11" s="192">
        <v>0</v>
      </c>
      <c r="O11" s="175">
        <f t="shared" si="3"/>
        <v>0</v>
      </c>
      <c r="P11" s="176">
        <f t="shared" si="4"/>
        <v>3845</v>
      </c>
      <c r="Q11" s="190">
        <f>Q9</f>
        <v>0.15</v>
      </c>
      <c r="R11" s="177">
        <f>SUMIF('数据-汇总表'!C$19:C$33,A11,'数据-汇总表'!R$19:R$33)</f>
        <v>314.57</v>
      </c>
      <c r="S11" s="132">
        <f>IF('数据-汇总表'!$I$17="按面积比例",SUMIF('数据-汇总表'!C$19:C$33,A11,'数据-汇总表'!K$19:K$33),SUMIF('数据-汇总表'!C$19:C$33,A11,'数据-汇总表'!N$19:N$33))</f>
        <v>284.2</v>
      </c>
      <c r="T11" s="2113">
        <f t="shared" si="5"/>
        <v>256</v>
      </c>
      <c r="U11" s="183"/>
      <c r="V11" s="174"/>
      <c r="W11" s="174"/>
      <c r="X11" s="2203"/>
      <c r="Y11" s="180">
        <v>1</v>
      </c>
      <c r="Z11" s="193"/>
      <c r="AA11" s="174"/>
      <c r="AB11" s="174"/>
      <c r="AC11" s="2203"/>
      <c r="AD11" s="182"/>
      <c r="AE11" s="960">
        <f t="shared" ca="1" si="6"/>
        <v>0</v>
      </c>
      <c r="AF11" s="139"/>
      <c r="AG11" s="1196">
        <f t="shared" si="7"/>
        <v>0</v>
      </c>
      <c r="AH11" s="139">
        <v>99</v>
      </c>
      <c r="AI11" s="185"/>
      <c r="AJ11" s="186"/>
      <c r="AK11" s="194">
        <f>AK9</f>
        <v>0.01</v>
      </c>
      <c r="AL11" s="195">
        <f>AL9</f>
        <v>1.5E-3</v>
      </c>
      <c r="AM11" s="1731">
        <f>AM9</f>
        <v>2.5000000000000001E-2</v>
      </c>
      <c r="AN11" s="2246"/>
      <c r="AO11" s="3092"/>
      <c r="AP11" s="1187">
        <f t="shared" ca="1" si="8"/>
        <v>0.83299999999999996</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2300</v>
      </c>
      <c r="B14" s="2185" t="s">
        <v>1670</v>
      </c>
      <c r="C14" s="2186" t="s">
        <v>2300</v>
      </c>
      <c r="D14" s="2187"/>
      <c r="E14" s="2188"/>
      <c r="F14" s="172"/>
      <c r="G14" s="173"/>
      <c r="H14" s="2189"/>
      <c r="I14" s="2189"/>
      <c r="J14" s="2189"/>
      <c r="K14" s="177">
        <f>SUMIF('数据-汇总表'!C$19:C$33,'数据-取费表'!A14,'数据-汇总表'!E$19:E$33)</f>
        <v>17069.41</v>
      </c>
      <c r="L14" s="191">
        <f>L10</f>
        <v>9000</v>
      </c>
      <c r="M14" s="175">
        <f t="shared" si="0"/>
        <v>15362</v>
      </c>
      <c r="N14" s="192">
        <v>0</v>
      </c>
      <c r="O14" s="175">
        <f t="shared" si="3"/>
        <v>0</v>
      </c>
      <c r="P14" s="176">
        <f t="shared" si="4"/>
        <v>15362</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2302</v>
      </c>
      <c r="B15" s="2185" t="s">
        <v>1670</v>
      </c>
      <c r="C15" s="2186" t="s">
        <v>2301</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 ca="1">ROUND(SUMPRODUCT(G6:G13,K6:K13)/SUMPRODUCT((G6:G13&gt;0)*(K6:K13)),3)</f>
        <v>0.90800000000000003</v>
      </c>
      <c r="H16" s="201">
        <f ca="1">ROUND(SUMPRODUCT(H6:H13,K6:K13)/SUMPRODUCT((H6:H13&gt;0)*(K6:K13)),3)</f>
        <v>5.1999999999999998E-2</v>
      </c>
      <c r="I16" s="202"/>
      <c r="J16" s="202"/>
      <c r="K16" s="203">
        <f>SUM(K6:K15)</f>
        <v>273635.53999999998</v>
      </c>
      <c r="L16" s="204">
        <f>ROUND(M16*10000/SUM(K6:K14),0)</f>
        <v>12193</v>
      </c>
      <c r="M16" s="204">
        <f>SUM(M6:M14)</f>
        <v>333643</v>
      </c>
      <c r="N16" s="205">
        <f>ROUND(SUMPRODUCT(M6:M14,N6:N14)/M16,3)</f>
        <v>0</v>
      </c>
      <c r="O16" s="204">
        <f>SUM(O6:O14)</f>
        <v>0</v>
      </c>
      <c r="P16" s="204">
        <f>SUM(P6:P14)</f>
        <v>333643</v>
      </c>
      <c r="Q16" s="206">
        <f>ROUND(SUMPRODUCT(Q6:Q13,K6:K13)/SUMPRODUCT((Q6:Q13&gt;0)*(K6:K13)),2)</f>
        <v>0.27</v>
      </c>
      <c r="R16" s="2190">
        <f>SUM(R6:R13)</f>
        <v>18893.75</v>
      </c>
      <c r="S16" s="207">
        <f>SUM(S6:S13)</f>
        <v>17069.41</v>
      </c>
      <c r="T16" s="208">
        <f>IF(SUMIF(T6:T13,"&lt;9E307")=M14,SUMIF(T6:T13,"&lt;9E307"),"有误，请检查")</f>
        <v>15362</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 ca="1">ROUND(SUMPRODUCT(AP6:AP13,K6:K13)/SUMPRODUCT((AP6:AP13&gt;0)*(K6:K13)),3)</f>
        <v>0.83899999999999997</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322" t="s">
        <v>3226</v>
      </c>
      <c r="V17" s="3323" t="s">
        <v>3224</v>
      </c>
      <c r="W17" s="3324" t="s">
        <v>3225</v>
      </c>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325" t="s">
        <v>3222</v>
      </c>
      <c r="V18" s="3326">
        <v>15</v>
      </c>
      <c r="W18" s="3327">
        <f>'数据-汇总表'!F20</f>
        <v>6312</v>
      </c>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2982</v>
      </c>
      <c r="D19" s="3093"/>
      <c r="E19" s="3092"/>
      <c r="F19" s="3092"/>
      <c r="G19" s="3092"/>
      <c r="H19" s="3092"/>
      <c r="I19" s="3092"/>
      <c r="J19" s="3092"/>
      <c r="K19" s="3091"/>
      <c r="L19" s="3091"/>
      <c r="M19" s="3089"/>
      <c r="N19" s="3089"/>
      <c r="O19" s="3089"/>
      <c r="P19" s="3089"/>
      <c r="Q19" s="3089"/>
      <c r="R19" s="3089"/>
      <c r="S19" s="3089"/>
      <c r="T19" s="3089"/>
      <c r="U19" s="3325" t="s">
        <v>3223</v>
      </c>
      <c r="V19" s="3326">
        <f>V18*0.8</f>
        <v>12</v>
      </c>
      <c r="W19" s="3327">
        <f>'数据-汇总表'!G20</f>
        <v>11600.12</v>
      </c>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5" thickBot="1">
      <c r="A20" s="217" t="s">
        <v>265</v>
      </c>
      <c r="B20" s="218">
        <v>5</v>
      </c>
      <c r="C20" s="3104" t="s">
        <v>2321</v>
      </c>
      <c r="D20" s="3093"/>
      <c r="E20" s="3092"/>
      <c r="F20" s="3092"/>
      <c r="G20" s="3092"/>
      <c r="H20" s="3092"/>
      <c r="I20" s="3092"/>
      <c r="J20" s="3092"/>
      <c r="K20" s="3091"/>
      <c r="L20" s="3091"/>
      <c r="M20" s="3089"/>
      <c r="N20" s="3089"/>
      <c r="O20" s="3089"/>
      <c r="P20" s="3089"/>
      <c r="Q20" s="3089"/>
      <c r="R20" s="3089"/>
      <c r="S20" s="3089"/>
      <c r="T20" s="3089"/>
      <c r="U20" s="3330" t="s">
        <v>3227</v>
      </c>
      <c r="V20" s="3328">
        <f>ROUND((V18*W18+V19*W19)/(W18+W19),2)</f>
        <v>13.06</v>
      </c>
      <c r="W20" s="3329">
        <f>W18+W19</f>
        <v>17912.120000000003</v>
      </c>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2323</v>
      </c>
      <c r="B27" s="225">
        <v>160</v>
      </c>
      <c r="C27" s="3105" t="s">
        <v>2983</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2324</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2322</v>
      </c>
      <c r="B29" s="230">
        <f ca="1">'剩余法-待开发'!C22+'剩余法-待开发'!C21</f>
        <v>5339</v>
      </c>
      <c r="C29" s="3106" t="s">
        <v>2325</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8">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29">
        <v>0.03</v>
      </c>
      <c r="C33" s="3107" t="s">
        <v>2970</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2971</v>
      </c>
      <c r="D34" s="3108" t="s">
        <v>2979</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2972</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2973</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0.03</v>
      </c>
      <c r="C37" s="3107" t="s">
        <v>2974</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0.03</v>
      </c>
      <c r="C38" s="3107" t="s">
        <v>2974</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2436</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2437</v>
      </c>
      <c r="B40" s="2333">
        <f ca="1">存贷款利率!E2</f>
        <v>4.7500000000000001E-2</v>
      </c>
      <c r="C40" s="3107" t="s">
        <v>2975</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2980</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2976</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2977</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2984</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2976</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2978</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1087</v>
      </c>
      <c r="C53" s="3100" t="s">
        <v>2866</v>
      </c>
      <c r="D53" s="3111" t="s">
        <v>2981</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2867</v>
      </c>
      <c r="B54" s="184">
        <v>30</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2868</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2869</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2870</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2871</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2872</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2873</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2874</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2875</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2876</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18" priority="12" stopIfTrue="1" operator="containsText" text="自行计算">
      <formula>NOT(ISERROR(SEARCH("自行计算",T6)))</formula>
    </cfRule>
    <cfRule type="containsText" dxfId="217" priority="13" stopIfTrue="1" operator="containsText" text="自行计算">
      <formula>NOT(ISERROR(SEARCH("自行计算",T6)))</formula>
    </cfRule>
  </conditionalFormatting>
  <conditionalFormatting sqref="T6:T13">
    <cfRule type="containsText" dxfId="216" priority="10" stopIfTrue="1" operator="containsText" text="自行计算">
      <formula>NOT(ISERROR(SEARCH("自行计算",T6)))</formula>
    </cfRule>
    <cfRule type="containsText" dxfId="215" priority="11" stopIfTrue="1" operator="containsText" text="自行计算">
      <formula>NOT(ISERROR(SEARCH("自行计算",T6)))</formula>
    </cfRule>
  </conditionalFormatting>
  <conditionalFormatting sqref="T12:T13">
    <cfRule type="containsText" dxfId="214" priority="4" stopIfTrue="1" operator="containsText" text="自行计算">
      <formula>NOT(ISERROR(SEARCH("自行计算",T12)))</formula>
    </cfRule>
    <cfRule type="containsText" dxfId="213" priority="5" stopIfTrue="1" operator="containsText" text="自行计算">
      <formula>NOT(ISERROR(SEARCH("自行计算",T12)))</formula>
    </cfRule>
  </conditionalFormatting>
  <conditionalFormatting sqref="T12:T13">
    <cfRule type="containsText" dxfId="212" priority="2" stopIfTrue="1" operator="containsText" text="自行计算">
      <formula>NOT(ISERROR(SEARCH("自行计算",T12)))</formula>
    </cfRule>
    <cfRule type="containsText" dxfId="211" priority="3" stopIfTrue="1" operator="containsText" text="自行计算">
      <formula>NOT(ISERROR(SEARCH("自行计算",T12)))</formula>
    </cfRule>
  </conditionalFormatting>
  <conditionalFormatting sqref="T6:T15">
    <cfRule type="expression" dxfId="21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33" t="s">
        <v>1654</v>
      </c>
      <c r="B1" s="3434"/>
      <c r="C1" s="3434"/>
      <c r="D1" s="3434"/>
      <c r="E1" s="3434"/>
      <c r="F1" s="3434"/>
      <c r="G1" s="3434"/>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2883</v>
      </c>
      <c r="D3" s="3127"/>
      <c r="E3" s="3128" t="s">
        <v>1657</v>
      </c>
      <c r="F3" s="3129" t="s">
        <v>1645</v>
      </c>
      <c r="G3" s="3130" t="s">
        <v>2882</v>
      </c>
      <c r="H3" s="3123"/>
      <c r="I3" s="3123"/>
      <c r="J3" s="3123"/>
      <c r="K3" s="3123"/>
      <c r="L3" s="3123"/>
      <c r="M3" s="3123"/>
      <c r="N3" s="3123"/>
      <c r="O3" s="3123"/>
      <c r="P3" s="3123"/>
      <c r="Q3" s="3123"/>
      <c r="R3" s="3123"/>
    </row>
    <row r="4" spans="1:18" ht="40.5">
      <c r="A4" s="3128"/>
      <c r="B4" s="3131" t="s">
        <v>1658</v>
      </c>
      <c r="C4" s="3132" t="s">
        <v>2884</v>
      </c>
      <c r="D4" s="3127"/>
      <c r="E4" s="3133"/>
      <c r="F4" s="3134" t="s">
        <v>1659</v>
      </c>
      <c r="G4" s="3135" t="s">
        <v>2879</v>
      </c>
      <c r="H4" s="3123"/>
      <c r="I4" s="3123"/>
      <c r="J4" s="3123"/>
      <c r="K4" s="3123"/>
      <c r="L4" s="3123"/>
      <c r="M4" s="3123"/>
      <c r="N4" s="3123"/>
      <c r="O4" s="3123"/>
      <c r="P4" s="3123"/>
      <c r="Q4" s="3123"/>
      <c r="R4" s="3123"/>
    </row>
    <row r="5" spans="1:18" ht="41.25">
      <c r="A5" s="3128"/>
      <c r="B5" s="3131" t="s">
        <v>1660</v>
      </c>
      <c r="C5" s="3132" t="s">
        <v>2885</v>
      </c>
      <c r="D5" s="3127"/>
      <c r="E5" s="3133"/>
      <c r="F5" s="3131" t="s">
        <v>2526</v>
      </c>
      <c r="G5" s="3135" t="s">
        <v>2880</v>
      </c>
      <c r="H5" s="3123"/>
      <c r="I5" s="3123"/>
      <c r="J5" s="3123"/>
      <c r="K5" s="3123"/>
      <c r="L5" s="3123"/>
      <c r="M5" s="3123"/>
      <c r="N5" s="3123"/>
      <c r="O5" s="3123"/>
      <c r="P5" s="3123"/>
      <c r="Q5" s="3123"/>
      <c r="R5" s="3123"/>
    </row>
    <row r="6" spans="1:18" ht="40.5">
      <c r="A6" s="3128"/>
      <c r="B6" s="3131" t="s">
        <v>1646</v>
      </c>
      <c r="C6" s="3135" t="s">
        <v>2879</v>
      </c>
      <c r="D6" s="3127"/>
      <c r="E6" s="3133"/>
      <c r="F6" s="3131" t="s">
        <v>2527</v>
      </c>
      <c r="G6" s="3135" t="s">
        <v>2877</v>
      </c>
      <c r="H6" s="3123"/>
      <c r="I6" s="3123"/>
      <c r="J6" s="3123"/>
      <c r="K6" s="3123"/>
      <c r="L6" s="3123"/>
      <c r="M6" s="3123"/>
      <c r="N6" s="3123"/>
      <c r="O6" s="3123"/>
      <c r="P6" s="3123"/>
      <c r="Q6" s="3123"/>
      <c r="R6" s="3123"/>
    </row>
    <row r="7" spans="1:18" ht="27.75" thickBot="1">
      <c r="A7" s="3128"/>
      <c r="B7" s="3131" t="s">
        <v>2526</v>
      </c>
      <c r="C7" s="3135" t="s">
        <v>2880</v>
      </c>
      <c r="D7" s="3136"/>
      <c r="E7" s="3137"/>
      <c r="F7" s="3138" t="s">
        <v>1661</v>
      </c>
      <c r="G7" s="3139" t="s">
        <v>2881</v>
      </c>
      <c r="H7" s="3123"/>
      <c r="I7" s="3123"/>
      <c r="J7" s="3123"/>
      <c r="K7" s="3123"/>
      <c r="L7" s="3123"/>
      <c r="M7" s="3123"/>
      <c r="N7" s="3123"/>
      <c r="O7" s="3123"/>
      <c r="P7" s="3123"/>
      <c r="Q7" s="3123"/>
      <c r="R7" s="3123"/>
    </row>
    <row r="8" spans="1:18">
      <c r="A8" s="3128"/>
      <c r="B8" s="3131" t="s">
        <v>2527</v>
      </c>
      <c r="C8" s="3135" t="s">
        <v>2877</v>
      </c>
      <c r="D8" s="3136"/>
      <c r="E8" s="3136"/>
      <c r="F8" s="3140"/>
      <c r="G8" s="3140"/>
      <c r="H8" s="3123"/>
      <c r="I8" s="3123"/>
      <c r="J8" s="3123"/>
      <c r="K8" s="3123"/>
      <c r="L8" s="3123"/>
      <c r="M8" s="3123"/>
      <c r="N8" s="3123"/>
      <c r="O8" s="3123"/>
      <c r="P8" s="3123"/>
      <c r="Q8" s="3123"/>
      <c r="R8" s="3123"/>
    </row>
    <row r="9" spans="1:18" ht="27">
      <c r="A9" s="3128"/>
      <c r="B9" s="3131" t="s">
        <v>1647</v>
      </c>
      <c r="C9" s="3132" t="s">
        <v>2878</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2526</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2527</v>
      </c>
      <c r="G20" s="3175" t="str">
        <f>G6</f>
        <v>估价对象所在区域基础设施水平</v>
      </c>
    </row>
    <row r="21" spans="1:7" ht="27">
      <c r="A21" s="3170"/>
      <c r="B21" s="3131" t="s">
        <v>2526</v>
      </c>
      <c r="C21" s="3175" t="str">
        <f>C7</f>
        <v>估价对象所在区域公共配套设施齐备情况</v>
      </c>
      <c r="D21" s="3127"/>
      <c r="E21" s="3173"/>
      <c r="F21" s="3174" t="s">
        <v>1652</v>
      </c>
      <c r="G21" s="3177"/>
    </row>
    <row r="22" spans="1:7" ht="14.25">
      <c r="A22" s="3170"/>
      <c r="B22" s="3131" t="s">
        <v>2527</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2821</v>
      </c>
      <c r="B1" s="3185">
        <f>SUM(B14:B23)</f>
        <v>273635.53999999998</v>
      </c>
      <c r="C1" s="3194"/>
      <c r="D1" s="3194"/>
      <c r="E1" s="3194"/>
      <c r="F1" s="3194"/>
      <c r="G1" s="3195"/>
      <c r="H1" s="3195"/>
      <c r="I1" s="3195"/>
      <c r="J1" s="3195"/>
    </row>
    <row r="2" spans="1:10" ht="16.5">
      <c r="A2" s="3185" t="s">
        <v>2822</v>
      </c>
      <c r="B2" s="3185">
        <f>SUM(C14:C23)</f>
        <v>18893.75</v>
      </c>
      <c r="C2" s="3194"/>
      <c r="D2" s="3194"/>
      <c r="E2" s="3194"/>
      <c r="F2" s="3194"/>
      <c r="G2" s="3195"/>
      <c r="H2" s="3195"/>
      <c r="I2" s="3195"/>
      <c r="J2" s="3195"/>
    </row>
    <row r="3" spans="1:10" ht="16.5">
      <c r="A3" s="3185" t="s">
        <v>2823</v>
      </c>
      <c r="B3" s="3187">
        <f>项目基本情况!D3</f>
        <v>44127</v>
      </c>
      <c r="C3" s="3194"/>
      <c r="D3" s="3194"/>
      <c r="E3" s="3194"/>
      <c r="F3" s="3194"/>
      <c r="G3" s="3195"/>
      <c r="H3" s="3195"/>
      <c r="I3" s="3195"/>
      <c r="J3" s="3195"/>
    </row>
    <row r="4" spans="1:10" ht="33">
      <c r="A4" s="3185" t="s">
        <v>2824</v>
      </c>
      <c r="B4" s="3185" t="s">
        <v>2825</v>
      </c>
      <c r="C4" s="3185" t="s">
        <v>2826</v>
      </c>
      <c r="D4" s="3185" t="s">
        <v>2827</v>
      </c>
      <c r="E4" s="3194"/>
      <c r="F4" s="3194"/>
      <c r="G4" s="3195"/>
      <c r="H4" s="3195"/>
      <c r="I4" s="3195"/>
      <c r="J4" s="3195"/>
    </row>
    <row r="5" spans="1:10" ht="16.5">
      <c r="A5" s="3185" t="s">
        <v>2828</v>
      </c>
      <c r="B5" s="3185">
        <f ca="1">SUM(D14:D23)</f>
        <v>654587</v>
      </c>
      <c r="C5" s="3185">
        <f ca="1">ROUND(B5*10000/$B$1,0)</f>
        <v>23922</v>
      </c>
      <c r="D5" s="3185">
        <f ca="1">ROUND(B5*10000/$B$2,0)</f>
        <v>346457</v>
      </c>
      <c r="E5" s="3194"/>
      <c r="F5" s="3194"/>
      <c r="G5" s="3195"/>
      <c r="H5" s="3195"/>
      <c r="I5" s="3195"/>
      <c r="J5" s="3195"/>
    </row>
    <row r="6" spans="1:10" ht="16.5">
      <c r="A6" s="3185" t="s">
        <v>2829</v>
      </c>
      <c r="B6" s="3185">
        <f ca="1">SUM(G14:G23)</f>
        <v>649766</v>
      </c>
      <c r="C6" s="3185">
        <f t="shared" ref="C6:C8" ca="1" si="0">ROUND(B6*10000/$B$1,0)</f>
        <v>23746</v>
      </c>
      <c r="D6" s="3185">
        <f t="shared" ref="D6:D8" ca="1" si="1">ROUND(B6*10000/$B$2,0)</f>
        <v>343905</v>
      </c>
      <c r="E6" s="3194"/>
      <c r="F6" s="3194"/>
      <c r="G6" s="3195"/>
      <c r="H6" s="3195"/>
      <c r="I6" s="3195"/>
      <c r="J6" s="3195"/>
    </row>
    <row r="7" spans="1:10" ht="16.5">
      <c r="A7" s="3185" t="s">
        <v>2830</v>
      </c>
      <c r="B7" s="3185">
        <f>SUM(H14:H23)</f>
        <v>0</v>
      </c>
      <c r="C7" s="3185">
        <f t="shared" si="0"/>
        <v>0</v>
      </c>
      <c r="D7" s="3185">
        <f t="shared" si="1"/>
        <v>0</v>
      </c>
      <c r="E7" s="3194"/>
      <c r="F7" s="3194"/>
      <c r="G7" s="3195"/>
      <c r="H7" s="3195"/>
      <c r="I7" s="3195"/>
      <c r="J7" s="3195"/>
    </row>
    <row r="8" spans="1:10" ht="16.5">
      <c r="A8" s="3185" t="s">
        <v>2831</v>
      </c>
      <c r="B8" s="3185">
        <f>SUM(I14:I23)</f>
        <v>0</v>
      </c>
      <c r="C8" s="3185">
        <f t="shared" si="0"/>
        <v>0</v>
      </c>
      <c r="D8" s="3185">
        <f t="shared" si="1"/>
        <v>0</v>
      </c>
      <c r="E8" s="3194"/>
      <c r="F8" s="3194"/>
      <c r="G8" s="3195"/>
      <c r="H8" s="3195"/>
      <c r="I8" s="3195"/>
      <c r="J8" s="3195"/>
    </row>
    <row r="9" spans="1:10" ht="16.5">
      <c r="A9" s="3185" t="s">
        <v>2832</v>
      </c>
      <c r="B9" s="3193"/>
      <c r="C9" s="3194"/>
      <c r="D9" s="3194"/>
      <c r="E9" s="3194"/>
      <c r="F9" s="3194"/>
      <c r="G9" s="3195"/>
      <c r="H9" s="3195"/>
      <c r="I9" s="3195"/>
      <c r="J9" s="3195"/>
    </row>
    <row r="10" spans="1:10" ht="16.5">
      <c r="A10" s="3185" t="s">
        <v>2833</v>
      </c>
      <c r="B10" s="3193"/>
      <c r="C10" s="3194"/>
      <c r="D10" s="3194"/>
      <c r="E10" s="3194"/>
      <c r="F10" s="3194"/>
      <c r="G10" s="3195"/>
      <c r="H10" s="3195"/>
      <c r="I10" s="3195"/>
      <c r="J10" s="3195"/>
    </row>
    <row r="11" spans="1:10" ht="16.5">
      <c r="A11" s="3185" t="s">
        <v>2850</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2849</v>
      </c>
      <c r="B13" s="3189" t="s">
        <v>2821</v>
      </c>
      <c r="C13" s="3189" t="s">
        <v>2822</v>
      </c>
      <c r="D13" s="3189" t="s">
        <v>2834</v>
      </c>
      <c r="E13" s="3185" t="s">
        <v>2848</v>
      </c>
      <c r="F13" s="3185" t="s">
        <v>2827</v>
      </c>
      <c r="G13" s="3189" t="s">
        <v>2835</v>
      </c>
      <c r="H13" s="3189" t="s">
        <v>2836</v>
      </c>
      <c r="I13" s="3189" t="s">
        <v>2837</v>
      </c>
      <c r="J13" s="3195"/>
    </row>
    <row r="14" spans="1:10" ht="16.5">
      <c r="A14" s="3190" t="s">
        <v>2847</v>
      </c>
      <c r="B14" s="3191">
        <f>结果表!L38</f>
        <v>273635.53999999998</v>
      </c>
      <c r="C14" s="3191">
        <f>结果表!K38</f>
        <v>18893.75</v>
      </c>
      <c r="D14" s="3191">
        <f ca="1">结果表!C42</f>
        <v>654587</v>
      </c>
      <c r="E14" s="3191">
        <f ca="1">ROUND(D14*10000/B14,0)</f>
        <v>23922</v>
      </c>
      <c r="F14" s="3191">
        <f ca="1">ROUND(D14*10000/C14,0)</f>
        <v>346457</v>
      </c>
      <c r="G14" s="3191">
        <f ca="1">结果表!C44</f>
        <v>649766</v>
      </c>
      <c r="H14" s="3191" t="str">
        <f>结果表!C45</f>
        <v>——</v>
      </c>
      <c r="I14" s="3191" t="str">
        <f>结果表!C46</f>
        <v>——</v>
      </c>
      <c r="J14" s="3195"/>
    </row>
    <row r="15" spans="1:10" ht="16.5">
      <c r="A15" s="3190" t="s">
        <v>2838</v>
      </c>
      <c r="B15" s="3192"/>
      <c r="C15" s="3192"/>
      <c r="D15" s="3192"/>
      <c r="E15" s="3191" t="e">
        <f t="shared" ref="E15:E23" si="2">ROUND(D15*10000/B15,0)</f>
        <v>#DIV/0!</v>
      </c>
      <c r="F15" s="3191" t="e">
        <f t="shared" ref="F15:F23" si="3">ROUND(D15*10000/C15,0)</f>
        <v>#DIV/0!</v>
      </c>
      <c r="G15" s="2757"/>
      <c r="H15" s="2757"/>
      <c r="I15" s="3192"/>
      <c r="J15" s="3195"/>
    </row>
    <row r="16" spans="1:10" ht="16.5">
      <c r="A16" s="3190" t="s">
        <v>2839</v>
      </c>
      <c r="B16" s="3192"/>
      <c r="C16" s="3192"/>
      <c r="D16" s="3192"/>
      <c r="E16" s="3191" t="e">
        <f t="shared" si="2"/>
        <v>#DIV/0!</v>
      </c>
      <c r="F16" s="3191" t="e">
        <f t="shared" si="3"/>
        <v>#DIV/0!</v>
      </c>
      <c r="G16" s="2757"/>
      <c r="H16" s="2757"/>
      <c r="I16" s="3192"/>
      <c r="J16" s="3195"/>
    </row>
    <row r="17" spans="1:10" ht="16.5">
      <c r="A17" s="3190" t="s">
        <v>2840</v>
      </c>
      <c r="B17" s="3192"/>
      <c r="C17" s="3192"/>
      <c r="D17" s="3192"/>
      <c r="E17" s="3191" t="e">
        <f t="shared" si="2"/>
        <v>#DIV/0!</v>
      </c>
      <c r="F17" s="3191" t="e">
        <f t="shared" si="3"/>
        <v>#DIV/0!</v>
      </c>
      <c r="G17" s="2757"/>
      <c r="H17" s="2757"/>
      <c r="I17" s="3192"/>
      <c r="J17" s="3195"/>
    </row>
    <row r="18" spans="1:10" ht="16.5">
      <c r="A18" s="3190" t="s">
        <v>2841</v>
      </c>
      <c r="B18" s="3192"/>
      <c r="C18" s="3192"/>
      <c r="D18" s="3192"/>
      <c r="E18" s="3191" t="e">
        <f t="shared" si="2"/>
        <v>#DIV/0!</v>
      </c>
      <c r="F18" s="3191" t="e">
        <f t="shared" si="3"/>
        <v>#DIV/0!</v>
      </c>
      <c r="G18" s="3192"/>
      <c r="H18" s="3192"/>
      <c r="I18" s="3192"/>
      <c r="J18" s="3195"/>
    </row>
    <row r="19" spans="1:10" ht="16.5">
      <c r="A19" s="3190" t="s">
        <v>2842</v>
      </c>
      <c r="B19" s="3192"/>
      <c r="C19" s="3192"/>
      <c r="D19" s="3192"/>
      <c r="E19" s="3191" t="e">
        <f t="shared" si="2"/>
        <v>#DIV/0!</v>
      </c>
      <c r="F19" s="3191" t="e">
        <f t="shared" si="3"/>
        <v>#DIV/0!</v>
      </c>
      <c r="G19" s="3192"/>
      <c r="H19" s="3192"/>
      <c r="I19" s="3192"/>
      <c r="J19" s="3195"/>
    </row>
    <row r="20" spans="1:10" ht="16.5">
      <c r="A20" s="3190" t="s">
        <v>2843</v>
      </c>
      <c r="B20" s="3192"/>
      <c r="C20" s="3192"/>
      <c r="D20" s="3192"/>
      <c r="E20" s="3191" t="e">
        <f t="shared" si="2"/>
        <v>#DIV/0!</v>
      </c>
      <c r="F20" s="3191" t="e">
        <f t="shared" si="3"/>
        <v>#DIV/0!</v>
      </c>
      <c r="G20" s="3192"/>
      <c r="H20" s="3192"/>
      <c r="I20" s="3192"/>
      <c r="J20" s="3195"/>
    </row>
    <row r="21" spans="1:10" ht="16.5">
      <c r="A21" s="3190" t="s">
        <v>2844</v>
      </c>
      <c r="B21" s="3192"/>
      <c r="C21" s="3192"/>
      <c r="D21" s="3192"/>
      <c r="E21" s="3191" t="e">
        <f t="shared" si="2"/>
        <v>#DIV/0!</v>
      </c>
      <c r="F21" s="3191" t="e">
        <f t="shared" si="3"/>
        <v>#DIV/0!</v>
      </c>
      <c r="G21" s="3192"/>
      <c r="H21" s="3192"/>
      <c r="I21" s="3192"/>
      <c r="J21" s="3195"/>
    </row>
    <row r="22" spans="1:10" ht="16.5">
      <c r="A22" s="3190" t="s">
        <v>2845</v>
      </c>
      <c r="B22" s="3192"/>
      <c r="C22" s="3192"/>
      <c r="D22" s="3192"/>
      <c r="E22" s="3191" t="e">
        <f t="shared" si="2"/>
        <v>#DIV/0!</v>
      </c>
      <c r="F22" s="3191" t="e">
        <f t="shared" si="3"/>
        <v>#DIV/0!</v>
      </c>
      <c r="G22" s="3192"/>
      <c r="H22" s="3192"/>
      <c r="I22" s="3192"/>
      <c r="J22" s="3195"/>
    </row>
    <row r="23" spans="1:10" ht="16.5">
      <c r="A23" s="3190" t="s">
        <v>2846</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5" zoomScaleNormal="100" zoomScaleSheetLayoutView="100" zoomScalePageLayoutView="80" workbookViewId="0">
      <selection activeCell="H26" sqref="H2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2042</v>
      </c>
      <c r="B1" s="1691"/>
      <c r="C1" s="1719" t="s">
        <v>2043</v>
      </c>
      <c r="D1" s="1720" t="s">
        <v>3108</v>
      </c>
      <c r="E1" s="1719" t="s">
        <v>2044</v>
      </c>
      <c r="F1" s="1721" t="s">
        <v>3109</v>
      </c>
      <c r="G1" s="309"/>
      <c r="H1" s="309"/>
      <c r="I1" s="309"/>
      <c r="J1" s="1911"/>
      <c r="K1" s="1911"/>
      <c r="L1" s="1911"/>
      <c r="M1" s="1911"/>
      <c r="N1" s="1911"/>
      <c r="O1" s="1911"/>
      <c r="P1" s="1911"/>
      <c r="Q1" s="1911"/>
      <c r="R1" s="1911"/>
      <c r="S1" s="1911"/>
      <c r="T1" s="1911"/>
      <c r="U1" s="1911"/>
      <c r="V1" s="1911"/>
    </row>
    <row r="2" spans="1:22" ht="21.75" customHeight="1" thickBot="1">
      <c r="A2" s="3479" t="str">
        <f>项目基本情况!K2</f>
        <v>北京市朝阳区关东店北京世纪城市南地块1#、2#公寓及会所一宗住宅（公寓）、商业用地及关东店北京世纪城市南地块办公楼及裙房商业一宗商业、办公用地出让国有建设用地使用权</v>
      </c>
      <c r="B2" s="3480"/>
      <c r="C2" s="3481"/>
      <c r="D2" s="3481"/>
      <c r="E2" s="3481"/>
      <c r="F2" s="3481"/>
      <c r="G2" s="3480"/>
      <c r="H2" s="3480"/>
      <c r="I2" s="3482"/>
      <c r="J2" s="1912"/>
      <c r="K2" s="1911"/>
      <c r="L2" s="1911"/>
      <c r="M2" s="1911"/>
      <c r="N2" s="1911"/>
      <c r="O2" s="1911"/>
      <c r="P2" s="1911"/>
      <c r="Q2" s="1911"/>
      <c r="R2" s="1911"/>
      <c r="S2" s="1911"/>
      <c r="T2" s="1911"/>
      <c r="U2" s="1911"/>
      <c r="V2" s="1911"/>
    </row>
    <row r="3" spans="1:22" ht="14.25">
      <c r="A3" s="3490" t="s">
        <v>298</v>
      </c>
      <c r="B3" s="3491"/>
      <c r="C3" s="3491"/>
      <c r="D3" s="3491"/>
      <c r="E3" s="3491"/>
      <c r="F3" s="3491"/>
      <c r="G3" s="3491"/>
      <c r="H3" s="3491"/>
      <c r="I3" s="3491"/>
      <c r="J3" s="1912"/>
      <c r="K3" s="1911"/>
      <c r="L3" s="1911"/>
      <c r="M3" s="1911"/>
      <c r="N3" s="1911"/>
      <c r="O3" s="1911"/>
      <c r="P3" s="1911"/>
      <c r="Q3" s="1911"/>
      <c r="R3" s="1911"/>
      <c r="S3" s="1911"/>
      <c r="T3" s="1911"/>
      <c r="U3" s="1911"/>
      <c r="V3" s="1911"/>
    </row>
    <row r="4" spans="1:22" ht="14.25">
      <c r="A4" s="256" t="s">
        <v>299</v>
      </c>
      <c r="B4" s="257" t="s">
        <v>300</v>
      </c>
      <c r="C4" s="258" t="s">
        <v>3229</v>
      </c>
      <c r="D4" s="258" t="s">
        <v>3107</v>
      </c>
      <c r="E4" s="3454" t="s">
        <v>301</v>
      </c>
      <c r="F4" s="3496"/>
      <c r="G4" s="3496"/>
      <c r="H4" s="3496"/>
      <c r="I4" s="3455"/>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83" t="s">
        <v>302</v>
      </c>
      <c r="B5" s="3484">
        <v>25</v>
      </c>
      <c r="C5" s="3492"/>
      <c r="D5" s="3495"/>
      <c r="E5" s="259" t="s">
        <v>303</v>
      </c>
      <c r="F5" s="260"/>
      <c r="G5" s="260"/>
      <c r="H5" s="260"/>
      <c r="I5" s="261"/>
      <c r="J5" s="1912"/>
      <c r="K5" s="1911"/>
      <c r="L5" s="1911"/>
      <c r="M5" s="1911"/>
      <c r="N5" s="1911"/>
      <c r="O5" s="1911"/>
      <c r="P5" s="1911"/>
      <c r="Q5" s="1911"/>
      <c r="R5" s="1911"/>
      <c r="S5" s="1911"/>
      <c r="T5" s="1911"/>
      <c r="U5" s="1911"/>
      <c r="V5" s="1911"/>
    </row>
    <row r="6" spans="1:22" ht="14.25">
      <c r="A6" s="3483"/>
      <c r="B6" s="3484"/>
      <c r="C6" s="3493"/>
      <c r="D6" s="3495"/>
      <c r="E6" s="259" t="s">
        <v>304</v>
      </c>
      <c r="F6" s="260"/>
      <c r="G6" s="260"/>
      <c r="H6" s="260"/>
      <c r="I6" s="261"/>
      <c r="J6" s="1912"/>
      <c r="K6" s="1911"/>
      <c r="L6" s="1911"/>
      <c r="M6" s="1911"/>
      <c r="N6" s="1911"/>
      <c r="O6" s="1911"/>
      <c r="P6" s="1911"/>
      <c r="Q6" s="1911"/>
      <c r="R6" s="1911"/>
      <c r="S6" s="1911"/>
      <c r="T6" s="1911"/>
      <c r="U6" s="1911"/>
      <c r="V6" s="1911"/>
    </row>
    <row r="7" spans="1:22" ht="14.25">
      <c r="A7" s="3483"/>
      <c r="B7" s="3484"/>
      <c r="C7" s="3494"/>
      <c r="D7" s="3495"/>
      <c r="E7" s="259" t="s">
        <v>305</v>
      </c>
      <c r="F7" s="260"/>
      <c r="G7" s="260"/>
      <c r="H7" s="260"/>
      <c r="I7" s="261"/>
      <c r="J7" s="1912"/>
      <c r="K7" s="1911"/>
      <c r="L7" s="1911"/>
      <c r="M7" s="1911"/>
      <c r="N7" s="1911"/>
      <c r="O7" s="1911"/>
      <c r="P7" s="1911"/>
      <c r="Q7" s="1911"/>
      <c r="R7" s="1911"/>
      <c r="S7" s="1911"/>
      <c r="T7" s="1911"/>
      <c r="U7" s="1911"/>
      <c r="V7" s="1911"/>
    </row>
    <row r="8" spans="1:22" ht="14.25">
      <c r="A8" s="3483" t="s">
        <v>306</v>
      </c>
      <c r="B8" s="3484">
        <v>15</v>
      </c>
      <c r="C8" s="3492"/>
      <c r="D8" s="3495"/>
      <c r="E8" s="259" t="s">
        <v>307</v>
      </c>
      <c r="F8" s="260"/>
      <c r="G8" s="260"/>
      <c r="H8" s="260"/>
      <c r="I8" s="261"/>
      <c r="J8" s="1912"/>
      <c r="K8" s="1911"/>
      <c r="L8" s="1911"/>
      <c r="M8" s="1911"/>
      <c r="N8" s="1911"/>
      <c r="O8" s="1911"/>
      <c r="P8" s="1911"/>
      <c r="Q8" s="1911"/>
      <c r="R8" s="1911"/>
      <c r="S8" s="1911"/>
      <c r="T8" s="1911"/>
      <c r="U8" s="1911"/>
      <c r="V8" s="1911"/>
    </row>
    <row r="9" spans="1:22" ht="14.25">
      <c r="A9" s="3483"/>
      <c r="B9" s="3484"/>
      <c r="C9" s="3494"/>
      <c r="D9" s="3495"/>
      <c r="E9" s="259" t="s">
        <v>308</v>
      </c>
      <c r="F9" s="260"/>
      <c r="G9" s="260"/>
      <c r="H9" s="260"/>
      <c r="I9" s="261"/>
      <c r="J9" s="1912"/>
      <c r="K9" s="1911"/>
      <c r="L9" s="1911"/>
      <c r="M9" s="1911"/>
      <c r="N9" s="1911"/>
      <c r="O9" s="1911"/>
      <c r="P9" s="1911"/>
      <c r="Q9" s="1911"/>
      <c r="R9" s="1911"/>
      <c r="S9" s="1911"/>
      <c r="T9" s="1911"/>
      <c r="U9" s="1911"/>
      <c r="V9" s="1911"/>
    </row>
    <row r="10" spans="1:22" ht="14.25">
      <c r="A10" s="3483" t="s">
        <v>309</v>
      </c>
      <c r="B10" s="3484">
        <v>15</v>
      </c>
      <c r="C10" s="3492"/>
      <c r="D10" s="349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83"/>
      <c r="B11" s="3484"/>
      <c r="C11" s="3494"/>
      <c r="D11" s="349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83" t="s">
        <v>312</v>
      </c>
      <c r="B12" s="3484">
        <v>15</v>
      </c>
      <c r="C12" s="3492"/>
      <c r="D12" s="349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83"/>
      <c r="B13" s="3484"/>
      <c r="C13" s="3494"/>
      <c r="D13" s="349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83" t="s">
        <v>315</v>
      </c>
      <c r="B14" s="3484">
        <v>30</v>
      </c>
      <c r="C14" s="3492">
        <v>5</v>
      </c>
      <c r="D14" s="3495">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83"/>
      <c r="B15" s="3484"/>
      <c r="C15" s="3493"/>
      <c r="D15" s="349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83"/>
      <c r="B16" s="3484"/>
      <c r="C16" s="3494"/>
      <c r="D16" s="349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97" t="s">
        <v>2958</v>
      </c>
      <c r="F18" s="3498"/>
      <c r="G18" s="3498"/>
      <c r="H18" s="3498"/>
      <c r="I18" s="3498"/>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788958</v>
      </c>
      <c r="D19" s="269">
        <f ca="1">SUMIF(INDIRECT("'"&amp;D4&amp;"'"&amp;"!A:A"),结果表!B19,INDIRECT("'"&amp;D4&amp;"'"&amp;"!B:B"))</f>
        <v>520216</v>
      </c>
      <c r="E19" s="266" t="s">
        <v>323</v>
      </c>
      <c r="F19" s="267" t="s">
        <v>322</v>
      </c>
      <c r="G19" s="270">
        <f ca="1">ROUND(C19*$C$18+D19*$D$18,0)</f>
        <v>654587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30751</v>
      </c>
      <c r="D20" s="275">
        <f ca="1">SUMIF(INDIRECT("'"&amp;D4&amp;"'"&amp;"!A:A"),结果表!B20,INDIRECT("'"&amp;D4&amp;"'"&amp;"!B:B"))</f>
        <v>19011</v>
      </c>
      <c r="E20" s="272"/>
      <c r="F20" s="273" t="s">
        <v>325</v>
      </c>
      <c r="G20" s="276">
        <f ca="1">ROUND(C20*$C$18+D20*$D$18,0)</f>
        <v>24881</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#DIV/0!</v>
      </c>
      <c r="D21" s="149">
        <f ca="1">SUMIF(INDIRECT("'"&amp;D4&amp;"'"&amp;"!A:A"),结果表!B21,INDIRECT("'"&amp;D4&amp;"'"&amp;"!B:B"))</f>
        <v>275338</v>
      </c>
      <c r="E21" s="272"/>
      <c r="F21" s="278" t="s">
        <v>327</v>
      </c>
      <c r="G21" s="280" t="e">
        <f ca="1">ROUND(C21*$C$18+D21*$D$18,0)</f>
        <v>#DIV/0!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0.51659695203530842</v>
      </c>
      <c r="E22" s="282"/>
      <c r="F22" s="283"/>
      <c r="G22" s="284">
        <f ca="1">ROUND(G19/('数据-汇总表'!D3/666.67),0)</f>
        <v>23097</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5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503"/>
      <c r="B25" s="1275" t="s">
        <v>331</v>
      </c>
      <c r="C25" s="288">
        <f>IF(B30=0,0,C30)</f>
        <v>0</v>
      </c>
      <c r="D25" s="289"/>
      <c r="E25" s="309"/>
      <c r="F25" s="309"/>
      <c r="G25" s="309"/>
      <c r="H25" s="309"/>
      <c r="I25" s="309"/>
      <c r="J25" s="1911"/>
      <c r="K25" s="1209" t="str">
        <f ca="1">项目基本情况!B16&amp;"国有建设用地使用权价格："&amp;O38&amp;"万元"</f>
        <v>出让国有建设用地使用权价格：654587万元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大写金额：人民币陆拾伍亿肆仟伍佰捌拾柒万元整</v>
      </c>
      <c r="L26" s="1206"/>
      <c r="M26" s="1206"/>
      <c r="N26" s="1206"/>
      <c r="O26" s="1205"/>
      <c r="P26" s="1911"/>
      <c r="Q26" s="1911"/>
      <c r="R26" s="1911"/>
      <c r="S26" s="1911"/>
      <c r="T26" s="1911"/>
      <c r="U26" s="1911"/>
      <c r="V26" s="1911"/>
      <c r="W26" s="290"/>
      <c r="X26" s="290"/>
      <c r="Y26" s="290"/>
      <c r="Z26" s="290"/>
    </row>
    <row r="27" spans="1:26" ht="18">
      <c r="A27" s="3655" t="s">
        <v>3270</v>
      </c>
      <c r="B27" s="292">
        <f>-面积清单!L26</f>
        <v>15628.61</v>
      </c>
      <c r="C27" s="292">
        <f ca="1">基准地价办公!G39</f>
        <v>2389</v>
      </c>
      <c r="D27" s="293">
        <f ca="1">ROUND(B27*C27*(1+3.05%)/10000,0)</f>
        <v>3848</v>
      </c>
      <c r="E27" s="309"/>
      <c r="F27" s="309"/>
      <c r="G27" s="309"/>
      <c r="H27" s="309"/>
      <c r="I27" s="309"/>
      <c r="J27" s="1911"/>
      <c r="K27" s="1212" t="str">
        <f ca="1">"单位面积地价："&amp;M38&amp;"元/平方米"</f>
        <v>单位面积地价：346457元/平方米</v>
      </c>
      <c r="L27" s="1206"/>
      <c r="M27" s="1206"/>
      <c r="N27" s="1206"/>
      <c r="O27" s="1205"/>
      <c r="P27" s="1911"/>
      <c r="Q27" s="1911"/>
      <c r="R27" s="1911"/>
      <c r="S27" s="1911"/>
      <c r="T27" s="1911"/>
      <c r="U27" s="1911"/>
      <c r="V27" s="1911"/>
    </row>
    <row r="28" spans="1:26" ht="18.75" customHeight="1">
      <c r="A28" s="3655" t="s">
        <v>3271</v>
      </c>
      <c r="B28" s="292">
        <f>基准地价办公!D38</f>
        <v>3293.4</v>
      </c>
      <c r="C28" s="292">
        <f ca="1">基准地价办公!G38</f>
        <v>2866</v>
      </c>
      <c r="D28" s="293">
        <f ca="1">ROUND(B28*C28*(1+3.05%)/10000,0)</f>
        <v>973</v>
      </c>
      <c r="E28" s="309"/>
      <c r="F28" s="309"/>
      <c r="G28" s="309"/>
      <c r="H28" s="309"/>
      <c r="I28" s="309"/>
      <c r="J28" s="1911"/>
      <c r="K28" s="1212" t="str">
        <f ca="1">"楼面地价："&amp;N38&amp;"元/平方米"</f>
        <v>楼面地价：23922元/平方米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抵押价格：649766万元</v>
      </c>
      <c r="L29" s="1206"/>
      <c r="M29" s="1206"/>
      <c r="N29" s="1206"/>
      <c r="O29" s="1205"/>
      <c r="P29" s="1911"/>
      <c r="V29" s="1911"/>
    </row>
    <row r="30" spans="1:26" ht="18.75" thickBot="1">
      <c r="A30" s="2800" t="s">
        <v>336</v>
      </c>
      <c r="B30" s="307"/>
      <c r="C30" s="307"/>
      <c r="D30" s="308">
        <f ca="1">D27+D28+D29</f>
        <v>4821</v>
      </c>
      <c r="E30" s="3003" t="s">
        <v>2959</v>
      </c>
      <c r="F30" s="309"/>
      <c r="G30" s="309"/>
      <c r="H30" s="309"/>
      <c r="I30" s="309"/>
      <c r="J30" s="1911"/>
      <c r="K30" s="1212" t="str">
        <f ca="1">IF(K29="——","——","大写金额：人民币"&amp;NUMBERSTRING(INT(O39*10000),2)&amp;"元整")</f>
        <v>大写金额：人民币陆拾肆亿玖仟柒佰陆拾陆万元整</v>
      </c>
      <c r="L30" s="1206"/>
      <c r="M30" s="1206"/>
      <c r="N30" s="1206"/>
      <c r="O30" s="1205"/>
      <c r="P30" s="1911"/>
      <c r="V30" s="1911"/>
    </row>
    <row r="31" spans="1:26" ht="24" customHeight="1" thickBot="1">
      <c r="A31" s="3499" t="s">
        <v>2960</v>
      </c>
      <c r="B31" s="3499"/>
      <c r="C31" s="3499"/>
      <c r="D31" s="3499"/>
      <c r="E31" s="3499"/>
      <c r="F31" s="3499"/>
      <c r="G31" s="3499"/>
      <c r="H31" s="3499"/>
      <c r="I31" s="3499"/>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1679</v>
      </c>
      <c r="C32" s="264">
        <f ca="1">G19-C24</f>
        <v>654587</v>
      </c>
      <c r="D32" s="3005"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1681</v>
      </c>
      <c r="C33" s="262">
        <f ca="1">ROUND(C32*10000/'数据-汇总表'!E3,0)</f>
        <v>23922</v>
      </c>
      <c r="D33" s="1333" t="s">
        <v>1682</v>
      </c>
      <c r="E33" s="3456"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4" t="s">
        <v>1683</v>
      </c>
      <c r="C34" s="262">
        <f ca="1">ROUND(C32*10000/'数据-汇总表'!D3,0)</f>
        <v>346457</v>
      </c>
      <c r="D34" s="1335" t="s">
        <v>1682</v>
      </c>
      <c r="E34" s="3457"/>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23097</v>
      </c>
      <c r="D35" s="1338" t="s">
        <v>1684</v>
      </c>
      <c r="E35" s="3458"/>
      <c r="F35" s="299" t="s">
        <v>342</v>
      </c>
      <c r="G35" s="970">
        <f ca="1">D30</f>
        <v>4821</v>
      </c>
      <c r="H35" s="969" t="s">
        <v>343</v>
      </c>
      <c r="I35" s="309"/>
      <c r="J35" s="1911"/>
      <c r="K35" s="3462" t="s">
        <v>350</v>
      </c>
      <c r="L35" s="3462" t="s">
        <v>351</v>
      </c>
      <c r="M35" s="1218" t="s">
        <v>352</v>
      </c>
      <c r="N35" s="3462" t="s">
        <v>353</v>
      </c>
      <c r="O35" s="3462" t="s">
        <v>354</v>
      </c>
      <c r="P35" s="1911"/>
      <c r="V35" s="1911"/>
    </row>
    <row r="36" spans="1:26" ht="16.5" customHeight="1">
      <c r="A36" s="301" t="s">
        <v>344</v>
      </c>
      <c r="B36" s="302" t="s">
        <v>333</v>
      </c>
      <c r="C36" s="303" t="s">
        <v>345</v>
      </c>
      <c r="D36" s="303" t="s">
        <v>346</v>
      </c>
      <c r="E36" s="304" t="s">
        <v>347</v>
      </c>
      <c r="F36" s="309"/>
      <c r="G36" s="309"/>
      <c r="H36" s="309"/>
      <c r="I36" s="309"/>
      <c r="J36" s="1913"/>
      <c r="K36" s="3463"/>
      <c r="L36" s="3463"/>
      <c r="M36" s="1220" t="s">
        <v>355</v>
      </c>
      <c r="N36" s="3463"/>
      <c r="O36" s="3463"/>
      <c r="P36" s="1911"/>
      <c r="V36" s="1911"/>
    </row>
    <row r="37" spans="1:26" ht="16.5" customHeight="1" thickBot="1">
      <c r="A37" s="1214" t="s">
        <v>348</v>
      </c>
      <c r="B37" s="305"/>
      <c r="C37" s="292"/>
      <c r="D37" s="292"/>
      <c r="E37" s="293"/>
      <c r="F37" s="309"/>
      <c r="G37" s="309"/>
      <c r="H37" s="309"/>
      <c r="I37" s="309"/>
      <c r="J37" s="1913"/>
      <c r="K37" s="3464"/>
      <c r="L37" s="3464"/>
      <c r="M37" s="1221"/>
      <c r="N37" s="3464"/>
      <c r="O37" s="3464"/>
      <c r="P37" s="1911"/>
      <c r="V37" s="1911"/>
    </row>
    <row r="38" spans="1:26" ht="16.5" customHeight="1" thickBot="1">
      <c r="A38" s="1214" t="s">
        <v>349</v>
      </c>
      <c r="B38" s="305"/>
      <c r="C38" s="292"/>
      <c r="D38" s="292"/>
      <c r="E38" s="293"/>
      <c r="F38" s="309"/>
      <c r="G38" s="309"/>
      <c r="H38" s="309"/>
      <c r="I38" s="309"/>
      <c r="J38" s="1913"/>
      <c r="K38" s="1222">
        <f>'数据-汇总表'!D3</f>
        <v>18893.75</v>
      </c>
      <c r="L38" s="1223">
        <f>'数据-汇总表'!E3</f>
        <v>273635.53999999998</v>
      </c>
      <c r="M38" s="1223">
        <f ca="1">C34</f>
        <v>346457</v>
      </c>
      <c r="N38" s="1223">
        <f ca="1">C33</f>
        <v>23922</v>
      </c>
      <c r="O38" s="1224">
        <f ca="1">C32</f>
        <v>654587</v>
      </c>
      <c r="P38" s="1911"/>
      <c r="V38" s="1911"/>
    </row>
    <row r="39" spans="1:26" ht="16.5" customHeight="1" thickBot="1">
      <c r="A39" s="1219"/>
      <c r="B39" s="306"/>
      <c r="C39" s="307"/>
      <c r="D39" s="307"/>
      <c r="E39" s="308"/>
      <c r="F39" s="309"/>
      <c r="G39" s="309"/>
      <c r="H39" s="309"/>
      <c r="I39" s="309"/>
      <c r="J39" s="1913"/>
      <c r="K39" s="3475" t="str">
        <f>MID(A44,3,LEN(A44)-2)</f>
        <v>抵押价格</v>
      </c>
      <c r="L39" s="3476"/>
      <c r="M39" s="3476"/>
      <c r="N39" s="3477"/>
      <c r="O39" s="1340">
        <f ca="1">C44</f>
        <v>649766</v>
      </c>
      <c r="P39" s="1911"/>
      <c r="V39" s="1911"/>
    </row>
    <row r="40" spans="1:26" ht="19.5" thickBot="1">
      <c r="A40" s="104" t="s">
        <v>864</v>
      </c>
      <c r="B40" s="309"/>
      <c r="C40" s="309"/>
      <c r="D40" s="309"/>
      <c r="E40" s="309"/>
      <c r="F40" s="309"/>
      <c r="G40" s="309"/>
      <c r="H40" s="309"/>
      <c r="I40" s="309"/>
      <c r="J40" s="1913"/>
      <c r="K40" s="3475" t="str">
        <f t="shared" ref="K40:K41" si="0">MID(A45,3,LEN(A45)-2)</f>
        <v/>
      </c>
      <c r="L40" s="3476"/>
      <c r="M40" s="3476"/>
      <c r="N40" s="3477"/>
      <c r="O40" s="1340" t="str">
        <f>C45</f>
        <v>——</v>
      </c>
      <c r="P40" s="1911"/>
      <c r="V40" s="1911"/>
    </row>
    <row r="41" spans="1:26" ht="16.5" thickBot="1">
      <c r="A41" s="310" t="s">
        <v>356</v>
      </c>
      <c r="B41" s="311"/>
      <c r="C41" s="312" t="s">
        <v>357</v>
      </c>
      <c r="D41" s="313" t="s">
        <v>358</v>
      </c>
      <c r="E41" s="313" t="s">
        <v>359</v>
      </c>
      <c r="F41" s="314" t="s">
        <v>360</v>
      </c>
      <c r="G41" s="309"/>
      <c r="H41" s="309"/>
      <c r="I41" s="309"/>
      <c r="J41" s="1913"/>
      <c r="K41" s="3475" t="str">
        <f t="shared" si="0"/>
        <v/>
      </c>
      <c r="L41" s="3476"/>
      <c r="M41" s="3476"/>
      <c r="N41" s="3477"/>
      <c r="O41" s="1340" t="str">
        <f>C46</f>
        <v>——</v>
      </c>
      <c r="P41" s="1911"/>
      <c r="V41" s="1911"/>
    </row>
    <row r="42" spans="1:26" ht="29.25">
      <c r="A42" s="3504" t="s">
        <v>2054</v>
      </c>
      <c r="B42" s="3505"/>
      <c r="C42" s="262">
        <f ca="1">C32</f>
        <v>654587</v>
      </c>
      <c r="D42" s="315">
        <f ca="1">C33</f>
        <v>23922</v>
      </c>
      <c r="E42" s="315">
        <f ca="1">C34</f>
        <v>346457</v>
      </c>
      <c r="F42" s="316">
        <f ca="1">C35</f>
        <v>23097</v>
      </c>
      <c r="G42" s="309"/>
      <c r="H42" s="309"/>
      <c r="I42" s="317"/>
      <c r="J42" s="1913"/>
      <c r="K42" s="1225" t="s">
        <v>361</v>
      </c>
      <c r="L42" s="1930" t="s">
        <v>362</v>
      </c>
      <c r="M42" s="1226" t="s">
        <v>363</v>
      </c>
      <c r="N42" s="1931" t="s">
        <v>364</v>
      </c>
      <c r="O42" s="1932" t="s">
        <v>365</v>
      </c>
      <c r="P42" s="1911"/>
      <c r="V42" s="1911"/>
    </row>
    <row r="43" spans="1:26" ht="30">
      <c r="A43" s="3514" t="s">
        <v>2708</v>
      </c>
      <c r="B43" s="3515"/>
      <c r="C43" s="262">
        <f ca="1">IF(H33="正常操作",G33+G34+G35,G34+G35)</f>
        <v>4821</v>
      </c>
      <c r="D43" s="315" t="s">
        <v>43</v>
      </c>
      <c r="E43" s="315" t="s">
        <v>44</v>
      </c>
      <c r="F43" s="316" t="s">
        <v>44</v>
      </c>
      <c r="G43" s="2583" t="s">
        <v>943</v>
      </c>
      <c r="H43" s="309"/>
      <c r="I43" s="317"/>
      <c r="J43" s="1913"/>
      <c r="K43" s="1227" t="str">
        <f>C4</f>
        <v>基准地价（汇总）</v>
      </c>
      <c r="L43" s="1228">
        <f ca="1">IF(L42="估价结果/万元",C19,C20)</f>
        <v>788958</v>
      </c>
      <c r="M43" s="1229">
        <f>C18</f>
        <v>0.5</v>
      </c>
      <c r="N43" s="1230">
        <f ca="1">IF(N42="测算结果/万元",G19,G20)</f>
        <v>654587</v>
      </c>
      <c r="O43" s="1231">
        <f ca="1">IF(O42="最终结果/万元",C32,C33)</f>
        <v>654587</v>
      </c>
      <c r="P43" s="1911"/>
      <c r="V43" s="1911"/>
    </row>
    <row r="44" spans="1:26" ht="30.75" thickBot="1">
      <c r="A44" s="3504" t="str">
        <f>IF(OR(项目基本情况!E8="抵押价格",项目基本情况!E8="已注销及未注销"),"3.抵押价格","——")</f>
        <v>3.抵押价格</v>
      </c>
      <c r="B44" s="3505"/>
      <c r="C44" s="262">
        <f ca="1">IF(A44="——","——",C42-C43)</f>
        <v>649766</v>
      </c>
      <c r="D44" s="315">
        <f ca="1">ROUND(C44*10000/'数据-汇总表'!E3,0)</f>
        <v>23746</v>
      </c>
      <c r="E44" s="315">
        <f ca="1">ROUND(C44*10000/'数据-汇总表'!D3,0)</f>
        <v>343905</v>
      </c>
      <c r="F44" s="316">
        <f ca="1">ROUND(C44/('数据-汇总表'!D3/666.67),0)</f>
        <v>22927</v>
      </c>
      <c r="G44" s="309"/>
      <c r="H44" s="309"/>
      <c r="I44" s="317"/>
      <c r="J44" s="1913"/>
      <c r="K44" s="1232" t="str">
        <f>D4</f>
        <v>剩余法-待开发</v>
      </c>
      <c r="L44" s="1233">
        <f ca="1">IF(L42="估价结果/万元",D19,D20)</f>
        <v>520216</v>
      </c>
      <c r="M44" s="1234">
        <f>D18</f>
        <v>0.5</v>
      </c>
      <c r="N44" s="1235"/>
      <c r="O44" s="1236"/>
      <c r="P44" s="1911"/>
      <c r="V44" s="1911"/>
    </row>
    <row r="45" spans="1:26" ht="15">
      <c r="A45" s="3509" t="str">
        <f>IF(项目基本情况!E8="已注销及未注销","4.抵押担保权已注销时的抵押价格",IF(项目基本情况!E8="已注销","3.抵押担保权已注销时的抵押价格","——"))</f>
        <v>——</v>
      </c>
      <c r="B45" s="351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506" t="str">
        <f>IF(项目基本情况!E9="抵押净值",IF(A45="——","4.抵押净值","5.抵押净值"),"——")</f>
        <v>——</v>
      </c>
      <c r="B46" s="350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 ca="1">IF(C43=0,"本次评估"&amp;IF(G43="设定","设定估价对象","")&amp;"不存在"&amp;MID(A43,3,LEN(A43)-2),"本次评估"&amp;IF(G43="设定","设定","")&amp;MID(A43,3,LEN(A43)-2)&amp;"为人民币"&amp;C43&amp;"万元整。")</f>
        <v>本次评估估价师知悉的法定优先受偿款为人民币4821万元整。</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67" t="s">
        <v>374</v>
      </c>
      <c r="B63" s="3468"/>
      <c r="C63" s="3469"/>
      <c r="D63" s="339">
        <f ca="1">ROUND(C42*F63,0)</f>
        <v>654587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511" t="s">
        <v>378</v>
      </c>
      <c r="B64" s="3512"/>
      <c r="C64" s="3512"/>
      <c r="D64" s="3512"/>
      <c r="E64" s="3512"/>
      <c r="F64" s="3512"/>
      <c r="G64" s="3513"/>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508" t="s">
        <v>386</v>
      </c>
      <c r="B66" s="3474"/>
      <c r="C66" s="3474"/>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7"/>
      <c r="K66" s="1245">
        <v>1</v>
      </c>
      <c r="L66" s="3435" t="s">
        <v>385</v>
      </c>
      <c r="M66" s="3436"/>
      <c r="N66" s="2312"/>
      <c r="O66" s="2313"/>
      <c r="P66" s="2314"/>
      <c r="Q66" s="1911"/>
      <c r="R66" s="1911"/>
      <c r="S66" s="1911"/>
      <c r="T66" s="1911"/>
      <c r="U66" s="1911"/>
      <c r="V66" s="1911"/>
    </row>
    <row r="67" spans="1:22" ht="25.5" customHeight="1">
      <c r="A67" s="350" t="s">
        <v>389</v>
      </c>
      <c r="B67" s="3486" t="s">
        <v>390</v>
      </c>
      <c r="C67" s="3486"/>
      <c r="D67" s="351">
        <v>0</v>
      </c>
      <c r="E67" s="41" t="s">
        <v>391</v>
      </c>
      <c r="F67" s="62" t="s">
        <v>21</v>
      </c>
      <c r="G67" s="3470"/>
      <c r="H67" s="3006" t="s">
        <v>2961</v>
      </c>
      <c r="I67" s="3008"/>
      <c r="J67" s="1918"/>
      <c r="K67" s="1890">
        <v>2</v>
      </c>
      <c r="L67" s="3440" t="s">
        <v>388</v>
      </c>
      <c r="M67" s="3440"/>
      <c r="N67" s="1279">
        <f>'数据-取费表'!B2</f>
        <v>44127</v>
      </c>
      <c r="O67" s="1279"/>
      <c r="P67" s="1279"/>
      <c r="Q67" s="1911"/>
      <c r="R67" s="1911"/>
      <c r="S67" s="1911"/>
      <c r="T67" s="1911"/>
      <c r="U67" s="1911"/>
      <c r="V67" s="1911"/>
    </row>
    <row r="68" spans="1:22" ht="25.5" customHeight="1">
      <c r="A68" s="352"/>
      <c r="B68" s="3486" t="s">
        <v>393</v>
      </c>
      <c r="C68" s="3486"/>
      <c r="D68" s="353"/>
      <c r="E68" s="77"/>
      <c r="F68" s="354"/>
      <c r="G68" s="3471"/>
      <c r="H68" s="3007" t="s">
        <v>2962</v>
      </c>
      <c r="I68" s="3008"/>
      <c r="J68" s="1918"/>
      <c r="K68" s="1890">
        <v>3</v>
      </c>
      <c r="L68" s="3440" t="s">
        <v>392</v>
      </c>
      <c r="M68" s="3440"/>
      <c r="N68" s="1247">
        <f ca="1">C42</f>
        <v>654587</v>
      </c>
      <c r="O68" s="1247"/>
      <c r="P68" s="1247"/>
      <c r="Q68" s="1911"/>
      <c r="R68" s="1911"/>
      <c r="S68" s="1911"/>
      <c r="T68" s="1911"/>
      <c r="U68" s="1911"/>
      <c r="V68" s="1911"/>
    </row>
    <row r="69" spans="1:22" ht="23.45" customHeight="1">
      <c r="A69" s="355"/>
      <c r="B69" s="3486" t="s">
        <v>394</v>
      </c>
      <c r="C69" s="3486"/>
      <c r="D69" s="356"/>
      <c r="E69" s="73"/>
      <c r="F69" s="354"/>
      <c r="G69" s="3472"/>
      <c r="H69" s="3007" t="s">
        <v>2963</v>
      </c>
      <c r="I69" s="3008"/>
      <c r="J69" s="1918"/>
      <c r="K69" s="1248">
        <v>4</v>
      </c>
      <c r="L69" s="3441" t="s">
        <v>2860</v>
      </c>
      <c r="M69" s="3442"/>
      <c r="N69" s="1249">
        <f ca="1">C44</f>
        <v>649766</v>
      </c>
      <c r="O69" s="1249"/>
      <c r="P69" s="1249"/>
      <c r="Q69" s="1911"/>
      <c r="R69" s="1911"/>
      <c r="S69" s="1911"/>
      <c r="T69" s="1911"/>
      <c r="U69" s="1911"/>
      <c r="V69" s="1911"/>
    </row>
    <row r="70" spans="1:22" ht="24" customHeight="1">
      <c r="A70" s="357" t="s">
        <v>395</v>
      </c>
      <c r="B70" s="3486" t="s">
        <v>396</v>
      </c>
      <c r="C70" s="3486"/>
      <c r="D70" s="356">
        <f ca="1">ROUND(D63*'数据-取费表'!B41/(1+'数据-取费表'!C42),0)</f>
        <v>34911</v>
      </c>
      <c r="E70" s="17" t="s">
        <v>397</v>
      </c>
      <c r="F70" s="358">
        <f>'数据-取费表'!B41</f>
        <v>5.6000000000000001E-2</v>
      </c>
      <c r="G70" s="359"/>
      <c r="H70" s="309"/>
      <c r="I70" s="1246"/>
      <c r="J70" s="1918"/>
      <c r="K70" s="2765"/>
      <c r="L70" s="2766"/>
      <c r="M70" s="2766"/>
      <c r="N70" s="2767" t="s">
        <v>2864</v>
      </c>
      <c r="O70" s="2766"/>
      <c r="P70" s="2768"/>
      <c r="Q70" s="1911"/>
      <c r="R70" s="1911"/>
      <c r="S70" s="1911"/>
      <c r="T70" s="1911"/>
      <c r="U70" s="1911"/>
      <c r="V70" s="1911"/>
    </row>
    <row r="71" spans="1:22" ht="12" customHeight="1">
      <c r="A71" s="357" t="s">
        <v>403</v>
      </c>
      <c r="B71" s="3485" t="s">
        <v>2993</v>
      </c>
      <c r="C71" s="3502"/>
      <c r="D71" s="356">
        <f ca="1">ROUND(D63*'数据-取费表'!B41/(1+'数据-取费表'!C42),0)</f>
        <v>34911</v>
      </c>
      <c r="E71" s="17" t="s">
        <v>397</v>
      </c>
      <c r="F71" s="358">
        <f>'数据-取费表'!B41</f>
        <v>5.6000000000000001E-2</v>
      </c>
      <c r="G71" s="359"/>
      <c r="H71" s="309"/>
      <c r="I71" s="1246"/>
      <c r="J71" s="1918"/>
      <c r="K71" s="2764" t="s">
        <v>398</v>
      </c>
      <c r="L71" s="3443" t="s">
        <v>399</v>
      </c>
      <c r="M71" s="3443"/>
      <c r="N71" s="2764" t="s">
        <v>400</v>
      </c>
      <c r="O71" s="2764" t="s">
        <v>401</v>
      </c>
      <c r="P71" s="2764" t="s">
        <v>402</v>
      </c>
      <c r="Q71" s="1911"/>
      <c r="R71" s="1911"/>
      <c r="S71" s="1911"/>
      <c r="T71" s="1911"/>
      <c r="U71" s="1911"/>
      <c r="V71" s="1911"/>
    </row>
    <row r="72" spans="1:22" ht="12" customHeight="1">
      <c r="A72" s="357" t="s">
        <v>405</v>
      </c>
      <c r="B72" s="3485" t="s">
        <v>2994</v>
      </c>
      <c r="C72" s="3502"/>
      <c r="D72" s="356">
        <f ca="1">C86</f>
        <v>34911</v>
      </c>
      <c r="E72" s="73" t="s">
        <v>406</v>
      </c>
      <c r="F72" s="358">
        <f>'数据-取费表'!B41</f>
        <v>5.6000000000000001E-2</v>
      </c>
      <c r="G72" s="359"/>
      <c r="H72" s="1252"/>
      <c r="I72" s="1246"/>
      <c r="J72" s="1918"/>
      <c r="K72" s="1890">
        <v>1</v>
      </c>
      <c r="L72" s="3439" t="s">
        <v>404</v>
      </c>
      <c r="M72" s="3439"/>
      <c r="N72" s="1250" t="b">
        <f>D66</f>
        <v>0</v>
      </c>
      <c r="O72" s="1773" t="str">
        <f>E66</f>
        <v>销售额×税（费）率</v>
      </c>
      <c r="P72" s="1251">
        <f>F66</f>
        <v>5.6000000000000001E-2</v>
      </c>
      <c r="Q72" s="1911"/>
      <c r="R72" s="1911"/>
      <c r="S72" s="1911"/>
      <c r="T72" s="1911"/>
      <c r="U72" s="1911"/>
      <c r="V72" s="1911"/>
    </row>
    <row r="73" spans="1:22" ht="24" customHeight="1">
      <c r="A73" s="3473" t="s">
        <v>408</v>
      </c>
      <c r="B73" s="3474"/>
      <c r="C73" s="3474"/>
      <c r="D73" s="360">
        <f ca="1">IF(H73="个人住宅",0,ROUND(D63*I73,0))</f>
        <v>327</v>
      </c>
      <c r="E73" s="17" t="s">
        <v>409</v>
      </c>
      <c r="F73" s="358" t="str">
        <f>IF(H73="正常",I73,"免征")</f>
        <v>免征</v>
      </c>
      <c r="G73" s="359"/>
      <c r="H73" s="189"/>
      <c r="I73" s="358">
        <f>'数据-取费表'!B49</f>
        <v>5.0000000000000001E-4</v>
      </c>
      <c r="J73" s="1918"/>
      <c r="K73" s="1890">
        <v>2</v>
      </c>
      <c r="L73" s="3439" t="s">
        <v>407</v>
      </c>
      <c r="M73" s="3439"/>
      <c r="N73" s="1250">
        <f t="shared" ref="N73:P74" ca="1" si="1">D73</f>
        <v>327</v>
      </c>
      <c r="O73" s="1773" t="str">
        <f t="shared" si="1"/>
        <v>销售额×税（费）率</v>
      </c>
      <c r="P73" s="1251" t="str">
        <f t="shared" si="1"/>
        <v>免征</v>
      </c>
      <c r="Q73" s="1911"/>
      <c r="R73" s="1911"/>
      <c r="S73" s="1911"/>
      <c r="T73" s="1911"/>
      <c r="U73" s="1911"/>
      <c r="V73" s="1911"/>
    </row>
    <row r="74" spans="1:22" ht="24.75">
      <c r="A74" s="3473" t="s">
        <v>411</v>
      </c>
      <c r="B74" s="3474"/>
      <c r="C74" s="3474"/>
      <c r="D74" s="360">
        <f ca="1">IF(H74="个人住宅",D75,D76)</f>
        <v>370497</v>
      </c>
      <c r="E74" s="17" t="s">
        <v>412</v>
      </c>
      <c r="F74" s="358" t="str">
        <f>IF(H74="正常",F76,"免征")</f>
        <v>免征</v>
      </c>
      <c r="G74" s="971" t="s">
        <v>413</v>
      </c>
      <c r="H74" s="361"/>
      <c r="I74" s="42"/>
      <c r="J74" s="1918"/>
      <c r="K74" s="1890">
        <v>3</v>
      </c>
      <c r="L74" s="3439" t="s">
        <v>410</v>
      </c>
      <c r="M74" s="3439"/>
      <c r="N74" s="1250">
        <f t="shared" ca="1" si="1"/>
        <v>370497</v>
      </c>
      <c r="O74" s="1773" t="str">
        <f t="shared" si="1"/>
        <v>增值额×税（费）率</v>
      </c>
      <c r="P74" s="1253" t="str">
        <f t="shared" si="1"/>
        <v>免征</v>
      </c>
      <c r="Q74" s="1911"/>
      <c r="R74" s="1911"/>
      <c r="S74" s="1911"/>
      <c r="T74" s="1911"/>
      <c r="U74" s="1911"/>
      <c r="V74" s="1911"/>
    </row>
    <row r="75" spans="1:22" ht="12.75">
      <c r="A75" s="357" t="s">
        <v>414</v>
      </c>
      <c r="B75" s="3454" t="s">
        <v>415</v>
      </c>
      <c r="C75" s="3455"/>
      <c r="D75" s="362">
        <v>0</v>
      </c>
      <c r="E75" s="41" t="s">
        <v>416</v>
      </c>
      <c r="F75" s="363"/>
      <c r="G75" s="359"/>
      <c r="H75" s="42"/>
      <c r="I75" s="42"/>
      <c r="J75" s="1918"/>
      <c r="K75" s="2758">
        <f>IF(H77="非个人房产","",4)</f>
        <v>4</v>
      </c>
      <c r="L75" s="3439" t="str">
        <f>IF(H77="非个人房产","——","个人所得税")</f>
        <v>个人所得税</v>
      </c>
      <c r="M75" s="3439"/>
      <c r="N75" s="1254">
        <f>D77</f>
        <v>0</v>
      </c>
      <c r="O75" s="1786" t="str">
        <f>E77</f>
        <v>差额计税</v>
      </c>
      <c r="P75" s="1255">
        <f>F77</f>
        <v>0.01</v>
      </c>
      <c r="Q75" s="1911"/>
      <c r="R75" s="1911"/>
      <c r="S75" s="1911"/>
      <c r="T75" s="1911"/>
      <c r="U75" s="1911"/>
      <c r="V75" s="1911"/>
    </row>
    <row r="76" spans="1:22" ht="24.75">
      <c r="A76" s="357" t="s">
        <v>395</v>
      </c>
      <c r="B76" s="3454" t="s">
        <v>418</v>
      </c>
      <c r="C76" s="3496"/>
      <c r="D76" s="360">
        <f ca="1">IF(H76="转让取得",C99,C115)</f>
        <v>370497</v>
      </c>
      <c r="E76" s="17" t="s">
        <v>419</v>
      </c>
      <c r="F76" s="53" t="s">
        <v>21</v>
      </c>
      <c r="G76" s="359"/>
      <c r="H76" s="361"/>
      <c r="I76" s="42"/>
      <c r="J76" s="1918"/>
      <c r="K76" s="2758" t="str">
        <f>IF(项目基本情况!K6="上海银行",IF(K75="",4,K75+1),"")</f>
        <v/>
      </c>
      <c r="L76" s="3450" t="str">
        <f>IF(项目基本情况!K6="上海银行","其他处置费用","")</f>
        <v/>
      </c>
      <c r="M76" s="3451"/>
      <c r="N76" s="1250" t="str">
        <f>IF(项目基本情况!K6="上海银行",N89,"")</f>
        <v/>
      </c>
      <c r="O76" s="3452" t="str">
        <f>IF(项目基本情况!K6="上海银行","包含处置中涉及的律师、诉讼、拍卖、评估等费用","")</f>
        <v/>
      </c>
      <c r="P76" s="3453"/>
      <c r="Q76" s="1911"/>
      <c r="R76" s="1911"/>
      <c r="S76" s="1911"/>
      <c r="T76" s="1911"/>
      <c r="U76" s="1911"/>
      <c r="V76" s="1911"/>
    </row>
    <row r="77" spans="1:22" ht="24.75" thickBot="1">
      <c r="A77" s="3465" t="s">
        <v>421</v>
      </c>
      <c r="B77" s="3466"/>
      <c r="C77" s="3466"/>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2964</v>
      </c>
      <c r="J77" s="1918"/>
      <c r="K77" s="3461">
        <f>IF(AND(K75="",K76=""),4,IF(项目基本情况!K6="上海银行",K76+1,K75+1))</f>
        <v>5</v>
      </c>
      <c r="L77" s="3439" t="s">
        <v>2861</v>
      </c>
      <c r="M77" s="2763" t="s">
        <v>417</v>
      </c>
      <c r="N77" s="1256"/>
      <c r="O77" s="1257">
        <f ca="1">SUMIF(N72:N76,"&lt;9e307")</f>
        <v>370824</v>
      </c>
      <c r="P77" s="1258"/>
      <c r="Q77" s="2761">
        <f ca="1">O77/N69</f>
        <v>0.57070391494784278</v>
      </c>
      <c r="R77" s="1911"/>
      <c r="S77" s="1911"/>
      <c r="T77" s="1911"/>
      <c r="U77" s="1911"/>
      <c r="V77" s="1911"/>
    </row>
    <row r="78" spans="1:22" ht="12" customHeight="1">
      <c r="A78" s="1259"/>
      <c r="B78" s="309"/>
      <c r="C78" s="309"/>
      <c r="D78" s="309"/>
      <c r="E78" s="42"/>
      <c r="F78" s="42"/>
      <c r="G78" s="42"/>
      <c r="H78" s="991"/>
      <c r="I78" s="309"/>
      <c r="J78" s="1918"/>
      <c r="K78" s="3461"/>
      <c r="L78" s="3439"/>
      <c r="M78" s="2763" t="s">
        <v>420</v>
      </c>
      <c r="N78" s="1256"/>
      <c r="O78" s="1257" t="str">
        <f ca="1">NUMBERSTRING(INT(O77*10000),2)&amp;"元整"</f>
        <v>叁拾柒亿零捌佰贰拾肆万元整</v>
      </c>
      <c r="P78" s="1258"/>
      <c r="Q78" s="1911"/>
      <c r="R78" s="1911"/>
      <c r="S78" s="1911"/>
      <c r="T78" s="1911"/>
      <c r="U78" s="1911"/>
      <c r="V78" s="1911"/>
    </row>
    <row r="79" spans="1:22" ht="13.5" thickBot="1">
      <c r="A79" s="3516" t="s">
        <v>422</v>
      </c>
      <c r="B79" s="3516"/>
      <c r="C79" s="3516"/>
      <c r="D79" s="3516"/>
      <c r="E79" s="3516"/>
      <c r="F79" s="42"/>
      <c r="G79" s="42"/>
      <c r="H79" s="991"/>
      <c r="I79" s="309"/>
      <c r="J79" s="1918"/>
      <c r="K79" s="3437">
        <f>K77+1</f>
        <v>6</v>
      </c>
      <c r="L79" s="3439" t="s">
        <v>2862</v>
      </c>
      <c r="M79" s="2763" t="s">
        <v>417</v>
      </c>
      <c r="N79" s="1256"/>
      <c r="O79" s="1257">
        <f ca="1">N69-O77</f>
        <v>278942</v>
      </c>
      <c r="P79" s="1258"/>
      <c r="Q79" s="1911"/>
      <c r="R79" s="1911"/>
      <c r="S79" s="1911"/>
      <c r="T79" s="1911"/>
      <c r="U79" s="1911"/>
      <c r="V79" s="1911"/>
    </row>
    <row r="80" spans="1:22" ht="25.5">
      <c r="A80" s="3447" t="s">
        <v>423</v>
      </c>
      <c r="B80" s="3448"/>
      <c r="C80" s="982"/>
      <c r="D80" s="982" t="s">
        <v>424</v>
      </c>
      <c r="E80" s="364" t="s">
        <v>425</v>
      </c>
      <c r="F80" s="42"/>
      <c r="G80" s="42"/>
      <c r="H80" s="991"/>
      <c r="I80" s="309"/>
      <c r="J80" s="1911"/>
      <c r="K80" s="3438"/>
      <c r="L80" s="3439"/>
      <c r="M80" s="2763" t="s">
        <v>420</v>
      </c>
      <c r="N80" s="1256"/>
      <c r="O80" s="1257" t="str">
        <f ca="1">NUMBERSTRING(INT(O79*10000),2)&amp;"元整"</f>
        <v>贰拾柒亿捌仟玖佰肆拾贰万元整</v>
      </c>
      <c r="P80" s="1258"/>
      <c r="Q80" s="1911"/>
      <c r="R80" s="1911"/>
      <c r="S80" s="1911"/>
      <c r="T80" s="1911"/>
      <c r="U80" s="1911"/>
      <c r="V80" s="1911"/>
    </row>
    <row r="81" spans="1:26" ht="13.5" thickBot="1">
      <c r="A81" s="375" t="s">
        <v>1814</v>
      </c>
      <c r="B81" s="365" t="s">
        <v>426</v>
      </c>
      <c r="C81" s="366">
        <f ca="1">ROUND((C82+C83)/(1+'数据-取费表'!C42),0)</f>
        <v>623416</v>
      </c>
      <c r="D81" s="367"/>
      <c r="E81" s="368"/>
      <c r="F81" s="42"/>
      <c r="G81" s="42"/>
      <c r="H81" s="991"/>
      <c r="I81" s="309"/>
      <c r="J81" s="1911"/>
      <c r="K81" s="2758">
        <f>K79+1</f>
        <v>7</v>
      </c>
      <c r="L81" s="3459" t="s">
        <v>2863</v>
      </c>
      <c r="M81" s="3460"/>
      <c r="N81" s="1260"/>
      <c r="O81" s="1261">
        <f ca="1">ROUND(O79*10000/'数据-汇总表'!E3,0)</f>
        <v>10194</v>
      </c>
      <c r="P81" s="1262"/>
      <c r="Q81" s="1911"/>
      <c r="R81" s="1911"/>
      <c r="S81" s="1911"/>
      <c r="T81" s="1911"/>
      <c r="U81" s="1911"/>
      <c r="V81" s="1911"/>
    </row>
    <row r="82" spans="1:26" ht="13.5" thickTop="1">
      <c r="A82" s="369" t="s">
        <v>1815</v>
      </c>
      <c r="B82" s="370" t="s">
        <v>427</v>
      </c>
      <c r="C82" s="371">
        <f ca="1">D63</f>
        <v>654587</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49" t="s">
        <v>2851</v>
      </c>
      <c r="L83" s="2769" t="s">
        <v>2852</v>
      </c>
      <c r="M83" s="2759">
        <f ca="1">IF(N69&gt;10000,N69*0.5%,IF(AND(N69&gt;1000,N69&lt;=10000),N69*1%,IF(AND(N69&gt;100,N69&lt;=1000),N69*3%,IF(AND(N69&gt;10,N69&lt;=100),N69*5%,N69*8%))))</f>
        <v>3248.83</v>
      </c>
      <c r="N83" s="53">
        <f ca="1">ROUND(M83,1)</f>
        <v>3248.8</v>
      </c>
      <c r="O83" s="2762"/>
      <c r="P83" s="1911"/>
      <c r="Q83" s="1911"/>
      <c r="R83" s="1911"/>
      <c r="S83" s="1911"/>
      <c r="T83" s="1911"/>
      <c r="U83" s="1911"/>
      <c r="V83" s="1911"/>
    </row>
    <row r="84" spans="1:26" ht="12.75">
      <c r="A84" s="375" t="s">
        <v>1817</v>
      </c>
      <c r="B84" s="376" t="s">
        <v>429</v>
      </c>
      <c r="C84" s="377"/>
      <c r="D84" s="378" t="s">
        <v>19</v>
      </c>
      <c r="E84" s="2787" t="s">
        <v>2902</v>
      </c>
      <c r="F84" s="42"/>
      <c r="G84" s="42"/>
      <c r="H84" s="991"/>
      <c r="I84" s="309"/>
      <c r="J84" s="1911"/>
      <c r="K84" s="3449"/>
      <c r="L84" s="2769" t="s">
        <v>2853</v>
      </c>
      <c r="M84" s="2759">
        <f ca="1">IF(N69&gt;2000,N69*0.5%,IF(AND(N69&gt;1000,N69&lt;=2000),N69*0.6%,IF(AND(N69&gt;500,N69&lt;=1000),N69*0.7%,IF(AND(N69&gt;200,N69&lt;=500),N69*0.8%,IF(AND(N69&gt;100,N69&lt;=200),N69*0.9%,IF(AND(N69&gt;50,N69&lt;=100),N69*1%,IF(AND(N69&gt;20,N69&lt;=50),N69*1.5%,IF(AND(N69&gt;10,N69&lt;=20),N69*2%,IF(AND(N69&gt;1,N69&lt;=10),N69*2.5%)))))))))</f>
        <v>3248.83</v>
      </c>
      <c r="N84" s="53">
        <f t="shared" ref="N84:N85" ca="1" si="2">ROUND(M84,1)</f>
        <v>3248.8</v>
      </c>
      <c r="O84" s="1911" t="s">
        <v>2854</v>
      </c>
      <c r="P84" s="1911"/>
      <c r="Q84" s="1911"/>
      <c r="R84" s="1911"/>
      <c r="S84" s="1911"/>
      <c r="T84" s="1911"/>
      <c r="U84" s="1911"/>
      <c r="V84" s="1911"/>
    </row>
    <row r="85" spans="1:26" ht="12.75">
      <c r="A85" s="375" t="s">
        <v>1818</v>
      </c>
      <c r="B85" s="376" t="s">
        <v>430</v>
      </c>
      <c r="C85" s="379">
        <f ca="1">C81-C84</f>
        <v>623416</v>
      </c>
      <c r="D85" s="372" t="s">
        <v>19</v>
      </c>
      <c r="E85" s="373"/>
      <c r="F85" s="42"/>
      <c r="G85" s="42"/>
      <c r="H85" s="991"/>
      <c r="I85" s="309"/>
      <c r="J85" s="1911"/>
      <c r="K85" s="3449"/>
      <c r="L85" s="2769" t="s">
        <v>2855</v>
      </c>
      <c r="M85" s="2759">
        <f ca="1">IF(N69&gt;1000,N69*0.1%,IF(AND(N69&gt;500,N69&lt;=1000),N69*0.5%,IF(AND(N69&gt;50,N69&lt;=500),N69*1%,IF(AND(N69&gt;1,N69&lt;=50),N69*1.5%))))</f>
        <v>649.76599999999996</v>
      </c>
      <c r="N85" s="53">
        <f t="shared" ca="1" si="2"/>
        <v>649.79999999999995</v>
      </c>
      <c r="O85" s="1911" t="s">
        <v>2854</v>
      </c>
      <c r="P85" s="1911"/>
      <c r="Q85" s="1911"/>
      <c r="R85" s="1911"/>
      <c r="S85" s="1911"/>
      <c r="T85" s="1911"/>
      <c r="U85" s="1911"/>
      <c r="V85" s="1911"/>
    </row>
    <row r="86" spans="1:26" ht="13.5" thickBot="1">
      <c r="A86" s="380" t="s">
        <v>1819</v>
      </c>
      <c r="B86" s="381" t="s">
        <v>431</v>
      </c>
      <c r="C86" s="382">
        <f ca="1">IF(C85&lt;=0,0,ROUND(C85*D86,0))</f>
        <v>34911</v>
      </c>
      <c r="D86" s="383">
        <f>'数据-取费表'!B41</f>
        <v>5.6000000000000001E-2</v>
      </c>
      <c r="E86" s="384"/>
      <c r="F86" s="42"/>
      <c r="G86" s="42"/>
      <c r="H86" s="991"/>
      <c r="I86" s="309"/>
      <c r="J86" s="1911"/>
      <c r="K86" s="3449"/>
      <c r="L86" s="2769" t="s">
        <v>2856</v>
      </c>
      <c r="M86" s="2759">
        <f ca="1">N69*0.5%</f>
        <v>3248.83</v>
      </c>
      <c r="N86" s="53">
        <f ca="1">IF(M86&gt;0.5,0.5,ROUND(M86,0))</f>
        <v>0.5</v>
      </c>
      <c r="O86" s="1911" t="s">
        <v>2857</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49"/>
      <c r="L87" s="2769" t="s">
        <v>2858</v>
      </c>
      <c r="M87" s="2759">
        <f ca="1">IF(N69&gt;=10000,(8.25+(N69-10000)*0.01%),IF(AND(N69&gt;=8000,N69&lt;10000),(7.85+(N69-8000)*0.02%),IF(AND(N69&gt;=5000,N69&lt;8000),(6.65+(N69-5000)*0.04%),IF(AND(N69&gt;=2000,N69&lt;5000),(4.25+(PN69-2000)*0.08%),IF(AND(N69&gt;=1000,N69&lt;2000),(2.75+(N69-1000)*0.15%),IF(AND(N69&gt;=100,N69&lt;1000),(0.5+(N69-100)*0.25%),IF(AND(N69&gt;0,N69&lt;100),N69*0.5%)))))))</f>
        <v>72.226600000000005</v>
      </c>
      <c r="N87" s="53">
        <f ca="1">ROUND(M87*0.9,1)</f>
        <v>65</v>
      </c>
      <c r="O87" s="2762"/>
      <c r="P87" s="1911"/>
      <c r="Q87" s="1911"/>
      <c r="R87" s="1911"/>
      <c r="S87" s="1911"/>
      <c r="T87" s="1911"/>
      <c r="U87" s="1911"/>
      <c r="V87" s="1911"/>
      <c r="W87" s="290"/>
      <c r="X87" s="290"/>
      <c r="Y87" s="290"/>
      <c r="Z87" s="290"/>
    </row>
    <row r="88" spans="1:26" s="1268" customFormat="1" ht="15" thickBot="1">
      <c r="A88" s="3488" t="s">
        <v>432</v>
      </c>
      <c r="B88" s="3489"/>
      <c r="C88" s="3489"/>
      <c r="D88" s="3489"/>
      <c r="E88" s="3489"/>
      <c r="F88" s="3489"/>
      <c r="G88" s="3489"/>
      <c r="H88" s="3489"/>
      <c r="I88" s="1269"/>
      <c r="J88" s="1919"/>
      <c r="K88" s="3449"/>
      <c r="L88" s="2769" t="s">
        <v>2859</v>
      </c>
      <c r="M88" s="2759">
        <f ca="1">IF(N69&gt;10000,N69*0.5%,IF(AND(N69&gt;5000,N69&lt;=10000),N69*1%,IF(AND(N69&gt;1000,N69&lt;=5000),N69*2%,IF(AND(N69&gt;200,N69&lt;=1000),N69*3%,N69*5%))))</f>
        <v>3248.83</v>
      </c>
      <c r="N88" s="53">
        <f ca="1">ROUND(M88,1)</f>
        <v>3248.8</v>
      </c>
      <c r="O88" s="2762"/>
      <c r="P88" s="1916"/>
      <c r="Q88" s="1916"/>
      <c r="R88" s="1916"/>
      <c r="S88" s="1916"/>
      <c r="T88" s="1916"/>
      <c r="U88" s="1916"/>
      <c r="V88" s="1916"/>
      <c r="W88" s="1920"/>
      <c r="X88" s="1920"/>
      <c r="Y88" s="1920"/>
      <c r="Z88" s="1920"/>
    </row>
    <row r="89" spans="1:26" s="1268" customFormat="1" ht="14.25">
      <c r="A89" s="3447" t="s">
        <v>423</v>
      </c>
      <c r="B89" s="3448"/>
      <c r="C89" s="982"/>
      <c r="D89" s="982" t="s">
        <v>424</v>
      </c>
      <c r="E89" s="385" t="s">
        <v>433</v>
      </c>
      <c r="F89" s="386"/>
      <c r="G89" s="386"/>
      <c r="H89" s="387"/>
      <c r="I89" s="1270"/>
      <c r="J89" s="1921"/>
      <c r="K89" s="3449"/>
      <c r="L89" s="2769" t="s">
        <v>27</v>
      </c>
      <c r="M89" s="2760"/>
      <c r="N89" s="53">
        <f ca="1">ROUND(SUM(N83:N88),0)</f>
        <v>10462</v>
      </c>
      <c r="O89" s="2770">
        <f ca="1">N89/N69</f>
        <v>1.6101181040559218E-2</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623416</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3740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85" t="s">
        <v>441</v>
      </c>
      <c r="F94" s="3486"/>
      <c r="G94" s="3486"/>
      <c r="H94" s="3487"/>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3740</v>
      </c>
      <c r="D96" s="400">
        <f>'数据-取费表'!B43</f>
        <v>6.000000000000001E-3</v>
      </c>
      <c r="E96" s="3444" t="s">
        <v>2411</v>
      </c>
      <c r="F96" s="3445"/>
      <c r="G96" s="3445"/>
      <c r="H96" s="3446"/>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1826</v>
      </c>
      <c r="B97" s="376" t="s">
        <v>445</v>
      </c>
      <c r="C97" s="379">
        <f ca="1">C90-C91</f>
        <v>619676</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1827</v>
      </c>
      <c r="B98" s="376" t="s">
        <v>446</v>
      </c>
      <c r="C98" s="401">
        <f ca="1">IF(C97&lt;=0,0,C97/C91)</f>
        <v>165.68877005347593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1828</v>
      </c>
      <c r="B99" s="381" t="s">
        <v>447</v>
      </c>
      <c r="C99" s="402">
        <f ca="1">ROUND(IF(C97&lt;=0,0,IF(C98&gt;=200%,C97*60%-C91*35%,IF(C98&gt;=100%,C97*50%-C91*15%,IF(C98&gt;=50%,C97*40%-C91*5%,IF(C98&lt;50%,C97*30%,0))))),0)</f>
        <v>370497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88" t="s">
        <v>448</v>
      </c>
      <c r="B101" s="3489"/>
      <c r="C101" s="3489"/>
      <c r="D101" s="3489"/>
      <c r="E101" s="3489"/>
      <c r="F101" s="3489"/>
      <c r="G101" s="3489"/>
      <c r="H101" s="3489"/>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47" t="s">
        <v>423</v>
      </c>
      <c r="B102" s="3448"/>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623416</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3740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2986</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500" t="s">
        <v>2956</v>
      </c>
      <c r="H108" s="3501"/>
      <c r="I108" s="2859"/>
      <c r="J108" s="1916"/>
      <c r="K108" s="3244" t="s">
        <v>2987</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1829</v>
      </c>
      <c r="B109" s="370" t="s">
        <v>455</v>
      </c>
      <c r="C109" s="399">
        <f>IF(H109="——",IF(F1="现房",'剩余法-现房'!C18,0),I109)</f>
        <v>0</v>
      </c>
      <c r="D109" s="400"/>
      <c r="E109" s="3478" t="s">
        <v>456</v>
      </c>
      <c r="F109" s="3445"/>
      <c r="G109" s="344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1830</v>
      </c>
      <c r="B110" s="370" t="s">
        <v>457</v>
      </c>
      <c r="C110" s="399">
        <f>ROUND((C105+C108+C109)*D110,0)</f>
        <v>0</v>
      </c>
      <c r="D110" s="3275">
        <v>0</v>
      </c>
      <c r="E110" s="3478" t="s">
        <v>458</v>
      </c>
      <c r="F110" s="3445"/>
      <c r="G110" s="3445"/>
      <c r="H110" s="3446"/>
      <c r="I110" s="11"/>
      <c r="J110" s="1916"/>
      <c r="K110" s="3245" t="s">
        <v>2988</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1831</v>
      </c>
      <c r="B111" s="370" t="s">
        <v>444</v>
      </c>
      <c r="C111" s="399">
        <f ca="1">ROUND(D63*D111/(1+'数据-取费表'!C42),0)</f>
        <v>3740</v>
      </c>
      <c r="D111" s="400">
        <f>'数据-取费表'!B43</f>
        <v>6.000000000000001E-3</v>
      </c>
      <c r="E111" s="3444" t="s">
        <v>2411</v>
      </c>
      <c r="F111" s="3445"/>
      <c r="G111" s="3445"/>
      <c r="H111" s="3446"/>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1832</v>
      </c>
      <c r="B112" s="370" t="s">
        <v>459</v>
      </c>
      <c r="C112" s="399">
        <f>ROUND(C108*D112,0)</f>
        <v>0</v>
      </c>
      <c r="D112" s="400">
        <v>0.2</v>
      </c>
      <c r="E112" s="3478" t="s">
        <v>2434</v>
      </c>
      <c r="F112" s="3445"/>
      <c r="G112" s="3445"/>
      <c r="H112" s="3446"/>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1826</v>
      </c>
      <c r="B113" s="376" t="s">
        <v>445</v>
      </c>
      <c r="C113" s="379">
        <f ca="1">ROUND(C103-C104,0)</f>
        <v>619676</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1827</v>
      </c>
      <c r="B114" s="376" t="s">
        <v>446</v>
      </c>
      <c r="C114" s="401">
        <f ca="1">IF(C113&lt;=0,0,C113/C104)</f>
        <v>165.68877005347593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1828</v>
      </c>
      <c r="B115" s="381" t="s">
        <v>447</v>
      </c>
      <c r="C115" s="402">
        <f ca="1">ROUND(IF(C113&lt;=0,0,IF(C114&gt;=200%,C113*60%-C104*35%,IF(C114&gt;=100%,C113*50%-C104*15%,IF(C114&gt;=50%,C113*40%-C104*5%,IF(C114&lt;50%,C113*30%,0))))),0)</f>
        <v>370497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C10:D13">
    <cfRule type="cellIs" dxfId="204" priority="8" stopIfTrue="1" operator="equal">
      <formula>15</formula>
    </cfRule>
  </conditionalFormatting>
  <conditionalFormatting sqref="D14:D16">
    <cfRule type="cellIs" dxfId="203" priority="6" stopIfTrue="1" operator="equal">
      <formula>30</formula>
    </cfRule>
  </conditionalFormatting>
  <conditionalFormatting sqref="C108">
    <cfRule type="expression" dxfId="202" priority="3" stopIfTrue="1">
      <formula>$H$106&lt;&gt;"仅含出让金"</formula>
    </cfRule>
  </conditionalFormatting>
  <conditionalFormatting sqref="C109">
    <cfRule type="expression" dxfId="201" priority="2" stopIfTrue="1">
      <formula>$H$109="由企业提供"</formula>
    </cfRule>
  </conditionalFormatting>
  <conditionalFormatting sqref="I33">
    <cfRule type="expression" dxfId="20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C49" sqref="C49"/>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f ca="1">F68</f>
        <v>1015303</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0" t="s">
        <v>1675</v>
      </c>
      <c r="B3" s="504">
        <f ca="1">ROUND(B2*10000/'数据-汇总表'!E3,0)</f>
        <v>37104</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f ca="1">IF(B48="单位面积地价",C50,ROUND(B2*10000/'数据-汇总表'!D3,0))</f>
        <v>537375</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 ca="1">ROUND(B2/('数据-汇总表'!D3/666.67),0)</f>
        <v>35825</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39" t="s">
        <v>516</v>
      </c>
      <c r="D6" s="3540"/>
      <c r="E6" s="3539" t="s">
        <v>517</v>
      </c>
      <c r="F6" s="3540"/>
      <c r="G6" s="3539" t="s">
        <v>518</v>
      </c>
      <c r="H6" s="3540"/>
      <c r="I6" s="3539" t="s">
        <v>519</v>
      </c>
      <c r="J6" s="3540"/>
      <c r="K6" s="508" t="s">
        <v>520</v>
      </c>
      <c r="L6" s="2015"/>
      <c r="M6" s="2014"/>
      <c r="N6" s="2014"/>
      <c r="O6" s="2016"/>
      <c r="P6" s="3541" t="s">
        <v>521</v>
      </c>
      <c r="Q6" s="3542"/>
      <c r="R6" s="3527" t="s">
        <v>517</v>
      </c>
      <c r="S6" s="3528"/>
      <c r="T6" s="3527" t="s">
        <v>518</v>
      </c>
      <c r="U6" s="3528"/>
      <c r="V6" s="3547" t="s">
        <v>519</v>
      </c>
      <c r="W6" s="3547"/>
      <c r="X6" s="1501"/>
      <c r="Y6" s="3527" t="s">
        <v>521</v>
      </c>
      <c r="Z6" s="3528"/>
      <c r="AA6" s="3522" t="s">
        <v>517</v>
      </c>
      <c r="AB6" s="3523" t="s">
        <v>518</v>
      </c>
      <c r="AC6" s="3522" t="s">
        <v>519</v>
      </c>
    </row>
    <row r="7" spans="1:30" ht="34.5" customHeight="1">
      <c r="A7" s="509"/>
      <c r="B7" s="510"/>
      <c r="C7" s="3552" t="s">
        <v>2891</v>
      </c>
      <c r="D7" s="3551"/>
      <c r="E7" s="3550" t="str">
        <f>土地案例!A2</f>
        <v>北京市朝阳区东坝乡东风村1104-613地块R2二类居住用地、1104-614地块A33基础教育用地</v>
      </c>
      <c r="F7" s="3551"/>
      <c r="G7" s="3550" t="str">
        <f>土地案例!A3</f>
        <v>北京市朝阳区金盏乡小店村3005-12地块R2二类居住用地、3005-14地块A33基础教育用地、3005-15地块A22文化活动用地、3005-17地块A8社区综合服务设施用地</v>
      </c>
      <c r="H7" s="3551"/>
      <c r="I7" s="3550" t="str">
        <f>土地案例!A4</f>
        <v>北京市朝阳区孙河乡西甸村、孙河村2902-88地块F1住宅混合公建用地</v>
      </c>
      <c r="J7" s="3551"/>
      <c r="K7" s="508"/>
      <c r="L7" s="2015"/>
      <c r="M7" s="2014"/>
      <c r="N7" s="2014"/>
      <c r="O7" s="2016"/>
      <c r="P7" s="3543"/>
      <c r="Q7" s="3544"/>
      <c r="R7" s="3529"/>
      <c r="S7" s="3530"/>
      <c r="T7" s="3529"/>
      <c r="U7" s="3530"/>
      <c r="V7" s="3547"/>
      <c r="W7" s="3547"/>
      <c r="X7" s="1501"/>
      <c r="Y7" s="3529"/>
      <c r="Z7" s="3530"/>
      <c r="AA7" s="3523"/>
      <c r="AB7" s="3523"/>
      <c r="AC7" s="3523"/>
    </row>
    <row r="8" spans="1:30" ht="21" thickBot="1">
      <c r="A8" s="509"/>
      <c r="B8" s="510"/>
      <c r="C8" s="3553" t="s">
        <v>2895</v>
      </c>
      <c r="D8" s="3554"/>
      <c r="E8" s="3553" t="s">
        <v>2895</v>
      </c>
      <c r="F8" s="3554"/>
      <c r="G8" s="3548" t="s">
        <v>2895</v>
      </c>
      <c r="H8" s="3549"/>
      <c r="I8" s="3548" t="s">
        <v>2895</v>
      </c>
      <c r="J8" s="3549"/>
      <c r="K8" s="508" t="s">
        <v>522</v>
      </c>
      <c r="L8" s="2015"/>
      <c r="M8" s="2014"/>
      <c r="N8" s="2014"/>
      <c r="O8" s="2016"/>
      <c r="P8" s="3545"/>
      <c r="Q8" s="3546"/>
      <c r="R8" s="3529"/>
      <c r="S8" s="3530"/>
      <c r="T8" s="3531"/>
      <c r="U8" s="3532"/>
      <c r="V8" s="3547"/>
      <c r="W8" s="3547"/>
      <c r="X8" s="1501"/>
      <c r="Y8" s="3531"/>
      <c r="Z8" s="3532"/>
      <c r="AA8" s="3524"/>
      <c r="AB8" s="3524"/>
      <c r="AC8" s="3524"/>
    </row>
    <row r="9" spans="1:30" s="1203" customFormat="1" ht="21" thickBot="1">
      <c r="A9" s="2629"/>
      <c r="B9" s="2636" t="s">
        <v>523</v>
      </c>
      <c r="C9" s="2628">
        <f>'数据-取费表'!B2</f>
        <v>44127</v>
      </c>
      <c r="D9" s="514">
        <v>100</v>
      </c>
      <c r="E9" s="515" t="str">
        <f>土地案例!K2</f>
        <v>2020-05-15</v>
      </c>
      <c r="F9" s="516">
        <f>SUMIF(72:72,YEAR(E9)&amp;"-"&amp;INT((MONTH(E9)+2)/3),73:73)</f>
        <v>100</v>
      </c>
      <c r="G9" s="517" t="str">
        <f>土地案例!K3</f>
        <v>2020-04-02</v>
      </c>
      <c r="H9" s="514">
        <f>SUMIF(72:72,YEAR(G9)&amp;"-"&amp;INT((MONTH(G9)+2)/3),73:73)</f>
        <v>100</v>
      </c>
      <c r="I9" s="517" t="str">
        <f>土地案例!K4</f>
        <v>2019-09-12</v>
      </c>
      <c r="J9" s="514">
        <f>SUMIF(72:72,YEAR(I9)&amp;"-"&amp;INT((MONTH(I9)+2)/3),73:73)</f>
        <v>100</v>
      </c>
      <c r="K9" s="518"/>
      <c r="L9" s="2017"/>
      <c r="M9" s="2014"/>
      <c r="N9" s="2014"/>
      <c r="O9" s="2018"/>
      <c r="P9" s="3525" t="s">
        <v>524</v>
      </c>
      <c r="Q9" s="3534"/>
      <c r="R9" s="1502" t="s">
        <v>8</v>
      </c>
      <c r="S9" s="1503">
        <f t="shared" ref="S9:S17" si="0">F9</f>
        <v>100</v>
      </c>
      <c r="T9" s="1502" t="s">
        <v>8</v>
      </c>
      <c r="U9" s="1503">
        <f t="shared" ref="U9:U17" si="1">H9</f>
        <v>100</v>
      </c>
      <c r="V9" s="1502" t="s">
        <v>8</v>
      </c>
      <c r="W9" s="1503">
        <f t="shared" ref="W9:W17" si="2">J9</f>
        <v>100</v>
      </c>
      <c r="X9" s="1504"/>
      <c r="Y9" s="3525" t="s">
        <v>524</v>
      </c>
      <c r="Z9" s="3526"/>
      <c r="AA9" s="1505">
        <f>D9/F9</f>
        <v>1</v>
      </c>
      <c r="AB9" s="1505">
        <f>D9/H9</f>
        <v>1</v>
      </c>
      <c r="AC9" s="1505">
        <f>D9/J9</f>
        <v>1</v>
      </c>
    </row>
    <row r="10" spans="1:30" s="1203" customFormat="1" ht="21" thickBot="1">
      <c r="A10" s="2630"/>
      <c r="B10" s="2637" t="s">
        <v>525</v>
      </c>
      <c r="C10" s="845" t="s">
        <v>526</v>
      </c>
      <c r="D10" s="514">
        <v>100</v>
      </c>
      <c r="E10" s="519" t="s">
        <v>3090</v>
      </c>
      <c r="F10" s="516">
        <f>SUMIF(75:75,E10,76:76)-SUMIF(75:75,C10,76:76)+100</f>
        <v>100</v>
      </c>
      <c r="G10" s="519" t="s">
        <v>3090</v>
      </c>
      <c r="H10" s="514">
        <f>SUMIF(75:75,G10,76:76)-SUMIF(75:75,C10,76:76)+100</f>
        <v>100</v>
      </c>
      <c r="I10" s="519" t="s">
        <v>3090</v>
      </c>
      <c r="J10" s="514">
        <f>SUMIF(75:75,I10,76:76)-SUMIF(75:75,C10,76:76)+100</f>
        <v>100</v>
      </c>
      <c r="K10" s="518"/>
      <c r="L10" s="2017"/>
      <c r="M10" s="2014"/>
      <c r="N10" s="2014"/>
      <c r="O10" s="2018"/>
      <c r="P10" s="3525" t="s">
        <v>527</v>
      </c>
      <c r="Q10" s="3526"/>
      <c r="R10" s="1502" t="s">
        <v>8</v>
      </c>
      <c r="S10" s="1503">
        <f t="shared" si="0"/>
        <v>100</v>
      </c>
      <c r="T10" s="1502" t="s">
        <v>8</v>
      </c>
      <c r="U10" s="1503">
        <f t="shared" si="1"/>
        <v>100</v>
      </c>
      <c r="V10" s="1502" t="s">
        <v>8</v>
      </c>
      <c r="W10" s="1503">
        <f t="shared" si="2"/>
        <v>100</v>
      </c>
      <c r="X10" s="1504"/>
      <c r="Y10" s="3525" t="s">
        <v>527</v>
      </c>
      <c r="Z10" s="3526"/>
      <c r="AA10" s="1505">
        <f t="shared" ref="AA10:AA47" si="3">D10/F10</f>
        <v>1</v>
      </c>
      <c r="AB10" s="1505">
        <f t="shared" ref="AB10:AB47" si="4">D10/H10</f>
        <v>1</v>
      </c>
      <c r="AC10" s="1505">
        <f t="shared" ref="AC10:AC47" si="5">D10/J10</f>
        <v>1</v>
      </c>
    </row>
    <row r="11" spans="1:30" s="1203" customFormat="1" ht="20.25">
      <c r="A11" s="2631"/>
      <c r="B11" s="2638" t="s">
        <v>2734</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33" t="s">
        <v>529</v>
      </c>
      <c r="Q11" s="1134" t="str">
        <f t="shared" ref="Q11:Q17" si="6">B11</f>
        <v>用途</v>
      </c>
      <c r="R11" s="1502" t="s">
        <v>8</v>
      </c>
      <c r="S11" s="1503">
        <f t="shared" si="0"/>
        <v>100</v>
      </c>
      <c r="T11" s="1502" t="s">
        <v>8</v>
      </c>
      <c r="U11" s="1503">
        <f t="shared" si="1"/>
        <v>100</v>
      </c>
      <c r="V11" s="1502" t="s">
        <v>8</v>
      </c>
      <c r="W11" s="1503">
        <f t="shared" si="2"/>
        <v>100</v>
      </c>
      <c r="X11" s="1504"/>
      <c r="Y11" s="3484" t="s">
        <v>530</v>
      </c>
      <c r="Z11" s="1133" t="str">
        <f t="shared" ref="Z11:Z17" si="7">Q11</f>
        <v>用途</v>
      </c>
      <c r="AA11" s="1505">
        <f t="shared" si="3"/>
        <v>1</v>
      </c>
      <c r="AB11" s="1505">
        <f t="shared" si="4"/>
        <v>1</v>
      </c>
      <c r="AC11" s="1505">
        <f t="shared" si="5"/>
        <v>1</v>
      </c>
    </row>
    <row r="12" spans="1:30" s="1292" customFormat="1" ht="27">
      <c r="A12" s="2632"/>
      <c r="B12" s="2637" t="s">
        <v>2735</v>
      </c>
      <c r="C12" s="899"/>
      <c r="D12" s="253">
        <v>100</v>
      </c>
      <c r="E12" s="523"/>
      <c r="F12" s="253">
        <f ca="1">ROUND(100/'数据-取费表'!G16,0)</f>
        <v>110</v>
      </c>
      <c r="G12" s="524"/>
      <c r="H12" s="253">
        <f ca="1">ROUND(100/'数据-取费表'!G16,0)</f>
        <v>110</v>
      </c>
      <c r="I12" s="524"/>
      <c r="J12" s="253">
        <f ca="1">ROUND(100/'数据-取费表'!G16,0)</f>
        <v>110</v>
      </c>
      <c r="K12" s="525"/>
      <c r="L12" s="2020"/>
      <c r="M12" s="2014"/>
      <c r="N12" s="2014"/>
      <c r="O12" s="2021"/>
      <c r="P12" s="3533"/>
      <c r="Q12" s="1134" t="str">
        <f t="shared" si="6"/>
        <v>土地使用年限（年）</v>
      </c>
      <c r="R12" s="1502" t="s">
        <v>8</v>
      </c>
      <c r="S12" s="1503">
        <f t="shared" ca="1" si="0"/>
        <v>110</v>
      </c>
      <c r="T12" s="1502" t="s">
        <v>8</v>
      </c>
      <c r="U12" s="1503">
        <f t="shared" ca="1" si="1"/>
        <v>110</v>
      </c>
      <c r="V12" s="1502" t="s">
        <v>8</v>
      </c>
      <c r="W12" s="1503">
        <f t="shared" ca="1" si="2"/>
        <v>110</v>
      </c>
      <c r="X12" s="1504"/>
      <c r="Y12" s="3484"/>
      <c r="Z12" s="1133" t="str">
        <f t="shared" si="7"/>
        <v>土地使用年限（年）</v>
      </c>
      <c r="AA12" s="1505">
        <f t="shared" ca="1" si="3"/>
        <v>0.90909090909090906</v>
      </c>
      <c r="AB12" s="1505">
        <f t="shared" ca="1" si="4"/>
        <v>0.90909090909090906</v>
      </c>
      <c r="AC12" s="1505">
        <f t="shared" ca="1" si="5"/>
        <v>0.90909090909090906</v>
      </c>
    </row>
    <row r="13" spans="1:30" ht="20.25">
      <c r="A13" s="2633"/>
      <c r="B13" s="2637" t="s">
        <v>2736</v>
      </c>
      <c r="C13" s="528">
        <f>'数据-汇总表'!I6</f>
        <v>10.1</v>
      </c>
      <c r="D13" s="253">
        <v>100</v>
      </c>
      <c r="E13" s="527">
        <v>2.8</v>
      </c>
      <c r="F13" s="253">
        <f>LOOKUP(E13,82:82,83:83)-LOOKUP(C13,82:82,83:83)+100</f>
        <v>112</v>
      </c>
      <c r="G13" s="528">
        <v>1.5</v>
      </c>
      <c r="H13" s="253">
        <f>LOOKUP(G13,82:82,83:83)-LOOKUP(C13,82:82,83:83)+100</f>
        <v>115</v>
      </c>
      <c r="I13" s="527">
        <v>1.5</v>
      </c>
      <c r="J13" s="253">
        <f>LOOKUP(I13,82:82,83:83)-LOOKUP(C13,82:82,83:83)+100</f>
        <v>115</v>
      </c>
      <c r="K13" s="529">
        <v>3</v>
      </c>
      <c r="L13" s="2022"/>
      <c r="M13" s="2014"/>
      <c r="N13" s="2014"/>
      <c r="O13" s="2023"/>
      <c r="P13" s="3533"/>
      <c r="Q13" s="1134" t="str">
        <f t="shared" si="6"/>
        <v>容积率</v>
      </c>
      <c r="R13" s="1502" t="s">
        <v>8</v>
      </c>
      <c r="S13" s="1503">
        <f t="shared" si="0"/>
        <v>112</v>
      </c>
      <c r="T13" s="1502" t="s">
        <v>8</v>
      </c>
      <c r="U13" s="1503">
        <f t="shared" si="1"/>
        <v>115</v>
      </c>
      <c r="V13" s="1502" t="s">
        <v>8</v>
      </c>
      <c r="W13" s="1503">
        <f t="shared" si="2"/>
        <v>115</v>
      </c>
      <c r="X13" s="1504"/>
      <c r="Y13" s="3484"/>
      <c r="Z13" s="1133" t="str">
        <f t="shared" si="7"/>
        <v>容积率</v>
      </c>
      <c r="AA13" s="1505">
        <f t="shared" si="3"/>
        <v>0.8928571428571429</v>
      </c>
      <c r="AB13" s="1505">
        <f t="shared" si="4"/>
        <v>0.86956521739130432</v>
      </c>
      <c r="AC13" s="1505">
        <f t="shared" si="5"/>
        <v>0.86956521739130432</v>
      </c>
    </row>
    <row r="14" spans="1:30" s="1203" customFormat="1" ht="20.25">
      <c r="A14" s="2630"/>
      <c r="B14" s="2639" t="s">
        <v>2737</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33"/>
      <c r="Q14" s="1134" t="str">
        <f t="shared" si="6"/>
        <v>配建</v>
      </c>
      <c r="R14" s="1502" t="s">
        <v>8</v>
      </c>
      <c r="S14" s="1503">
        <f t="shared" si="0"/>
        <v>100</v>
      </c>
      <c r="T14" s="1502" t="s">
        <v>8</v>
      </c>
      <c r="U14" s="1503">
        <f t="shared" si="1"/>
        <v>100</v>
      </c>
      <c r="V14" s="1502" t="s">
        <v>8</v>
      </c>
      <c r="W14" s="1503">
        <f t="shared" si="2"/>
        <v>100</v>
      </c>
      <c r="X14" s="1504"/>
      <c r="Y14" s="3484"/>
      <c r="Z14" s="1133" t="str">
        <f t="shared" si="7"/>
        <v>配建</v>
      </c>
      <c r="AA14" s="1505">
        <f>D14/F14</f>
        <v>1</v>
      </c>
      <c r="AB14" s="1505">
        <f>D14/H14</f>
        <v>1</v>
      </c>
      <c r="AC14" s="1505">
        <f>D14/J14</f>
        <v>1</v>
      </c>
    </row>
    <row r="15" spans="1:30" ht="20.25">
      <c r="A15" s="2634"/>
      <c r="B15" s="3317" t="s">
        <v>3216</v>
      </c>
      <c r="C15" s="3318" t="s">
        <v>3217</v>
      </c>
      <c r="D15" s="534">
        <v>100</v>
      </c>
      <c r="E15" s="3319" t="s">
        <v>3218</v>
      </c>
      <c r="F15" s="253">
        <f>SUMIF(86:86,E15,87:87)-SUMIF(86:86,C15,87:87)+100</f>
        <v>95</v>
      </c>
      <c r="G15" s="3320" t="s">
        <v>3219</v>
      </c>
      <c r="H15" s="534">
        <f>SUMIF(86:86,G15,87:87)-SUMIF(86:86,C15,87:87)+100</f>
        <v>100</v>
      </c>
      <c r="I15" s="3320" t="s">
        <v>3219</v>
      </c>
      <c r="J15" s="534">
        <f>SUMIF(86:86,I15,87:87)-SUMIF(86:86,C15,87:87)+100</f>
        <v>100</v>
      </c>
      <c r="K15" s="525"/>
      <c r="L15" s="2024"/>
      <c r="M15" s="2014"/>
      <c r="N15" s="2014"/>
      <c r="O15" s="2023"/>
      <c r="P15" s="3533"/>
      <c r="Q15" s="1134" t="str">
        <f t="shared" si="6"/>
        <v>特殊政策</v>
      </c>
      <c r="R15" s="1502" t="s">
        <v>8</v>
      </c>
      <c r="S15" s="1503">
        <f t="shared" si="0"/>
        <v>95</v>
      </c>
      <c r="T15" s="1502" t="s">
        <v>8</v>
      </c>
      <c r="U15" s="1503">
        <f t="shared" si="1"/>
        <v>100</v>
      </c>
      <c r="V15" s="1502" t="s">
        <v>8</v>
      </c>
      <c r="W15" s="1503">
        <f t="shared" si="2"/>
        <v>100</v>
      </c>
      <c r="X15" s="1504"/>
      <c r="Y15" s="3484"/>
      <c r="Z15" s="1133" t="str">
        <f t="shared" si="7"/>
        <v>特殊政策</v>
      </c>
      <c r="AA15" s="1505">
        <f>D15/F15</f>
        <v>1.0526315789473684</v>
      </c>
      <c r="AB15" s="1505">
        <f>D15/H15</f>
        <v>1</v>
      </c>
      <c r="AC15" s="1505">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33"/>
      <c r="Q16" s="1134">
        <f t="shared" si="6"/>
        <v>111</v>
      </c>
      <c r="R16" s="1502" t="s">
        <v>8</v>
      </c>
      <c r="S16" s="1503">
        <f t="shared" si="0"/>
        <v>100</v>
      </c>
      <c r="T16" s="1502" t="s">
        <v>8</v>
      </c>
      <c r="U16" s="1503">
        <f t="shared" si="1"/>
        <v>100</v>
      </c>
      <c r="V16" s="1502" t="s">
        <v>8</v>
      </c>
      <c r="W16" s="1503">
        <f t="shared" si="2"/>
        <v>100</v>
      </c>
      <c r="X16" s="1504"/>
      <c r="Y16" s="3484"/>
      <c r="Z16" s="1133">
        <f t="shared" si="7"/>
        <v>111</v>
      </c>
      <c r="AA16" s="1505">
        <f>D16/F16</f>
        <v>1</v>
      </c>
      <c r="AB16" s="1505">
        <f>D16/H16</f>
        <v>1</v>
      </c>
      <c r="AC16" s="1505">
        <f>D16/J16</f>
        <v>1</v>
      </c>
    </row>
    <row r="17" spans="1:29" ht="99.75">
      <c r="A17" s="2627" t="s">
        <v>2732</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94</v>
      </c>
      <c r="G17" s="544"/>
      <c r="H17" s="543">
        <f>SUMIF(90:90,G18,91:91)-SUMIF(90:90,C18,91:91)+100</f>
        <v>94</v>
      </c>
      <c r="I17" s="546"/>
      <c r="J17" s="543">
        <f>SUMIF(90:90,I18,91:91)-SUMIF(90:90,C18,91:91)+100</f>
        <v>97</v>
      </c>
      <c r="K17" s="529">
        <v>3</v>
      </c>
      <c r="L17" s="2024"/>
      <c r="M17" s="2014"/>
      <c r="N17" s="2014"/>
      <c r="O17" s="2023"/>
      <c r="P17" s="3535" t="s">
        <v>534</v>
      </c>
      <c r="Q17" s="1506" t="str">
        <f t="shared" si="6"/>
        <v>居住社区成熟度</v>
      </c>
      <c r="R17" s="1507" t="s">
        <v>8</v>
      </c>
      <c r="S17" s="1508">
        <f t="shared" si="0"/>
        <v>94</v>
      </c>
      <c r="T17" s="1507" t="s">
        <v>8</v>
      </c>
      <c r="U17" s="1508">
        <f t="shared" si="1"/>
        <v>94</v>
      </c>
      <c r="V17" s="1507" t="s">
        <v>8</v>
      </c>
      <c r="W17" s="1508">
        <f t="shared" si="2"/>
        <v>97</v>
      </c>
      <c r="X17" s="1501"/>
      <c r="Y17" s="3535" t="s">
        <v>534</v>
      </c>
      <c r="Z17" s="1509" t="str">
        <f t="shared" si="7"/>
        <v>居住社区成熟度</v>
      </c>
      <c r="AA17" s="1510">
        <f t="shared" si="3"/>
        <v>1.0638297872340425</v>
      </c>
      <c r="AB17" s="1510">
        <f t="shared" si="4"/>
        <v>1.0638297872340425</v>
      </c>
      <c r="AC17" s="1510">
        <f t="shared" si="5"/>
        <v>1.0309278350515463</v>
      </c>
    </row>
    <row r="18" spans="1:29" ht="20.25">
      <c r="A18" s="526"/>
      <c r="B18" s="547"/>
      <c r="C18" s="548" t="s">
        <v>3213</v>
      </c>
      <c r="D18" s="551"/>
      <c r="E18" s="552" t="s">
        <v>3214</v>
      </c>
      <c r="F18" s="549"/>
      <c r="G18" s="550" t="s">
        <v>3214</v>
      </c>
      <c r="H18" s="553"/>
      <c r="I18" s="552" t="s">
        <v>3215</v>
      </c>
      <c r="J18" s="549"/>
      <c r="K18" s="525"/>
      <c r="L18" s="2024"/>
      <c r="M18" s="2014"/>
      <c r="N18" s="2014"/>
      <c r="O18" s="2023"/>
      <c r="P18" s="3536"/>
      <c r="Q18" s="1506"/>
      <c r="R18" s="1507"/>
      <c r="S18" s="1508"/>
      <c r="T18" s="1507"/>
      <c r="U18" s="1508"/>
      <c r="V18" s="1507"/>
      <c r="W18" s="1508"/>
      <c r="X18" s="1501"/>
      <c r="Y18" s="3536"/>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90</v>
      </c>
      <c r="G19" s="556"/>
      <c r="H19" s="559">
        <f>SUMIF(92:92,G20,93:93)-SUMIF(92:92,C20,93:93)+100</f>
        <v>90</v>
      </c>
      <c r="I19" s="558"/>
      <c r="J19" s="559">
        <f>SUMIF(92:92,I20,93:93)-SUMIF(92:92,C20,93:93)+100</f>
        <v>90</v>
      </c>
      <c r="K19" s="529">
        <v>5</v>
      </c>
      <c r="L19" s="2024"/>
      <c r="M19" s="2014"/>
      <c r="N19" s="2014"/>
      <c r="O19" s="2023"/>
      <c r="P19" s="3536"/>
      <c r="Q19" s="1506" t="str">
        <f>B19</f>
        <v>商业繁华度</v>
      </c>
      <c r="R19" s="1507" t="s">
        <v>8</v>
      </c>
      <c r="S19" s="1508">
        <f>F19</f>
        <v>90</v>
      </c>
      <c r="T19" s="1507" t="s">
        <v>8</v>
      </c>
      <c r="U19" s="1508">
        <f>H19</f>
        <v>90</v>
      </c>
      <c r="V19" s="1507" t="s">
        <v>8</v>
      </c>
      <c r="W19" s="1508">
        <f>J19</f>
        <v>90</v>
      </c>
      <c r="X19" s="1501"/>
      <c r="Y19" s="3536"/>
      <c r="Z19" s="1509" t="str">
        <f>Q19</f>
        <v>商业繁华度</v>
      </c>
      <c r="AA19" s="1510">
        <f t="shared" si="3"/>
        <v>1.1111111111111112</v>
      </c>
      <c r="AB19" s="1510">
        <f t="shared" si="4"/>
        <v>1.1111111111111112</v>
      </c>
      <c r="AC19" s="1510">
        <f t="shared" si="5"/>
        <v>1.1111111111111112</v>
      </c>
    </row>
    <row r="20" spans="1:29" ht="20.25">
      <c r="A20" s="526"/>
      <c r="B20" s="560"/>
      <c r="C20" s="561" t="s">
        <v>3213</v>
      </c>
      <c r="D20" s="557"/>
      <c r="E20" s="563" t="s">
        <v>3214</v>
      </c>
      <c r="F20" s="553"/>
      <c r="G20" s="562" t="s">
        <v>3214</v>
      </c>
      <c r="H20" s="549"/>
      <c r="I20" s="563" t="s">
        <v>3214</v>
      </c>
      <c r="J20" s="549"/>
      <c r="K20" s="525"/>
      <c r="L20" s="2024"/>
      <c r="M20" s="2014"/>
      <c r="N20" s="2014"/>
      <c r="O20" s="2023"/>
      <c r="P20" s="3536"/>
      <c r="Q20" s="1506"/>
      <c r="R20" s="1507"/>
      <c r="S20" s="1508"/>
      <c r="T20" s="1507"/>
      <c r="U20" s="1508"/>
      <c r="V20" s="1507"/>
      <c r="W20" s="1508"/>
      <c r="X20" s="1501"/>
      <c r="Y20" s="3536"/>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94</v>
      </c>
      <c r="G21" s="564"/>
      <c r="H21" s="553">
        <f>SUMIF(94:94,G22,95:95)-SUMIF(94:94,C22,95:95)+100</f>
        <v>94</v>
      </c>
      <c r="I21" s="566"/>
      <c r="J21" s="553">
        <f>SUMIF(94:94,I22,95:95)-SUMIF(94:94,C22,95:95)+100</f>
        <v>94</v>
      </c>
      <c r="K21" s="529">
        <v>3</v>
      </c>
      <c r="L21" s="2024"/>
      <c r="M21" s="2014"/>
      <c r="N21" s="2014"/>
      <c r="O21" s="2023"/>
      <c r="P21" s="3536"/>
      <c r="Q21" s="1506" t="str">
        <f>B21</f>
        <v>办公集聚程度</v>
      </c>
      <c r="R21" s="1507" t="s">
        <v>8</v>
      </c>
      <c r="S21" s="1508">
        <f>F21</f>
        <v>94</v>
      </c>
      <c r="T21" s="1507" t="s">
        <v>8</v>
      </c>
      <c r="U21" s="1508">
        <f>H21</f>
        <v>94</v>
      </c>
      <c r="V21" s="1507" t="s">
        <v>8</v>
      </c>
      <c r="W21" s="1508">
        <f>J21</f>
        <v>94</v>
      </c>
      <c r="X21" s="1501"/>
      <c r="Y21" s="3536"/>
      <c r="Z21" s="1509" t="str">
        <f>Q21</f>
        <v>办公集聚程度</v>
      </c>
      <c r="AA21" s="1510">
        <f t="shared" si="3"/>
        <v>1.0638297872340425</v>
      </c>
      <c r="AB21" s="1510">
        <f t="shared" si="4"/>
        <v>1.0638297872340425</v>
      </c>
      <c r="AC21" s="1510">
        <f t="shared" si="5"/>
        <v>1.0638297872340425</v>
      </c>
    </row>
    <row r="22" spans="1:29" ht="20.25">
      <c r="A22" s="526"/>
      <c r="B22" s="560"/>
      <c r="C22" s="548" t="s">
        <v>3213</v>
      </c>
      <c r="D22" s="551"/>
      <c r="E22" s="552" t="s">
        <v>3214</v>
      </c>
      <c r="F22" s="549"/>
      <c r="G22" s="550" t="s">
        <v>3214</v>
      </c>
      <c r="H22" s="549"/>
      <c r="I22" s="552" t="s">
        <v>3214</v>
      </c>
      <c r="J22" s="549"/>
      <c r="K22" s="525"/>
      <c r="L22" s="2024"/>
      <c r="M22" s="2014"/>
      <c r="N22" s="2014"/>
      <c r="O22" s="2023"/>
      <c r="P22" s="3536"/>
      <c r="Q22" s="1506"/>
      <c r="R22" s="1507"/>
      <c r="S22" s="1508"/>
      <c r="T22" s="1507"/>
      <c r="U22" s="1508"/>
      <c r="V22" s="1507"/>
      <c r="W22" s="1508"/>
      <c r="X22" s="1501"/>
      <c r="Y22" s="3536"/>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94</v>
      </c>
      <c r="G23" s="556"/>
      <c r="H23" s="553">
        <f>SUMIF(96:96,G24,97:97)-SUMIF(96:96,C24,97:97)+100</f>
        <v>94</v>
      </c>
      <c r="I23" s="558"/>
      <c r="J23" s="553">
        <f>SUMIF(96:96,I24,97:97)-SUMIF(96:96,C24,97:97)+100</f>
        <v>97</v>
      </c>
      <c r="K23" s="529">
        <v>3</v>
      </c>
      <c r="L23" s="2024"/>
      <c r="M23" s="2014"/>
      <c r="N23" s="2014"/>
      <c r="O23" s="2023"/>
      <c r="P23" s="3536"/>
      <c r="Q23" s="1506" t="str">
        <f>B23</f>
        <v>交通便捷度</v>
      </c>
      <c r="R23" s="1507" t="s">
        <v>8</v>
      </c>
      <c r="S23" s="1508">
        <f>F23</f>
        <v>94</v>
      </c>
      <c r="T23" s="1507" t="s">
        <v>8</v>
      </c>
      <c r="U23" s="1508">
        <f>H23</f>
        <v>94</v>
      </c>
      <c r="V23" s="1507" t="s">
        <v>8</v>
      </c>
      <c r="W23" s="1508">
        <f>J23</f>
        <v>97</v>
      </c>
      <c r="X23" s="1501"/>
      <c r="Y23" s="3536"/>
      <c r="Z23" s="1509" t="str">
        <f>Q23</f>
        <v>交通便捷度</v>
      </c>
      <c r="AA23" s="1510">
        <f t="shared" si="3"/>
        <v>1.0638297872340425</v>
      </c>
      <c r="AB23" s="1510">
        <f t="shared" si="4"/>
        <v>1.0638297872340425</v>
      </c>
      <c r="AC23" s="1510">
        <f t="shared" si="5"/>
        <v>1.0309278350515463</v>
      </c>
    </row>
    <row r="24" spans="1:29" ht="20.25">
      <c r="A24" s="526"/>
      <c r="B24" s="572"/>
      <c r="C24" s="548" t="s">
        <v>3213</v>
      </c>
      <c r="D24" s="551"/>
      <c r="E24" s="552" t="s">
        <v>3214</v>
      </c>
      <c r="F24" s="549"/>
      <c r="G24" s="550" t="s">
        <v>3214</v>
      </c>
      <c r="H24" s="549"/>
      <c r="I24" s="552" t="s">
        <v>3215</v>
      </c>
      <c r="J24" s="549"/>
      <c r="K24" s="525"/>
      <c r="L24" s="2024"/>
      <c r="M24" s="2014"/>
      <c r="N24" s="2014"/>
      <c r="O24" s="2023"/>
      <c r="P24" s="3536"/>
      <c r="Q24" s="1506"/>
      <c r="R24" s="1507"/>
      <c r="S24" s="1508"/>
      <c r="T24" s="1507"/>
      <c r="U24" s="1508"/>
      <c r="V24" s="1507"/>
      <c r="W24" s="1508"/>
      <c r="X24" s="1501"/>
      <c r="Y24" s="353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36"/>
      <c r="Q25" s="1506" t="str">
        <f t="shared" ref="Q25:Q39" si="8">B25</f>
        <v>区域土地利用方向</v>
      </c>
      <c r="R25" s="1507" t="s">
        <v>8</v>
      </c>
      <c r="S25" s="1508">
        <f>F25</f>
        <v>100</v>
      </c>
      <c r="T25" s="1507" t="s">
        <v>8</v>
      </c>
      <c r="U25" s="1508">
        <f>H25</f>
        <v>100</v>
      </c>
      <c r="V25" s="1507" t="s">
        <v>8</v>
      </c>
      <c r="W25" s="1508">
        <f>J25</f>
        <v>100</v>
      </c>
      <c r="X25" s="1501"/>
      <c r="Y25" s="3536"/>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4"/>
      <c r="M26" s="2014"/>
      <c r="N26" s="2014"/>
      <c r="O26" s="2023"/>
      <c r="P26" s="3536"/>
      <c r="Q26" s="1506"/>
      <c r="R26" s="1507"/>
      <c r="S26" s="1508"/>
      <c r="T26" s="1507"/>
      <c r="U26" s="1508"/>
      <c r="V26" s="1507"/>
      <c r="W26" s="1508"/>
      <c r="X26" s="1501"/>
      <c r="Y26" s="3536"/>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36"/>
      <c r="Q27" s="1506" t="str">
        <f t="shared" si="8"/>
        <v>自然及人文环境状况</v>
      </c>
      <c r="R27" s="1507" t="s">
        <v>8</v>
      </c>
      <c r="S27" s="1508">
        <f>F27</f>
        <v>100</v>
      </c>
      <c r="T27" s="1507" t="s">
        <v>8</v>
      </c>
      <c r="U27" s="1508">
        <f>H27</f>
        <v>100</v>
      </c>
      <c r="V27" s="1507" t="s">
        <v>8</v>
      </c>
      <c r="W27" s="1508">
        <f>J27</f>
        <v>100</v>
      </c>
      <c r="X27" s="1501"/>
      <c r="Y27" s="3536"/>
      <c r="Z27" s="1509" t="str">
        <f>Q27</f>
        <v>自然及人文环境状况</v>
      </c>
      <c r="AA27" s="1510">
        <f t="shared" si="3"/>
        <v>1</v>
      </c>
      <c r="AB27" s="1510">
        <f t="shared" si="4"/>
        <v>1</v>
      </c>
      <c r="AC27" s="1510">
        <f t="shared" si="5"/>
        <v>1</v>
      </c>
    </row>
    <row r="28" spans="1:29" ht="20.25">
      <c r="A28" s="509"/>
      <c r="B28" s="560"/>
      <c r="C28" s="548" t="s">
        <v>3215</v>
      </c>
      <c r="D28" s="551"/>
      <c r="E28" s="570" t="s">
        <v>3215</v>
      </c>
      <c r="F28" s="549"/>
      <c r="G28" s="548" t="s">
        <v>3215</v>
      </c>
      <c r="H28" s="549"/>
      <c r="I28" s="570" t="s">
        <v>3215</v>
      </c>
      <c r="J28" s="549"/>
      <c r="K28" s="525"/>
      <c r="L28" s="2024"/>
      <c r="M28" s="2014"/>
      <c r="N28" s="2014"/>
      <c r="O28" s="2023"/>
      <c r="P28" s="3536"/>
      <c r="Q28" s="1506"/>
      <c r="R28" s="1507"/>
      <c r="S28" s="1508"/>
      <c r="T28" s="1507"/>
      <c r="U28" s="1508"/>
      <c r="V28" s="1507"/>
      <c r="W28" s="1508"/>
      <c r="X28" s="1501"/>
      <c r="Y28" s="3536"/>
      <c r="Z28" s="1509"/>
      <c r="AA28" s="1510">
        <v>1</v>
      </c>
      <c r="AB28" s="1510">
        <v>1</v>
      </c>
      <c r="AC28" s="1510">
        <v>1</v>
      </c>
    </row>
    <row r="29" spans="1:29" s="1203" customFormat="1" ht="42.75">
      <c r="A29" s="571"/>
      <c r="B29" s="2435" t="s">
        <v>2528</v>
      </c>
      <c r="C29" s="567" t="str">
        <f>估价对象房地状况!C21</f>
        <v>估价对象所在区域公共配套设施齐备情况</v>
      </c>
      <c r="D29" s="557">
        <v>100</v>
      </c>
      <c r="E29" s="558"/>
      <c r="F29" s="553">
        <f>SUMIF(102:102,E30,103:103)-SUMIF(102:102,C30,103:103)+100</f>
        <v>90</v>
      </c>
      <c r="G29" s="556"/>
      <c r="H29" s="553">
        <f>SUMIF(102:102,G30,103:103)-SUMIF(102:102,C30,103:103)+100</f>
        <v>90</v>
      </c>
      <c r="I29" s="558"/>
      <c r="J29" s="553">
        <f>SUMIF(102:102,I30,103:103)-SUMIF(102:102,C30,103:103)+100</f>
        <v>90</v>
      </c>
      <c r="K29" s="529">
        <v>5</v>
      </c>
      <c r="L29" s="2017"/>
      <c r="M29" s="2014"/>
      <c r="N29" s="2014"/>
      <c r="O29" s="2019"/>
      <c r="P29" s="3536"/>
      <c r="Q29" s="1134" t="str">
        <f t="shared" si="8"/>
        <v>公共配套设施</v>
      </c>
      <c r="R29" s="1502" t="s">
        <v>8</v>
      </c>
      <c r="S29" s="1503">
        <f>F29</f>
        <v>90</v>
      </c>
      <c r="T29" s="1502" t="s">
        <v>8</v>
      </c>
      <c r="U29" s="1503">
        <f>H29</f>
        <v>90</v>
      </c>
      <c r="V29" s="1502" t="s">
        <v>8</v>
      </c>
      <c r="W29" s="1503">
        <f>J29</f>
        <v>90</v>
      </c>
      <c r="X29" s="1504"/>
      <c r="Y29" s="3536"/>
      <c r="Z29" s="1133" t="str">
        <f>Q29</f>
        <v>公共配套设施</v>
      </c>
      <c r="AA29" s="1510">
        <f>D29/F29</f>
        <v>1.1111111111111112</v>
      </c>
      <c r="AB29" s="1510">
        <f>D29/H29</f>
        <v>1.1111111111111112</v>
      </c>
      <c r="AC29" s="1510">
        <f>D29/J29</f>
        <v>1.1111111111111112</v>
      </c>
    </row>
    <row r="30" spans="1:29" s="1203" customFormat="1" ht="20.25">
      <c r="A30" s="571"/>
      <c r="B30" s="560"/>
      <c r="C30" s="573" t="s">
        <v>3213</v>
      </c>
      <c r="D30" s="551"/>
      <c r="E30" s="570" t="s">
        <v>3214</v>
      </c>
      <c r="F30" s="549"/>
      <c r="G30" s="548" t="s">
        <v>3214</v>
      </c>
      <c r="H30" s="549"/>
      <c r="I30" s="570" t="s">
        <v>3214</v>
      </c>
      <c r="J30" s="549"/>
      <c r="K30" s="525"/>
      <c r="L30" s="2017"/>
      <c r="M30" s="2014"/>
      <c r="N30" s="2014"/>
      <c r="O30" s="2019"/>
      <c r="P30" s="3536"/>
      <c r="Q30" s="1134"/>
      <c r="R30" s="1502"/>
      <c r="S30" s="1503"/>
      <c r="T30" s="1502"/>
      <c r="U30" s="1503"/>
      <c r="V30" s="1502"/>
      <c r="W30" s="1503"/>
      <c r="X30" s="1504"/>
      <c r="Y30" s="3536"/>
      <c r="Z30" s="1133"/>
      <c r="AA30" s="1510">
        <v>1</v>
      </c>
      <c r="AB30" s="1510">
        <v>1</v>
      </c>
      <c r="AC30" s="1510">
        <v>1</v>
      </c>
    </row>
    <row r="31" spans="1:29" s="1203" customFormat="1" ht="28.5">
      <c r="A31" s="571"/>
      <c r="B31" s="2435"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36"/>
      <c r="Q31" s="2428" t="str">
        <f t="shared" ref="Q31" si="9">B31</f>
        <v>基础设施水平</v>
      </c>
      <c r="R31" s="1502" t="s">
        <v>8</v>
      </c>
      <c r="S31" s="1503">
        <f>F31</f>
        <v>100</v>
      </c>
      <c r="T31" s="1502" t="s">
        <v>8</v>
      </c>
      <c r="U31" s="1503">
        <f>H31</f>
        <v>100</v>
      </c>
      <c r="V31" s="1502" t="s">
        <v>8</v>
      </c>
      <c r="W31" s="1503">
        <f>J31</f>
        <v>100</v>
      </c>
      <c r="X31" s="1504"/>
      <c r="Y31" s="3536"/>
      <c r="Z31" s="2427" t="str">
        <f>Q31</f>
        <v>基础设施水平</v>
      </c>
      <c r="AA31" s="1510">
        <f>D31/F31</f>
        <v>1</v>
      </c>
      <c r="AB31" s="1510">
        <f>D31/H31</f>
        <v>1</v>
      </c>
      <c r="AC31" s="1510">
        <f>D31/J31</f>
        <v>1</v>
      </c>
    </row>
    <row r="32" spans="1:29" s="1203" customFormat="1" ht="20.25">
      <c r="A32" s="571"/>
      <c r="B32" s="560"/>
      <c r="C32" s="573"/>
      <c r="D32" s="551"/>
      <c r="E32" s="2436"/>
      <c r="F32" s="549"/>
      <c r="G32" s="573"/>
      <c r="H32" s="549"/>
      <c r="I32" s="573"/>
      <c r="J32" s="549"/>
      <c r="K32" s="525"/>
      <c r="L32" s="2017"/>
      <c r="M32" s="2014"/>
      <c r="N32" s="2014"/>
      <c r="O32" s="2019"/>
      <c r="P32" s="3536"/>
      <c r="Q32" s="2428"/>
      <c r="R32" s="1502"/>
      <c r="S32" s="1503"/>
      <c r="T32" s="1502"/>
      <c r="U32" s="1503"/>
      <c r="V32" s="1502"/>
      <c r="W32" s="1503"/>
      <c r="X32" s="1504"/>
      <c r="Y32" s="3536"/>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3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36"/>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36"/>
      <c r="Q34" s="1506" t="str">
        <f t="shared" si="8"/>
        <v>毗邻道路的类型与等级</v>
      </c>
      <c r="R34" s="1507" t="s">
        <v>8</v>
      </c>
      <c r="S34" s="1508">
        <f t="shared" si="10"/>
        <v>100</v>
      </c>
      <c r="T34" s="1507" t="s">
        <v>8</v>
      </c>
      <c r="U34" s="1508">
        <f t="shared" si="11"/>
        <v>100</v>
      </c>
      <c r="V34" s="1507" t="s">
        <v>8</v>
      </c>
      <c r="W34" s="1508">
        <f t="shared" si="12"/>
        <v>100</v>
      </c>
      <c r="X34" s="1501"/>
      <c r="Y34" s="3536"/>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36"/>
      <c r="Q35" s="1506"/>
      <c r="R35" s="1507"/>
      <c r="S35" s="1508"/>
      <c r="T35" s="1507"/>
      <c r="U35" s="1508"/>
      <c r="V35" s="1507"/>
      <c r="W35" s="1508"/>
      <c r="X35" s="1501"/>
      <c r="Y35" s="3536"/>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36"/>
      <c r="Q36" s="1506" t="str">
        <f t="shared" si="8"/>
        <v>土地级别</v>
      </c>
      <c r="R36" s="1507" t="s">
        <v>8</v>
      </c>
      <c r="S36" s="1508">
        <f t="shared" si="10"/>
        <v>100</v>
      </c>
      <c r="T36" s="1507" t="s">
        <v>8</v>
      </c>
      <c r="U36" s="1508">
        <f t="shared" si="11"/>
        <v>100</v>
      </c>
      <c r="V36" s="1507" t="s">
        <v>8</v>
      </c>
      <c r="W36" s="1508">
        <f t="shared" si="12"/>
        <v>100</v>
      </c>
      <c r="X36" s="1501"/>
      <c r="Y36" s="3536"/>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36"/>
      <c r="Q37" s="1506">
        <f t="shared" si="8"/>
        <v>111</v>
      </c>
      <c r="R37" s="1507" t="s">
        <v>8</v>
      </c>
      <c r="S37" s="1508">
        <f t="shared" si="10"/>
        <v>100</v>
      </c>
      <c r="T37" s="1507" t="s">
        <v>8</v>
      </c>
      <c r="U37" s="1508">
        <f t="shared" si="11"/>
        <v>100</v>
      </c>
      <c r="V37" s="1507" t="s">
        <v>8</v>
      </c>
      <c r="W37" s="1508">
        <f t="shared" si="12"/>
        <v>100</v>
      </c>
      <c r="X37" s="1501"/>
      <c r="Y37" s="3536"/>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37" t="s">
        <v>544</v>
      </c>
      <c r="Q38" s="1506">
        <f t="shared" si="8"/>
        <v>111</v>
      </c>
      <c r="R38" s="1507" t="s">
        <v>8</v>
      </c>
      <c r="S38" s="1508">
        <f t="shared" si="10"/>
        <v>100</v>
      </c>
      <c r="T38" s="1507" t="s">
        <v>8</v>
      </c>
      <c r="U38" s="1508">
        <f t="shared" si="11"/>
        <v>100</v>
      </c>
      <c r="V38" s="1507" t="s">
        <v>8</v>
      </c>
      <c r="W38" s="1508">
        <f t="shared" si="12"/>
        <v>100</v>
      </c>
      <c r="X38" s="1501"/>
      <c r="Y38" s="3538" t="s">
        <v>544</v>
      </c>
      <c r="Z38" s="1509">
        <f t="shared" si="13"/>
        <v>111</v>
      </c>
      <c r="AA38" s="1510">
        <f t="shared" si="3"/>
        <v>1</v>
      </c>
      <c r="AB38" s="1510">
        <f t="shared" si="4"/>
        <v>1</v>
      </c>
      <c r="AC38" s="1510">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38"/>
      <c r="Q39" s="1506">
        <f t="shared" si="8"/>
        <v>111</v>
      </c>
      <c r="R39" s="1511" t="s">
        <v>8</v>
      </c>
      <c r="S39" s="1512">
        <f t="shared" si="10"/>
        <v>100</v>
      </c>
      <c r="T39" s="1511" t="s">
        <v>8</v>
      </c>
      <c r="U39" s="1512">
        <f t="shared" si="11"/>
        <v>100</v>
      </c>
      <c r="V39" s="1511" t="s">
        <v>8</v>
      </c>
      <c r="W39" s="1512">
        <f t="shared" si="12"/>
        <v>100</v>
      </c>
      <c r="X39" s="1513"/>
      <c r="Y39" s="3538"/>
      <c r="Z39" s="1514">
        <f t="shared" si="13"/>
        <v>111</v>
      </c>
      <c r="AA39" s="1510">
        <f t="shared" si="3"/>
        <v>1</v>
      </c>
      <c r="AB39" s="1510">
        <f t="shared" si="4"/>
        <v>1</v>
      </c>
      <c r="AC39" s="1510">
        <f t="shared" si="5"/>
        <v>1</v>
      </c>
    </row>
    <row r="40" spans="1:29" ht="20.25">
      <c r="A40" s="2624" t="s">
        <v>2733</v>
      </c>
      <c r="B40" s="589" t="s">
        <v>546</v>
      </c>
      <c r="C40" s="590">
        <f>'数据-基础表'!A3</f>
        <v>18893.75</v>
      </c>
      <c r="D40" s="591">
        <v>100</v>
      </c>
      <c r="E40" s="590">
        <f>土地案例!G2</f>
        <v>20188.580000000002</v>
      </c>
      <c r="F40" s="591">
        <f>LOOKUP(E40,119:119,120:120)-LOOKUP(C40,119:119,120:120)+100</f>
        <v>101</v>
      </c>
      <c r="G40" s="590">
        <f>土地案例!G3</f>
        <v>80892.990000000005</v>
      </c>
      <c r="H40" s="591">
        <f>LOOKUP(G40,119:119,120:120)-LOOKUP(C40,119:119,120:120)+100</f>
        <v>104</v>
      </c>
      <c r="I40" s="592">
        <f>土地案例!G4</f>
        <v>31917.24</v>
      </c>
      <c r="J40" s="591">
        <f>LOOKUP(I40,119:119,120:120)-LOOKUP(C40,119:119,120:120)+100</f>
        <v>101</v>
      </c>
      <c r="K40" s="575"/>
      <c r="L40" s="2024"/>
      <c r="M40" s="2014"/>
      <c r="N40" s="2014"/>
      <c r="O40" s="2023"/>
      <c r="P40" s="3538"/>
      <c r="Q40" s="1506" t="str">
        <f>B40</f>
        <v>宗地面积</v>
      </c>
      <c r="R40" s="1507" t="s">
        <v>8</v>
      </c>
      <c r="S40" s="1508">
        <f t="shared" si="10"/>
        <v>101</v>
      </c>
      <c r="T40" s="1507" t="s">
        <v>8</v>
      </c>
      <c r="U40" s="1508">
        <f t="shared" si="11"/>
        <v>104</v>
      </c>
      <c r="V40" s="1507" t="s">
        <v>8</v>
      </c>
      <c r="W40" s="1508">
        <f t="shared" si="12"/>
        <v>101</v>
      </c>
      <c r="X40" s="1501"/>
      <c r="Y40" s="3538"/>
      <c r="Z40" s="1509" t="str">
        <f t="shared" si="13"/>
        <v>宗地面积</v>
      </c>
      <c r="AA40" s="1510">
        <f t="shared" si="3"/>
        <v>0.99009900990099009</v>
      </c>
      <c r="AB40" s="1510">
        <f t="shared" si="4"/>
        <v>0.96153846153846156</v>
      </c>
      <c r="AC40" s="1510">
        <f t="shared" si="5"/>
        <v>0.99009900990099009</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38"/>
      <c r="Q41" s="1506" t="str">
        <f t="shared" ref="Q41:Q47" si="14">B41</f>
        <v>宗地形状</v>
      </c>
      <c r="R41" s="1507" t="s">
        <v>8</v>
      </c>
      <c r="S41" s="1508">
        <f t="shared" si="10"/>
        <v>100</v>
      </c>
      <c r="T41" s="1507" t="s">
        <v>8</v>
      </c>
      <c r="U41" s="1508">
        <f t="shared" si="11"/>
        <v>100</v>
      </c>
      <c r="V41" s="1507" t="s">
        <v>8</v>
      </c>
      <c r="W41" s="1508">
        <f t="shared" si="12"/>
        <v>100</v>
      </c>
      <c r="X41" s="1501"/>
      <c r="Y41" s="3538"/>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38"/>
      <c r="Q42" s="1506" t="str">
        <f t="shared" si="14"/>
        <v>临街宽度及深度</v>
      </c>
      <c r="R42" s="1507" t="s">
        <v>8</v>
      </c>
      <c r="S42" s="1508">
        <f t="shared" si="10"/>
        <v>100</v>
      </c>
      <c r="T42" s="1507" t="s">
        <v>8</v>
      </c>
      <c r="U42" s="1508">
        <f t="shared" si="11"/>
        <v>100</v>
      </c>
      <c r="V42" s="1507" t="s">
        <v>8</v>
      </c>
      <c r="W42" s="1508">
        <f t="shared" si="12"/>
        <v>100</v>
      </c>
      <c r="X42" s="1501"/>
      <c r="Y42" s="3538"/>
      <c r="Z42" s="1509" t="str">
        <f t="shared" si="13"/>
        <v>临街宽度及深度</v>
      </c>
      <c r="AA42" s="1510">
        <f t="shared" si="3"/>
        <v>1</v>
      </c>
      <c r="AB42" s="1510">
        <f t="shared" si="4"/>
        <v>1</v>
      </c>
      <c r="AC42" s="1510">
        <f t="shared" si="5"/>
        <v>1</v>
      </c>
    </row>
    <row r="43" spans="1:29" s="1203" customFormat="1" ht="20.25">
      <c r="A43" s="594"/>
      <c r="B43" s="1809" t="s">
        <v>2407</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38"/>
      <c r="Q43" s="1506" t="str">
        <f t="shared" si="14"/>
        <v>宗地开发程度</v>
      </c>
      <c r="R43" s="1502" t="s">
        <v>8</v>
      </c>
      <c r="S43" s="1503">
        <f t="shared" si="10"/>
        <v>100</v>
      </c>
      <c r="T43" s="1502" t="s">
        <v>8</v>
      </c>
      <c r="U43" s="1503">
        <f t="shared" si="11"/>
        <v>100</v>
      </c>
      <c r="V43" s="1502" t="s">
        <v>8</v>
      </c>
      <c r="W43" s="1503">
        <f t="shared" si="12"/>
        <v>100</v>
      </c>
      <c r="X43" s="1504"/>
      <c r="Y43" s="3538"/>
      <c r="Z43" s="1133"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38" t="s">
        <v>544</v>
      </c>
      <c r="Q44" s="1506" t="str">
        <f t="shared" si="14"/>
        <v>工程地质条件</v>
      </c>
      <c r="R44" s="1507" t="s">
        <v>8</v>
      </c>
      <c r="S44" s="1508">
        <f t="shared" si="10"/>
        <v>100</v>
      </c>
      <c r="T44" s="1507" t="s">
        <v>8</v>
      </c>
      <c r="U44" s="1508">
        <f t="shared" si="11"/>
        <v>100</v>
      </c>
      <c r="V44" s="1507" t="s">
        <v>8</v>
      </c>
      <c r="W44" s="1508">
        <f t="shared" si="12"/>
        <v>100</v>
      </c>
      <c r="X44" s="1501"/>
      <c r="Y44" s="3538"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38"/>
      <c r="Q45" s="1506">
        <f t="shared" si="14"/>
        <v>111</v>
      </c>
      <c r="R45" s="1507" t="s">
        <v>8</v>
      </c>
      <c r="S45" s="1508">
        <f t="shared" si="10"/>
        <v>100</v>
      </c>
      <c r="T45" s="1507" t="s">
        <v>8</v>
      </c>
      <c r="U45" s="1508">
        <f t="shared" si="11"/>
        <v>100</v>
      </c>
      <c r="V45" s="1507" t="s">
        <v>8</v>
      </c>
      <c r="W45" s="1508">
        <f t="shared" si="12"/>
        <v>100</v>
      </c>
      <c r="X45" s="1501"/>
      <c r="Y45" s="3538"/>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38"/>
      <c r="Q46" s="1506">
        <f t="shared" si="14"/>
        <v>111</v>
      </c>
      <c r="R46" s="1507" t="s">
        <v>8</v>
      </c>
      <c r="S46" s="1508">
        <f t="shared" si="10"/>
        <v>100</v>
      </c>
      <c r="T46" s="1507" t="s">
        <v>8</v>
      </c>
      <c r="U46" s="1508">
        <f t="shared" si="11"/>
        <v>100</v>
      </c>
      <c r="V46" s="1507" t="s">
        <v>8</v>
      </c>
      <c r="W46" s="1508">
        <f t="shared" si="12"/>
        <v>100</v>
      </c>
      <c r="X46" s="1501"/>
      <c r="Y46" s="3538"/>
      <c r="Z46" s="1509">
        <f t="shared" si="13"/>
        <v>111</v>
      </c>
      <c r="AA46" s="1510">
        <f t="shared" si="3"/>
        <v>1</v>
      </c>
      <c r="AB46" s="1510">
        <f t="shared" si="4"/>
        <v>1</v>
      </c>
      <c r="AC46" s="1510">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38"/>
      <c r="Q47" s="1506">
        <f t="shared" si="14"/>
        <v>111</v>
      </c>
      <c r="R47" s="1511" t="s">
        <v>8</v>
      </c>
      <c r="S47" s="1512">
        <f t="shared" si="10"/>
        <v>100</v>
      </c>
      <c r="T47" s="1511" t="s">
        <v>8</v>
      </c>
      <c r="U47" s="1512">
        <f t="shared" si="11"/>
        <v>100</v>
      </c>
      <c r="V47" s="1511" t="s">
        <v>8</v>
      </c>
      <c r="W47" s="1512">
        <f t="shared" si="12"/>
        <v>100</v>
      </c>
      <c r="X47" s="1513"/>
      <c r="Y47" s="3538"/>
      <c r="Z47" s="1514">
        <f t="shared" si="13"/>
        <v>111</v>
      </c>
      <c r="AA47" s="1510">
        <f t="shared" si="3"/>
        <v>1</v>
      </c>
      <c r="AB47" s="1510">
        <f t="shared" si="4"/>
        <v>1</v>
      </c>
      <c r="AC47" s="1510">
        <f t="shared" si="5"/>
        <v>1</v>
      </c>
    </row>
    <row r="48" spans="1:29" ht="20.25">
      <c r="A48" s="601" t="s">
        <v>550</v>
      </c>
      <c r="B48" s="602" t="s">
        <v>3221</v>
      </c>
      <c r="C48" s="603" t="s">
        <v>1</v>
      </c>
      <c r="D48" s="604"/>
      <c r="E48" s="605">
        <f>土地案例!O2</f>
        <v>42346.69</v>
      </c>
      <c r="F48" s="606"/>
      <c r="G48" s="607">
        <f>土地案例!O3</f>
        <v>41056.019999999997</v>
      </c>
      <c r="H48" s="608"/>
      <c r="I48" s="605">
        <f>土地案例!O4</f>
        <v>50651.68</v>
      </c>
      <c r="J48" s="608"/>
      <c r="K48" s="1294"/>
      <c r="L48" s="2026"/>
      <c r="M48" s="2014"/>
      <c r="N48" s="2014"/>
      <c r="O48" s="2027"/>
      <c r="P48" s="3533" t="str">
        <f>A48</f>
        <v>成交单价</v>
      </c>
      <c r="Q48" s="3533"/>
      <c r="R48" s="3547">
        <f>E48</f>
        <v>42346.69</v>
      </c>
      <c r="S48" s="3547"/>
      <c r="T48" s="3547">
        <f>G48</f>
        <v>41056.019999999997</v>
      </c>
      <c r="U48" s="3547"/>
      <c r="V48" s="3547">
        <f>I48</f>
        <v>50651.68</v>
      </c>
      <c r="W48" s="3547"/>
      <c r="X48" s="1496"/>
      <c r="Y48" s="1515"/>
      <c r="Z48" s="1496"/>
      <c r="AA48" s="1496"/>
      <c r="AB48" s="1496"/>
      <c r="AC48" s="1496"/>
    </row>
    <row r="49" spans="1:29" ht="21" thickBot="1">
      <c r="A49" s="609" t="s">
        <v>2671</v>
      </c>
      <c r="B49" s="610"/>
      <c r="C49" s="611">
        <f ca="1">R50</f>
        <v>51657</v>
      </c>
      <c r="D49" s="3014" t="s">
        <v>2965</v>
      </c>
      <c r="E49" s="611">
        <f ca="1">R49</f>
        <v>53247</v>
      </c>
      <c r="F49" s="3015"/>
      <c r="G49" s="612">
        <f ca="1">T49</f>
        <v>46386</v>
      </c>
      <c r="H49" s="3015"/>
      <c r="I49" s="611">
        <f ca="1">V49</f>
        <v>55338</v>
      </c>
      <c r="J49" s="3015"/>
      <c r="K49" s="3016">
        <f>F49+H49+J49</f>
        <v>0</v>
      </c>
      <c r="L49" s="2026"/>
      <c r="M49" s="2014"/>
      <c r="N49" s="2014"/>
      <c r="O49" s="2027"/>
      <c r="P49" s="3533" t="str">
        <f>A49</f>
        <v>比较价格（元/平方米）</v>
      </c>
      <c r="Q49" s="3533"/>
      <c r="R49" s="3558">
        <f ca="1">ROUND(PRODUCT(R48,AA9:AA47),0)</f>
        <v>53247</v>
      </c>
      <c r="S49" s="3558"/>
      <c r="T49" s="3558">
        <f ca="1">ROUND(PRODUCT(T48,AB9:AB47),0)</f>
        <v>46386</v>
      </c>
      <c r="U49" s="3558"/>
      <c r="V49" s="3558">
        <f ca="1">ROUND(PRODUCT(V48,AC9:AC47),0)</f>
        <v>55338</v>
      </c>
      <c r="W49" s="3558"/>
      <c r="X49" s="1496"/>
      <c r="Y49" s="1496"/>
      <c r="Z49" s="1496"/>
      <c r="AA49" s="1496"/>
      <c r="AB49" s="1496"/>
      <c r="AC49" s="1496"/>
    </row>
    <row r="50" spans="1:29" ht="21" thickBot="1">
      <c r="A50" s="613" t="s">
        <v>2897</v>
      </c>
      <c r="B50" s="614"/>
      <c r="C50" s="615">
        <f ca="1">R50</f>
        <v>51657</v>
      </c>
      <c r="D50" s="615"/>
      <c r="E50" s="615"/>
      <c r="F50" s="615"/>
      <c r="G50" s="615"/>
      <c r="H50" s="615"/>
      <c r="I50" s="615"/>
      <c r="J50" s="615"/>
      <c r="K50" s="1295"/>
      <c r="L50" s="2026"/>
      <c r="M50" s="2014"/>
      <c r="N50" s="2014"/>
      <c r="O50" s="2027"/>
      <c r="P50" s="3555" t="str">
        <f>A50</f>
        <v>估价对象XX用房的比较价格（楼面单价，元/平方米）</v>
      </c>
      <c r="Q50" s="3556"/>
      <c r="R50" s="3557">
        <f ca="1">ROUND(IF(D49="简单平均",AVERAGE(R49:W49),R49*F49+T49*H49+V49*J49),0)</f>
        <v>51657</v>
      </c>
      <c r="S50" s="3557"/>
      <c r="T50" s="3557"/>
      <c r="U50" s="3557"/>
      <c r="V50" s="3557"/>
      <c r="W50" s="3557"/>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 ca="1">IF(E48&lt;E49,E49/E48-1,E48/E49-1)</f>
        <v>0.25740642302857664</v>
      </c>
      <c r="F53" s="619" t="str">
        <f ca="1">IF(OR(E53&gt;=0.3,E53&lt;=-0.3),"超过30%","")</f>
        <v/>
      </c>
      <c r="G53" s="618">
        <f ca="1">IF(G48&lt;G49,G49/G48-1,G48/G49-1)</f>
        <v>0.12982213083489347</v>
      </c>
      <c r="H53" s="619" t="str">
        <f ca="1">IF(OR(G53&gt;=0.3,G53&lt;=-0.3),"超过30%","")</f>
        <v/>
      </c>
      <c r="I53" s="618">
        <f ca="1">IF(I48&lt;I49,I49/I48-1,I48/I49-1)</f>
        <v>9.2520524491981337E-2</v>
      </c>
      <c r="J53" s="619" t="str">
        <f ca="1">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 ca="1">IF(E49&lt;G49,G49/E49-1,E49/G49-1)</f>
        <v>0.14791100763161302</v>
      </c>
      <c r="F54" s="619" t="str">
        <f ca="1">IF(OR(E54&gt;=0.2,E54&lt;=-0.2),"超过20%","")</f>
        <v/>
      </c>
      <c r="G54" s="618">
        <f ca="1">IF(G49&lt;I49,I49/G49-1,G49/I49-1)</f>
        <v>0.19298926400206962</v>
      </c>
      <c r="H54" s="619" t="str">
        <f ca="1">IF(OR(G54&gt;=0.2,G54&lt;=-0.2),"超过20%","")</f>
        <v/>
      </c>
      <c r="I54" s="618">
        <f ca="1">IF(I49&lt;E49,E49/I49-1,I49/E49-1)</f>
        <v>3.9269818017916513E-2</v>
      </c>
      <c r="J54" s="619" t="str">
        <f ca="1">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f>IF(E48&lt;G48,G48/E48-1,E48/G48-1)</f>
        <v>3.1436802690567811E-2</v>
      </c>
      <c r="F55" s="619" t="str">
        <f>IF(OR(E55&gt;=0.3,E55&lt;=-0.3),"超过30%","")</f>
        <v/>
      </c>
      <c r="G55" s="618">
        <f>IF(G48&lt;I48,I48/G48-1,G48/I48-1)</f>
        <v>0.23372114491370577</v>
      </c>
      <c r="H55" s="619" t="str">
        <f>IF(OR(G55&gt;=0.3,G55&lt;=-0.3),"超过30%","")</f>
        <v/>
      </c>
      <c r="I55" s="618">
        <f>IF(I48&lt;E48,E48/I48-1,I48/E48-1)</f>
        <v>0.19611898828456242</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2279</v>
      </c>
      <c r="E57" s="623" t="s">
        <v>556</v>
      </c>
      <c r="F57" s="624" t="s">
        <v>557</v>
      </c>
      <c r="G57" s="3517" t="s">
        <v>2267</v>
      </c>
      <c r="H57" s="3518"/>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 ca="1">C50</f>
        <v>51657</v>
      </c>
      <c r="C58" s="627">
        <v>1</v>
      </c>
      <c r="D58" s="2108">
        <v>1</v>
      </c>
      <c r="E58" s="627">
        <f>'数据-汇总表'!E8+'数据-汇总表'!E9</f>
        <v>190800</v>
      </c>
      <c r="F58" s="628">
        <f t="shared" ref="F58:F67" ca="1" si="15">ROUND(B58*E58/10000,0)</f>
        <v>985616</v>
      </c>
      <c r="G58" s="3519"/>
      <c r="H58" s="3520"/>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 ca="1">ROUND($C$50*C59*D59,0)</f>
        <v>10331</v>
      </c>
      <c r="C59" s="372">
        <f t="shared" ref="C59:C67" si="16">IF($C$57="北京市系数",I59,J59)</f>
        <v>0.8</v>
      </c>
      <c r="D59" s="2109">
        <v>0.25</v>
      </c>
      <c r="E59" s="631">
        <f>'数据-汇总表'!G20</f>
        <v>11600.12</v>
      </c>
      <c r="F59" s="628">
        <f t="shared" ca="1" si="15"/>
        <v>11984</v>
      </c>
      <c r="G59" s="3521" t="s">
        <v>2268</v>
      </c>
      <c r="H59" s="1862" t="str">
        <f>项目基本情况!B43</f>
        <v>一级</v>
      </c>
      <c r="I59" s="1494">
        <f>SUMIF(修正!$A$45:$A$56,H59,修正!B45:B56)</f>
        <v>0.8</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ca="1" si="17">ROUND($C$50*C60*D60,0)</f>
        <v>6457</v>
      </c>
      <c r="C60" s="372">
        <f t="shared" si="16"/>
        <v>0.5</v>
      </c>
      <c r="D60" s="2109">
        <v>0.25</v>
      </c>
      <c r="E60" s="631">
        <v>0</v>
      </c>
      <c r="F60" s="628">
        <f t="shared" ca="1" si="15"/>
        <v>0</v>
      </c>
      <c r="G60" s="3521"/>
      <c r="H60" s="1862" t="str">
        <f>项目基本情况!B43</f>
        <v>一级</v>
      </c>
      <c r="I60" s="1494">
        <f>SUMIF(修正!$A$45:$A$56,H60,修正!C45:C56)</f>
        <v>0.5</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ca="1" si="17"/>
        <v>4649</v>
      </c>
      <c r="C61" s="372">
        <f t="shared" si="16"/>
        <v>0.36</v>
      </c>
      <c r="D61" s="2109">
        <v>0.25</v>
      </c>
      <c r="E61" s="631">
        <v>0</v>
      </c>
      <c r="F61" s="628">
        <f t="shared" ca="1" si="15"/>
        <v>0</v>
      </c>
      <c r="G61" s="3521"/>
      <c r="H61" s="1862" t="str">
        <f>项目基本情况!B43</f>
        <v>一级</v>
      </c>
      <c r="I61" s="1494">
        <f>SUMIF(修正!$A$45:$A$56,H61,修正!D45:D56)</f>
        <v>0.36</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ca="1" si="17"/>
        <v>3874</v>
      </c>
      <c r="C62" s="372">
        <f t="shared" si="16"/>
        <v>0.3</v>
      </c>
      <c r="D62" s="2109">
        <v>0.25</v>
      </c>
      <c r="E62" s="631">
        <v>0</v>
      </c>
      <c r="F62" s="628">
        <f t="shared" ca="1" si="15"/>
        <v>0</v>
      </c>
      <c r="G62" s="3521"/>
      <c r="H62" s="1862" t="str">
        <f>项目基本情况!B43</f>
        <v>一级</v>
      </c>
      <c r="I62" s="1494">
        <f>SUMIF(修正!$A$45:$A$56,H62,修正!E45:E56)</f>
        <v>0.3</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2314</v>
      </c>
      <c r="B63" s="630">
        <f t="shared" ca="1" si="17"/>
        <v>3874</v>
      </c>
      <c r="C63" s="372">
        <f t="shared" si="16"/>
        <v>0.3</v>
      </c>
      <c r="D63" s="2109">
        <v>0.25</v>
      </c>
      <c r="E63" s="633">
        <f>'数据-汇总表'!E11</f>
        <v>0</v>
      </c>
      <c r="F63" s="628">
        <f t="shared" ca="1" si="15"/>
        <v>0</v>
      </c>
      <c r="G63" s="1859" t="s">
        <v>2269</v>
      </c>
      <c r="H63" s="1862" t="str">
        <f>项目基本情况!C43</f>
        <v>一级</v>
      </c>
      <c r="I63" s="1494">
        <f>SUMIF(修正!$A$45:$A$56,H63,修正!F45:F56)</f>
        <v>0.3</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ca="1" si="17"/>
        <v>3874</v>
      </c>
      <c r="C64" s="372">
        <f t="shared" si="16"/>
        <v>0.3</v>
      </c>
      <c r="D64" s="2109">
        <v>0.25</v>
      </c>
      <c r="E64" s="633">
        <f>'数据-汇总表'!E12</f>
        <v>3293.4</v>
      </c>
      <c r="F64" s="628">
        <f t="shared" ca="1" si="15"/>
        <v>1276</v>
      </c>
      <c r="G64" s="1860" t="s">
        <v>1668</v>
      </c>
      <c r="H64" s="1858" t="str">
        <f>IF(G64="商业",项目基本情况!B43,IF(G64="办公",项目基本情况!C43,IF(G64="住宅",项目基本情况!D43,项目基本情况!E43)))</f>
        <v>一级</v>
      </c>
      <c r="I64" s="1494">
        <f>SUMIF(修正!$A$45:$A$56,H64,修正!G45:G56)</f>
        <v>0.3</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ca="1" si="17"/>
        <v>3229</v>
      </c>
      <c r="C65" s="372">
        <f t="shared" si="16"/>
        <v>0.25</v>
      </c>
      <c r="D65" s="2109">
        <v>0.25</v>
      </c>
      <c r="E65" s="633">
        <f>'数据-汇总表'!E13</f>
        <v>50872.61</v>
      </c>
      <c r="F65" s="628">
        <f t="shared" ca="1" si="15"/>
        <v>16427</v>
      </c>
      <c r="G65" s="1860" t="s">
        <v>914</v>
      </c>
      <c r="H65" s="1858" t="str">
        <f>IF(G65="商业",项目基本情况!B43,IF(G65="办公",项目基本情况!C43,IF(G65="住宅",项目基本情况!D43,项目基本情况!E43)))</f>
        <v>一级</v>
      </c>
      <c r="I65" s="1494">
        <f>SUMIF(修正!$A$45:$A$56,H65,修正!H45:H56)</f>
        <v>0.25</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ca="1" si="17"/>
        <v>3229</v>
      </c>
      <c r="C66" s="372">
        <f t="shared" si="16"/>
        <v>0.25</v>
      </c>
      <c r="D66" s="2109">
        <v>0.25</v>
      </c>
      <c r="E66" s="633">
        <f>'数据-汇总表'!E14</f>
        <v>0</v>
      </c>
      <c r="F66" s="628">
        <f t="shared" ca="1" si="15"/>
        <v>0</v>
      </c>
      <c r="G66" s="1859" t="s">
        <v>2268</v>
      </c>
      <c r="H66" s="1862" t="str">
        <f>项目基本情况!B43</f>
        <v>一级</v>
      </c>
      <c r="I66" s="1494">
        <f>SUMIF(修正!$A$45:$A$56,H66,修正!H45:H56)</f>
        <v>0.25</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ca="1" si="17"/>
        <v>3229</v>
      </c>
      <c r="C67" s="372">
        <f t="shared" si="16"/>
        <v>0.25</v>
      </c>
      <c r="D67" s="2109">
        <v>0.25</v>
      </c>
      <c r="E67" s="633">
        <f>'数据-汇总表'!E15</f>
        <v>0</v>
      </c>
      <c r="F67" s="628">
        <f t="shared" ca="1" si="15"/>
        <v>0</v>
      </c>
      <c r="G67" s="1861" t="s">
        <v>2269</v>
      </c>
      <c r="H67" s="1863" t="str">
        <f>项目基本情况!C43</f>
        <v>一级</v>
      </c>
      <c r="I67" s="1494">
        <f>SUMIF(修正!$A$45:$A$56,H67,修正!H45:H56)</f>
        <v>0.25</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2280</v>
      </c>
      <c r="E68" s="635">
        <f>IF(B48="楼面地价",SUM(E58:E67),'数据-汇总表'!D3)</f>
        <v>256566.13</v>
      </c>
      <c r="F68" s="636">
        <f ca="1">IF(B48="楼面地价",SUM(F58:F67),ROUND(C50*E68/10000,0))</f>
        <v>1015303</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2020-10-1</v>
      </c>
      <c r="D70" s="2516">
        <f>EDATE(C70,-3)</f>
        <v>44013</v>
      </c>
      <c r="E70" s="2516">
        <f t="shared" ref="E70:N70" si="18">EDATE(D70,-3)</f>
        <v>43922</v>
      </c>
      <c r="F70" s="2516">
        <f t="shared" si="18"/>
        <v>43831</v>
      </c>
      <c r="G70" s="2516">
        <f t="shared" si="18"/>
        <v>43739</v>
      </c>
      <c r="H70" s="2516">
        <f t="shared" si="18"/>
        <v>43647</v>
      </c>
      <c r="I70" s="2516">
        <f t="shared" si="18"/>
        <v>43556</v>
      </c>
      <c r="J70" s="2516">
        <f t="shared" si="18"/>
        <v>43466</v>
      </c>
      <c r="K70" s="2516">
        <f t="shared" si="18"/>
        <v>43374</v>
      </c>
      <c r="L70" s="2516">
        <f t="shared" si="18"/>
        <v>43282</v>
      </c>
      <c r="M70" s="2516">
        <f t="shared" si="18"/>
        <v>43191</v>
      </c>
      <c r="N70" s="2516">
        <f t="shared" si="18"/>
        <v>43101</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2512</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3" customFormat="1" ht="27" customHeight="1">
      <c r="A73" s="2523" t="s">
        <v>914</v>
      </c>
      <c r="B73" s="473" t="str">
        <f>"北京市平均增长率"&amp;TEXT(SUMIF(基准地价商业!N21:N25,A73,基准地价商业!P21:P25),"0.00%")</f>
        <v>北京市平均增长率1.90%</v>
      </c>
      <c r="C73" s="883">
        <v>100</v>
      </c>
      <c r="D73" s="722">
        <v>100</v>
      </c>
      <c r="E73" s="722">
        <v>100</v>
      </c>
      <c r="F73" s="722">
        <v>100</v>
      </c>
      <c r="G73" s="722">
        <v>100</v>
      </c>
      <c r="H73" s="722">
        <v>100</v>
      </c>
      <c r="I73" s="722">
        <v>100</v>
      </c>
      <c r="J73" s="722">
        <v>100</v>
      </c>
      <c r="K73" s="722">
        <v>100</v>
      </c>
      <c r="L73" s="722">
        <v>100</v>
      </c>
      <c r="M73" s="722">
        <v>100</v>
      </c>
      <c r="N73" s="722">
        <v>100</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2625</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ht="28.5">
      <c r="A77" s="656" t="s">
        <v>571</v>
      </c>
      <c r="B77" s="657" t="s">
        <v>528</v>
      </c>
      <c r="C77" s="642" t="s">
        <v>3212</v>
      </c>
      <c r="D77" s="642" t="s">
        <v>3157</v>
      </c>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v>95</v>
      </c>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0（含）-2</v>
      </c>
      <c r="D81" s="674" t="str">
        <f t="shared" ref="D81:L81" si="20">D82&amp;"（含）"&amp;"-"&amp;E82</f>
        <v>2（含）-4</v>
      </c>
      <c r="E81" s="674" t="str">
        <f t="shared" si="20"/>
        <v>4（含）-6</v>
      </c>
      <c r="F81" s="674" t="str">
        <f t="shared" si="20"/>
        <v>6（含）-8</v>
      </c>
      <c r="G81" s="674" t="str">
        <f t="shared" si="20"/>
        <v>8（含）-10</v>
      </c>
      <c r="H81" s="674" t="str">
        <f t="shared" si="20"/>
        <v>10（含）-12</v>
      </c>
      <c r="I81" s="674" t="str">
        <f t="shared" si="20"/>
        <v>12（含）-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2</v>
      </c>
      <c r="E82" s="535">
        <v>4</v>
      </c>
      <c r="F82" s="535">
        <v>6</v>
      </c>
      <c r="G82" s="535">
        <v>8</v>
      </c>
      <c r="H82" s="535">
        <v>10</v>
      </c>
      <c r="I82" s="535">
        <v>12</v>
      </c>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97</v>
      </c>
      <c r="E83" s="671">
        <f t="shared" ref="E83:M83" si="21">IF($B$48="单位面积地价",D83+$K13,D83-$K13)</f>
        <v>94</v>
      </c>
      <c r="F83" s="671">
        <f t="shared" si="21"/>
        <v>91</v>
      </c>
      <c r="G83" s="671">
        <f t="shared" si="21"/>
        <v>88</v>
      </c>
      <c r="H83" s="671">
        <f t="shared" si="21"/>
        <v>85</v>
      </c>
      <c r="I83" s="671">
        <f t="shared" si="21"/>
        <v>82</v>
      </c>
      <c r="J83" s="671">
        <f t="shared" si="21"/>
        <v>79</v>
      </c>
      <c r="K83" s="671">
        <f t="shared" si="21"/>
        <v>76</v>
      </c>
      <c r="L83" s="671">
        <f t="shared" si="21"/>
        <v>73</v>
      </c>
      <c r="M83" s="671">
        <f t="shared" si="21"/>
        <v>70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t="str">
        <f>B15</f>
        <v>特殊政策</v>
      </c>
      <c r="C86" s="3321" t="s">
        <v>3220</v>
      </c>
      <c r="D86" s="3321" t="s">
        <v>3219</v>
      </c>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v>100</v>
      </c>
      <c r="D87" s="684">
        <v>105</v>
      </c>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97</v>
      </c>
      <c r="E91" s="671">
        <f>D91-$K17</f>
        <v>94</v>
      </c>
      <c r="F91" s="671">
        <f>E91-$K17</f>
        <v>91</v>
      </c>
      <c r="G91" s="671">
        <f>F91-$K17</f>
        <v>88</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95</v>
      </c>
      <c r="E93" s="671">
        <f>D93-$K19</f>
        <v>90</v>
      </c>
      <c r="F93" s="671">
        <f>E93-$K19</f>
        <v>85</v>
      </c>
      <c r="G93" s="671">
        <f>F93-$K19</f>
        <v>80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97</v>
      </c>
      <c r="E95" s="671">
        <f>D95-$K21</f>
        <v>94</v>
      </c>
      <c r="F95" s="671">
        <f>E95-$K21</f>
        <v>91</v>
      </c>
      <c r="G95" s="671">
        <f>F95-$K21</f>
        <v>88</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97</v>
      </c>
      <c r="E97" s="671">
        <f>D97-$K23</f>
        <v>94</v>
      </c>
      <c r="F97" s="671">
        <f>E97-$K23</f>
        <v>91</v>
      </c>
      <c r="G97" s="671">
        <f>F97-$K23</f>
        <v>88</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2528</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95</v>
      </c>
      <c r="E103" s="671">
        <f>D103-$K29</f>
        <v>90</v>
      </c>
      <c r="F103" s="671">
        <f>E103-$K29</f>
        <v>85</v>
      </c>
      <c r="G103" s="671">
        <f>F103-$K29</f>
        <v>80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v>100000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692">
        <v>102</v>
      </c>
      <c r="F120" s="718">
        <v>103</v>
      </c>
      <c r="G120" s="692">
        <v>104</v>
      </c>
      <c r="H120" s="718">
        <v>105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2408</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9" priority="18" stopIfTrue="1" operator="containsText" text="超过">
      <formula>NOT(ISERROR(SEARCH("超过",F53)))</formula>
    </cfRule>
  </conditionalFormatting>
  <conditionalFormatting sqref="J55">
    <cfRule type="containsText" dxfId="198" priority="17" stopIfTrue="1" operator="containsText" text="超过">
      <formula>NOT(ISERROR(SEARCH("超过",J55)))</formula>
    </cfRule>
  </conditionalFormatting>
  <conditionalFormatting sqref="H55">
    <cfRule type="containsText" dxfId="197" priority="16" stopIfTrue="1" operator="containsText" text="超过">
      <formula>NOT(ISERROR(SEARCH("超过",H55)))</formula>
    </cfRule>
  </conditionalFormatting>
  <conditionalFormatting sqref="F55">
    <cfRule type="containsText" dxfId="196" priority="15" stopIfTrue="1" operator="containsText" text="超过">
      <formula>NOT(ISERROR(SEARCH("超过",F55)))</formula>
    </cfRule>
  </conditionalFormatting>
  <conditionalFormatting sqref="F54 H54 J54">
    <cfRule type="containsText" dxfId="195" priority="14" stopIfTrue="1" operator="containsText" text="超过">
      <formula>NOT(ISERROR(SEARCH("超过",F54)))</formula>
    </cfRule>
  </conditionalFormatting>
  <conditionalFormatting sqref="E53">
    <cfRule type="expression" dxfId="194" priority="13" stopIfTrue="1">
      <formula>$F$53="超过30%"</formula>
    </cfRule>
  </conditionalFormatting>
  <conditionalFormatting sqref="G55">
    <cfRule type="expression" dxfId="193" priority="12" stopIfTrue="1">
      <formula>$H$55="超过30%"</formula>
    </cfRule>
  </conditionalFormatting>
  <conditionalFormatting sqref="E54">
    <cfRule type="expression" dxfId="192" priority="11" stopIfTrue="1">
      <formula>$F$54="超过20%"</formula>
    </cfRule>
  </conditionalFormatting>
  <conditionalFormatting sqref="E55">
    <cfRule type="expression" dxfId="191" priority="10" stopIfTrue="1">
      <formula>$F$55="超过30%"</formula>
    </cfRule>
  </conditionalFormatting>
  <conditionalFormatting sqref="G53">
    <cfRule type="expression" dxfId="190" priority="9" stopIfTrue="1">
      <formula>$H$55+$H$53="超过30%"</formula>
    </cfRule>
  </conditionalFormatting>
  <conditionalFormatting sqref="G54">
    <cfRule type="expression" dxfId="189" priority="8" stopIfTrue="1">
      <formula>$H$54="超过20%"</formula>
    </cfRule>
  </conditionalFormatting>
  <conditionalFormatting sqref="I53">
    <cfRule type="expression" dxfId="188" priority="7" stopIfTrue="1">
      <formula>$J$53="超过30%"</formula>
    </cfRule>
  </conditionalFormatting>
  <conditionalFormatting sqref="I54">
    <cfRule type="expression" dxfId="187" priority="6" stopIfTrue="1">
      <formula>$J$54="超过20%"</formula>
    </cfRule>
  </conditionalFormatting>
  <conditionalFormatting sqref="I55">
    <cfRule type="expression" dxfId="186" priority="5" stopIfTrue="1">
      <formula>$J$55="超过30%"</formula>
    </cfRule>
  </conditionalFormatting>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F9:F47 H9:H47 J9:J47">
    <cfRule type="cellIs" dxfId="18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34" t="str">
        <f>项目基本情况!B1</f>
        <v>北京市朝阳区关东店北京世纪城市南地块1#、2#公寓及会所一宗住宅（公寓）、商业用地及关东店北京世纪城市南地块办公楼及裙房商业一宗商业、办公用地出让国有建设用地使用权抵押价格预评估</v>
      </c>
      <c r="C37" s="3334"/>
      <c r="D37" s="3334"/>
      <c r="E37" s="3334"/>
      <c r="F37" s="3334"/>
      <c r="G37" s="3334"/>
      <c r="H37" s="3334"/>
      <c r="I37" s="3334"/>
    </row>
    <row r="38" spans="1:9">
      <c r="A38" s="1584"/>
      <c r="B38" s="1584"/>
    </row>
    <row r="39" spans="1:9">
      <c r="A39" s="1582" t="s">
        <v>1892</v>
      </c>
      <c r="B39" s="1582" t="s">
        <v>2033</v>
      </c>
    </row>
    <row r="40" spans="1:9">
      <c r="A40" s="1582"/>
      <c r="B40" s="1582" t="str">
        <f>项目基本情况!B5</f>
        <v>中国建设银行股份有限公司北京城市建设开发专业支行</v>
      </c>
    </row>
    <row r="41" spans="1:9">
      <c r="A41" s="1582"/>
      <c r="B41" s="1582"/>
    </row>
    <row r="42" spans="1:9">
      <c r="A42" s="1582" t="s">
        <v>1892</v>
      </c>
      <c r="B42" s="1582" t="s">
        <v>2034</v>
      </c>
    </row>
    <row r="43" spans="1:9">
      <c r="A43" s="1582"/>
      <c r="B43" s="1582" t="s">
        <v>1894</v>
      </c>
    </row>
    <row r="44" spans="1:9">
      <c r="A44" s="1582"/>
      <c r="B44" s="1582"/>
    </row>
    <row r="45" spans="1:9">
      <c r="A45" s="1582" t="s">
        <v>1892</v>
      </c>
      <c r="B45" s="1582" t="s">
        <v>2032</v>
      </c>
    </row>
    <row r="46" spans="1:9" s="1582" customFormat="1" ht="12.75">
      <c r="B46" s="1582" t="str">
        <f>项目基本情况!K4</f>
        <v>吴薇、郑燚</v>
      </c>
    </row>
    <row r="47" spans="1:9">
      <c r="A47" s="1582"/>
      <c r="B47" s="1582"/>
    </row>
    <row r="48" spans="1:9">
      <c r="A48" s="1582" t="s">
        <v>1892</v>
      </c>
      <c r="B48" s="1582" t="s">
        <v>2035</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12</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2630</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1839</v>
      </c>
      <c r="B13" s="443" t="s">
        <v>473</v>
      </c>
      <c r="C13" s="444">
        <f ca="1">IF(B1="",'数据-取费表'!M16,INDIRECT("'数据-取费表'!M"&amp;$K$1)+INDIRECT("'数据-取费表'!t"&amp;$K$1))</f>
        <v>333643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10009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3331</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5473</v>
      </c>
      <c r="D16" s="445">
        <f ca="1">IF(B1="",'数据-汇总表'!E3,INDIRECT("'数据-取费表'!K"&amp;$K$1)+INDIRECT("'数据-取费表'!S"&amp;$K$1))</f>
        <v>273635.53999999998</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5005</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357461</v>
      </c>
      <c r="D18" s="455"/>
      <c r="E18" s="456"/>
      <c r="F18" s="456"/>
      <c r="G18" s="1281" t="s">
        <v>2414</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1845</v>
      </c>
      <c r="B19" s="453" t="s">
        <v>487</v>
      </c>
      <c r="C19" s="454">
        <f ca="1">ROUND(C18*F19,0)</f>
        <v>10724</v>
      </c>
      <c r="D19" s="456"/>
      <c r="E19" s="456"/>
      <c r="F19" s="460">
        <f>'数据-取费表'!B37</f>
        <v>0.03</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1846</v>
      </c>
      <c r="B20" s="453" t="s">
        <v>498</v>
      </c>
      <c r="C20" s="2743">
        <f>F20</f>
        <v>0.03</v>
      </c>
      <c r="D20" s="463" t="s">
        <v>499</v>
      </c>
      <c r="E20" s="463"/>
      <c r="F20" s="480">
        <f>'数据-取费表'!B38</f>
        <v>0.03</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1849</v>
      </c>
      <c r="B21" s="455" t="s">
        <v>488</v>
      </c>
      <c r="C21" s="464">
        <f ca="1">C22</f>
        <v>45292</v>
      </c>
      <c r="D21" s="461">
        <f ca="1">C23</f>
        <v>3.7000000000000002E-3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2435</v>
      </c>
      <c r="M21" s="3209"/>
      <c r="N21" s="3209"/>
      <c r="O21" s="3209"/>
      <c r="P21" s="3209"/>
      <c r="Q21" s="3202"/>
      <c r="R21" s="3202"/>
      <c r="S21" s="3202"/>
      <c r="T21" s="3202"/>
      <c r="U21" s="3202"/>
      <c r="V21" s="3202"/>
      <c r="W21" s="3202"/>
      <c r="X21" s="3202"/>
      <c r="Y21" s="3202"/>
      <c r="Z21" s="3202"/>
    </row>
    <row r="22" spans="1:26" s="2002" customFormat="1" ht="13.5" customHeight="1">
      <c r="A22" s="1561" t="s">
        <v>1839</v>
      </c>
      <c r="B22" s="1282" t="s">
        <v>2417</v>
      </c>
      <c r="C22" s="481">
        <f ca="1">ROUND(IF('数据-取费表'!B22&lt;=1,(C18+C19)*F21*'数据-取费表'!B20/2,(C18+C19)*(POWER((1+F21),'数据-取费表'!B20/2)-1)),0)</f>
        <v>45292</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1840</v>
      </c>
      <c r="B23" s="1282" t="s">
        <v>502</v>
      </c>
      <c r="C23" s="482">
        <f ca="1">ROUND(IF('数据-取费表'!B22&lt;=1,F20*F21*'数据-取费表'!B20/2,F20*(POWER((1+F21),'数据-取费表'!B20/2)-1)),4)</f>
        <v>3.7000000000000002E-3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1850</v>
      </c>
      <c r="B24" s="2745" t="s">
        <v>2809</v>
      </c>
      <c r="C24" s="472">
        <f ca="1">C25</f>
        <v>99410</v>
      </c>
      <c r="D24" s="483">
        <f ca="1">C26</f>
        <v>8.0999999999999996E-3</v>
      </c>
      <c r="E24" s="463" t="s">
        <v>501</v>
      </c>
      <c r="F24" s="473">
        <f ca="1">IF(B1="",'数据-取费表'!Q16,INDIRECT("'数据-取费表'!q"&amp;$K$1))</f>
        <v>0.27</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1839</v>
      </c>
      <c r="B25" s="1282" t="s">
        <v>2418</v>
      </c>
      <c r="C25" s="484">
        <f ca="1">ROUND((C18+C19)*F24,0)</f>
        <v>99410</v>
      </c>
      <c r="D25" s="466"/>
      <c r="E25" s="467"/>
      <c r="F25" s="474"/>
      <c r="G25" s="1280" t="s">
        <v>2415</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1840</v>
      </c>
      <c r="B26" s="1282" t="s">
        <v>503</v>
      </c>
      <c r="C26" s="485">
        <f ca="1">ROUND(F20*F24,4)</f>
        <v>8.0999999999999996E-3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1858</v>
      </c>
      <c r="B27" s="453" t="s">
        <v>505</v>
      </c>
      <c r="C27" s="2744">
        <f>ROUND(F27/(1+'数据-取费表'!C42),4)</f>
        <v>5.33E-2</v>
      </c>
      <c r="D27" s="456" t="s">
        <v>2807</v>
      </c>
      <c r="E27" s="456"/>
      <c r="F27" s="460">
        <f>'数据-取费表'!B41</f>
        <v>5.6000000000000001E-2</v>
      </c>
      <c r="G27" s="1874" t="s">
        <v>2277</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1859</v>
      </c>
      <c r="B28" s="470" t="s">
        <v>506</v>
      </c>
      <c r="C28" s="464">
        <f ca="1">ROUND((C18+C19+C21+C24)/(1-C20-D21-D24-C27),0)</f>
        <v>566789</v>
      </c>
      <c r="D28" s="471"/>
      <c r="E28" s="463"/>
      <c r="F28" s="465"/>
      <c r="G28" s="1281" t="s">
        <v>2416</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25" sqref="F25"/>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2910</v>
      </c>
      <c r="B1" s="3246"/>
      <c r="C1" s="3246"/>
      <c r="D1" s="3246"/>
      <c r="E1" s="3246"/>
      <c r="F1" s="3246"/>
      <c r="G1" s="3247"/>
      <c r="H1" s="3247"/>
      <c r="I1" s="3247"/>
      <c r="J1" s="3247"/>
      <c r="K1" s="3247"/>
      <c r="L1" s="3247"/>
      <c r="M1" s="3247"/>
      <c r="N1" s="3247"/>
    </row>
    <row r="2" spans="1:14" ht="14.25">
      <c r="A2" s="3252" t="s">
        <v>2905</v>
      </c>
      <c r="B2" s="3257">
        <f ca="1">SUMIF(B7:B14,"&lt;&gt;#ref!",B7:B14)</f>
        <v>788958</v>
      </c>
      <c r="C2" s="3252" t="s">
        <v>2906</v>
      </c>
      <c r="D2" s="3249"/>
      <c r="E2" s="3249"/>
      <c r="F2" s="3249"/>
      <c r="G2" s="3247"/>
      <c r="H2" s="3247"/>
      <c r="I2" s="3247"/>
      <c r="J2" s="3247"/>
      <c r="K2" s="3247"/>
      <c r="L2" s="3247"/>
      <c r="M2" s="3247"/>
      <c r="N2" s="3247"/>
    </row>
    <row r="3" spans="1:14" ht="14.25">
      <c r="A3" s="3252" t="s">
        <v>2935</v>
      </c>
      <c r="B3" s="3257">
        <f ca="1">ROUND(B2*10000/E3,0)</f>
        <v>30751</v>
      </c>
      <c r="C3" s="3252" t="s">
        <v>2065</v>
      </c>
      <c r="D3" s="3252" t="s">
        <v>2907</v>
      </c>
      <c r="E3" s="3250">
        <f ca="1">SUMIF(E7:E14,"&lt;&gt;#ref!",E7:E14)</f>
        <v>256566.13</v>
      </c>
      <c r="F3" s="3249"/>
      <c r="G3" s="3247"/>
      <c r="H3" s="3247"/>
      <c r="I3" s="3247"/>
      <c r="J3" s="3247"/>
      <c r="K3" s="3247"/>
      <c r="L3" s="3247"/>
      <c r="M3" s="3247"/>
      <c r="N3" s="3247"/>
    </row>
    <row r="4" spans="1:14" ht="14.25">
      <c r="A4" s="3252" t="s">
        <v>2913</v>
      </c>
      <c r="B4" s="3257" t="e">
        <f ca="1">ROUND(B2*10000/E4,0)</f>
        <v>#DIV/0!</v>
      </c>
      <c r="C4" s="3252" t="s">
        <v>2065</v>
      </c>
      <c r="D4" s="3252" t="s">
        <v>2914</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2911</v>
      </c>
      <c r="B6" s="3252" t="s">
        <v>2908</v>
      </c>
      <c r="C6" s="2790"/>
      <c r="D6" s="3249"/>
      <c r="E6" s="3252" t="s">
        <v>2909</v>
      </c>
      <c r="F6" s="3252" t="s">
        <v>2912</v>
      </c>
      <c r="G6" s="3247"/>
      <c r="H6" s="3247"/>
      <c r="I6" s="3247"/>
      <c r="J6" s="3247"/>
      <c r="K6" s="3247"/>
      <c r="L6" s="3247"/>
      <c r="M6" s="3247"/>
      <c r="N6" s="3247"/>
    </row>
    <row r="7" spans="1:14" ht="14.25">
      <c r="A7" s="3255" t="s">
        <v>3114</v>
      </c>
      <c r="B7" s="3257">
        <f ca="1">SUMIF(INDIRECT("'"&amp;A7&amp;"'"&amp;"!A:A"),"总价",INDIRECT("'"&amp;A7&amp;"'"&amp;"!B:B"))</f>
        <v>83268</v>
      </c>
      <c r="C7" s="3252" t="s">
        <v>2906</v>
      </c>
      <c r="D7" s="3249"/>
      <c r="E7" s="3250">
        <f ca="1">SUMIF(INDIRECT("'"&amp;A7&amp;"'"&amp;"!C:C"),"建筑面积",INDIRECT("'"&amp;A7&amp;"'"&amp;"!D:D"))</f>
        <v>17912.120000000003</v>
      </c>
      <c r="F7" s="3250">
        <f ca="1">SUMIF(INDIRECT("'"&amp;A7&amp;"'"&amp;"!E:E"),"土地面积",INDIRECT("'"&amp;A7&amp;"'"&amp;"!F:F"))</f>
        <v>0</v>
      </c>
      <c r="G7" s="3247"/>
      <c r="H7" s="3247"/>
      <c r="I7" s="3247"/>
      <c r="J7" s="3247"/>
      <c r="K7" s="3247"/>
      <c r="L7" s="3247"/>
      <c r="M7" s="3247"/>
      <c r="N7" s="3247"/>
    </row>
    <row r="8" spans="1:14" ht="14.25">
      <c r="A8" s="3255" t="s">
        <v>3116</v>
      </c>
      <c r="B8" s="3257">
        <f t="shared" ref="B8:B14" ca="1" si="0">SUMIF(INDIRECT("'"&amp;A8&amp;"'"&amp;"!A:A"),"总价",INDIRECT("'"&amp;A8&amp;"'"&amp;"!B:B"))</f>
        <v>175083</v>
      </c>
      <c r="C8" s="3252" t="s">
        <v>2906</v>
      </c>
      <c r="D8" s="3249"/>
      <c r="E8" s="3250">
        <f t="shared" ref="E8:E14" ca="1" si="1">SUMIF(INDIRECT("'"&amp;A8&amp;"'"&amp;"!C:C"),"建筑面积",INDIRECT("'"&amp;A8&amp;"'"&amp;"!D:D"))</f>
        <v>33313</v>
      </c>
      <c r="F8" s="3250">
        <f t="shared" ref="F8:F14" ca="1" si="2">SUMIF(INDIRECT("'"&amp;A8&amp;"'"&amp;"!E:E"),"土地面积",INDIRECT("'"&amp;A8&amp;"'"&amp;"!F:F"))</f>
        <v>0</v>
      </c>
      <c r="G8" s="3247"/>
      <c r="H8" s="3247"/>
      <c r="I8" s="3247"/>
      <c r="J8" s="3247"/>
      <c r="K8" s="3247"/>
      <c r="L8" s="3247"/>
      <c r="M8" s="3247"/>
      <c r="N8" s="3247"/>
    </row>
    <row r="9" spans="1:14" ht="14.25">
      <c r="A9" s="3255" t="s">
        <v>3118</v>
      </c>
      <c r="B9" s="3257">
        <f t="shared" ca="1" si="0"/>
        <v>530607</v>
      </c>
      <c r="C9" s="3252" t="s">
        <v>2906</v>
      </c>
      <c r="D9" s="3249"/>
      <c r="E9" s="3250">
        <f t="shared" ca="1" si="1"/>
        <v>205341.01</v>
      </c>
      <c r="F9" s="3250">
        <f t="shared" ca="1" si="2"/>
        <v>0</v>
      </c>
      <c r="G9" s="3247"/>
      <c r="H9" s="3247"/>
      <c r="I9" s="3247"/>
      <c r="J9" s="3247"/>
      <c r="K9" s="3247"/>
      <c r="L9" s="3247"/>
      <c r="M9" s="3247"/>
      <c r="N9" s="3247"/>
    </row>
    <row r="10" spans="1:14" ht="14.25">
      <c r="A10" s="3255"/>
      <c r="B10" s="3257" t="e">
        <f t="shared" ca="1" si="0"/>
        <v>#REF!</v>
      </c>
      <c r="C10" s="3252" t="s">
        <v>2906</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2906</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2906</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2906</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2906</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1"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39" t="s">
        <v>516</v>
      </c>
      <c r="D6" s="3540"/>
      <c r="E6" s="3565" t="s">
        <v>517</v>
      </c>
      <c r="F6" s="3566"/>
      <c r="G6" s="3539" t="s">
        <v>518</v>
      </c>
      <c r="H6" s="3540"/>
      <c r="I6" s="3539" t="s">
        <v>519</v>
      </c>
      <c r="J6" s="3540"/>
      <c r="K6" s="508" t="s">
        <v>520</v>
      </c>
      <c r="L6" s="2015"/>
      <c r="M6" s="2016"/>
      <c r="N6" s="2016"/>
      <c r="O6" s="2016"/>
      <c r="P6" s="3541" t="s">
        <v>521</v>
      </c>
      <c r="Q6" s="3542"/>
      <c r="R6" s="3527" t="s">
        <v>517</v>
      </c>
      <c r="S6" s="3528"/>
      <c r="T6" s="3527" t="s">
        <v>518</v>
      </c>
      <c r="U6" s="3528"/>
      <c r="V6" s="3547" t="s">
        <v>519</v>
      </c>
      <c r="W6" s="3547"/>
      <c r="X6" s="1501"/>
      <c r="Y6" s="3527" t="s">
        <v>521</v>
      </c>
      <c r="Z6" s="3528"/>
      <c r="AA6" s="3522" t="s">
        <v>517</v>
      </c>
      <c r="AB6" s="3523" t="s">
        <v>518</v>
      </c>
      <c r="AC6" s="3522" t="s">
        <v>519</v>
      </c>
    </row>
    <row r="7" spans="1:29" ht="15">
      <c r="A7" s="509"/>
      <c r="B7" s="510"/>
      <c r="C7" s="3552" t="s">
        <v>2891</v>
      </c>
      <c r="D7" s="3551"/>
      <c r="E7" s="3567" t="s">
        <v>2892</v>
      </c>
      <c r="F7" s="3568"/>
      <c r="G7" s="3552" t="s">
        <v>2893</v>
      </c>
      <c r="H7" s="3551"/>
      <c r="I7" s="3552" t="s">
        <v>2894</v>
      </c>
      <c r="J7" s="3551"/>
      <c r="K7" s="508"/>
      <c r="L7" s="2015"/>
      <c r="M7" s="2016"/>
      <c r="N7" s="2016"/>
      <c r="O7" s="2016"/>
      <c r="P7" s="3543"/>
      <c r="Q7" s="3544"/>
      <c r="R7" s="3529"/>
      <c r="S7" s="3530"/>
      <c r="T7" s="3529"/>
      <c r="U7" s="3530"/>
      <c r="V7" s="3547"/>
      <c r="W7" s="3547"/>
      <c r="X7" s="1501"/>
      <c r="Y7" s="3529"/>
      <c r="Z7" s="3530"/>
      <c r="AA7" s="3523"/>
      <c r="AB7" s="3523"/>
      <c r="AC7" s="3523"/>
    </row>
    <row r="8" spans="1:29" ht="15.75" thickBot="1">
      <c r="A8" s="511"/>
      <c r="B8" s="512"/>
      <c r="C8" s="3548" t="s">
        <v>2895</v>
      </c>
      <c r="D8" s="3549"/>
      <c r="E8" s="3569" t="s">
        <v>2895</v>
      </c>
      <c r="F8" s="3570"/>
      <c r="G8" s="3548" t="s">
        <v>2895</v>
      </c>
      <c r="H8" s="3549"/>
      <c r="I8" s="3548" t="s">
        <v>2895</v>
      </c>
      <c r="J8" s="3549"/>
      <c r="K8" s="508" t="s">
        <v>522</v>
      </c>
      <c r="L8" s="2015"/>
      <c r="M8" s="2016"/>
      <c r="N8" s="2016"/>
      <c r="O8" s="2016"/>
      <c r="P8" s="3545"/>
      <c r="Q8" s="3546"/>
      <c r="R8" s="3529"/>
      <c r="S8" s="3530"/>
      <c r="T8" s="3531"/>
      <c r="U8" s="3532"/>
      <c r="V8" s="3547"/>
      <c r="W8" s="3547"/>
      <c r="X8" s="1501"/>
      <c r="Y8" s="3531"/>
      <c r="Z8" s="3532"/>
      <c r="AA8" s="3524"/>
      <c r="AB8" s="3524"/>
      <c r="AC8" s="3524"/>
    </row>
    <row r="9" spans="1:29" s="1203" customFormat="1" ht="15.75" thickBot="1">
      <c r="A9" s="2629"/>
      <c r="B9" s="2636" t="s">
        <v>523</v>
      </c>
      <c r="C9" s="513">
        <f>'数据-取费表'!B2</f>
        <v>44127</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25" t="s">
        <v>524</v>
      </c>
      <c r="Q9" s="3534"/>
      <c r="R9" s="1502" t="s">
        <v>8</v>
      </c>
      <c r="S9" s="1503">
        <f t="shared" ref="S9:S17" si="0">F9</f>
        <v>0</v>
      </c>
      <c r="T9" s="1502" t="s">
        <v>8</v>
      </c>
      <c r="U9" s="1503">
        <f t="shared" ref="U9:U17" si="1">H9</f>
        <v>0</v>
      </c>
      <c r="V9" s="1502" t="s">
        <v>8</v>
      </c>
      <c r="W9" s="1503">
        <f t="shared" ref="W9:W17" si="2">J9</f>
        <v>0</v>
      </c>
      <c r="X9" s="1504"/>
      <c r="Y9" s="3525" t="s">
        <v>524</v>
      </c>
      <c r="Z9" s="3526"/>
      <c r="AA9" s="1505" t="e">
        <f>D9/F9</f>
        <v>#DIV/0!</v>
      </c>
      <c r="AB9" s="1505" t="e">
        <f>D9/H9</f>
        <v>#DIV/0!</v>
      </c>
      <c r="AC9" s="1505"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25" t="s">
        <v>527</v>
      </c>
      <c r="Q10" s="3526"/>
      <c r="R10" s="1502" t="s">
        <v>8</v>
      </c>
      <c r="S10" s="1503">
        <f t="shared" si="0"/>
        <v>0</v>
      </c>
      <c r="T10" s="1502" t="s">
        <v>8</v>
      </c>
      <c r="U10" s="1503">
        <f t="shared" si="1"/>
        <v>0</v>
      </c>
      <c r="V10" s="1502" t="s">
        <v>8</v>
      </c>
      <c r="W10" s="1503">
        <f t="shared" si="2"/>
        <v>0</v>
      </c>
      <c r="X10" s="1504"/>
      <c r="Y10" s="3525" t="s">
        <v>527</v>
      </c>
      <c r="Z10" s="3526"/>
      <c r="AA10" s="1505" t="e">
        <f t="shared" ref="AA10:AA42" si="3">D10/F10</f>
        <v>#DIV/0!</v>
      </c>
      <c r="AB10" s="1505" t="e">
        <f t="shared" ref="AB10:AB42" si="4">D10/H10</f>
        <v>#DIV/0!</v>
      </c>
      <c r="AC10" s="1505" t="e">
        <f t="shared" ref="AC10:AC42" si="5">D10/J10</f>
        <v>#DIV/0!</v>
      </c>
    </row>
    <row r="11" spans="1:29" s="1203" customFormat="1" ht="15">
      <c r="A11" s="2631"/>
      <c r="B11" s="2638" t="s">
        <v>2734</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33" t="s">
        <v>529</v>
      </c>
      <c r="Q11" s="1134" t="str">
        <f t="shared" ref="Q11:Q17" si="6">B11</f>
        <v>用途</v>
      </c>
      <c r="R11" s="1502" t="s">
        <v>8</v>
      </c>
      <c r="S11" s="1503">
        <f t="shared" si="0"/>
        <v>100</v>
      </c>
      <c r="T11" s="1502" t="s">
        <v>8</v>
      </c>
      <c r="U11" s="1503">
        <f t="shared" si="1"/>
        <v>100</v>
      </c>
      <c r="V11" s="1502" t="s">
        <v>8</v>
      </c>
      <c r="W11" s="1503">
        <f t="shared" si="2"/>
        <v>100</v>
      </c>
      <c r="X11" s="1504"/>
      <c r="Y11" s="3484" t="s">
        <v>530</v>
      </c>
      <c r="Z11" s="1133" t="str">
        <f t="shared" ref="Z11:Z17" si="7">Q11</f>
        <v>用途</v>
      </c>
      <c r="AA11" s="1505">
        <f t="shared" si="3"/>
        <v>1</v>
      </c>
      <c r="AB11" s="1505">
        <f t="shared" si="4"/>
        <v>1</v>
      </c>
      <c r="AC11" s="1505">
        <f t="shared" si="5"/>
        <v>1</v>
      </c>
    </row>
    <row r="12" spans="1:29" s="1292" customFormat="1" ht="27">
      <c r="A12" s="2632"/>
      <c r="B12" s="2637" t="s">
        <v>2735</v>
      </c>
      <c r="C12" s="522"/>
      <c r="D12" s="253">
        <v>100</v>
      </c>
      <c r="E12" s="522"/>
      <c r="F12" s="253">
        <f ca="1">ROUND(100/'数据-取费表'!G16,0)</f>
        <v>110</v>
      </c>
      <c r="G12" s="522"/>
      <c r="H12" s="253">
        <f ca="1">ROUND(100/'数据-取费表'!G16,0)</f>
        <v>110</v>
      </c>
      <c r="I12" s="522"/>
      <c r="J12" s="253">
        <f ca="1">ROUND(100/'数据-取费表'!G16,0)</f>
        <v>110</v>
      </c>
      <c r="K12" s="525"/>
      <c r="L12" s="2020"/>
      <c r="M12" s="2059"/>
      <c r="N12" s="2059"/>
      <c r="O12" s="2021"/>
      <c r="P12" s="3533"/>
      <c r="Q12" s="1134" t="str">
        <f t="shared" si="6"/>
        <v>土地使用年限（年）</v>
      </c>
      <c r="R12" s="1502" t="s">
        <v>8</v>
      </c>
      <c r="S12" s="1503">
        <f t="shared" ca="1" si="0"/>
        <v>110</v>
      </c>
      <c r="T12" s="1502" t="s">
        <v>8</v>
      </c>
      <c r="U12" s="1503">
        <f t="shared" ca="1" si="1"/>
        <v>110</v>
      </c>
      <c r="V12" s="1502" t="s">
        <v>8</v>
      </c>
      <c r="W12" s="1503">
        <f t="shared" ca="1" si="2"/>
        <v>110</v>
      </c>
      <c r="X12" s="1504"/>
      <c r="Y12" s="3484"/>
      <c r="Z12" s="1133" t="str">
        <f t="shared" si="7"/>
        <v>土地使用年限（年）</v>
      </c>
      <c r="AA12" s="1505">
        <f t="shared" ca="1" si="3"/>
        <v>0.90909090909090906</v>
      </c>
      <c r="AB12" s="1505">
        <f t="shared" ca="1" si="4"/>
        <v>0.90909090909090906</v>
      </c>
      <c r="AC12" s="1505">
        <f t="shared" ca="1" si="5"/>
        <v>0.90909090909090906</v>
      </c>
    </row>
    <row r="13" spans="1:29" ht="15">
      <c r="A13" s="2633"/>
      <c r="B13" s="2637" t="s">
        <v>2736</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33"/>
      <c r="Q13" s="1134" t="str">
        <f t="shared" si="6"/>
        <v>容积率</v>
      </c>
      <c r="R13" s="1502" t="s">
        <v>8</v>
      </c>
      <c r="S13" s="1503" t="e">
        <f t="shared" si="0"/>
        <v>#N/A</v>
      </c>
      <c r="T13" s="1502" t="s">
        <v>8</v>
      </c>
      <c r="U13" s="1503" t="e">
        <f t="shared" si="1"/>
        <v>#N/A</v>
      </c>
      <c r="V13" s="1502" t="s">
        <v>8</v>
      </c>
      <c r="W13" s="1503" t="e">
        <f t="shared" si="2"/>
        <v>#N/A</v>
      </c>
      <c r="X13" s="1504"/>
      <c r="Y13" s="3484"/>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33"/>
      <c r="Q14" s="1134">
        <f t="shared" si="6"/>
        <v>111</v>
      </c>
      <c r="R14" s="1502" t="s">
        <v>8</v>
      </c>
      <c r="S14" s="1503">
        <f t="shared" si="0"/>
        <v>100</v>
      </c>
      <c r="T14" s="1502" t="s">
        <v>8</v>
      </c>
      <c r="U14" s="1503">
        <f t="shared" si="1"/>
        <v>100</v>
      </c>
      <c r="V14" s="1502" t="s">
        <v>8</v>
      </c>
      <c r="W14" s="1503">
        <f t="shared" si="2"/>
        <v>100</v>
      </c>
      <c r="X14" s="1504"/>
      <c r="Y14" s="3484"/>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33"/>
      <c r="Q15" s="1134">
        <f t="shared" si="6"/>
        <v>111</v>
      </c>
      <c r="R15" s="1502" t="s">
        <v>8</v>
      </c>
      <c r="S15" s="1503">
        <f t="shared" si="0"/>
        <v>100</v>
      </c>
      <c r="T15" s="1502" t="s">
        <v>8</v>
      </c>
      <c r="U15" s="1503">
        <f t="shared" si="1"/>
        <v>100</v>
      </c>
      <c r="V15" s="1502" t="s">
        <v>8</v>
      </c>
      <c r="W15" s="1503">
        <f t="shared" si="2"/>
        <v>100</v>
      </c>
      <c r="X15" s="1504"/>
      <c r="Y15" s="3484"/>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33"/>
      <c r="Q16" s="1134">
        <f t="shared" si="6"/>
        <v>111</v>
      </c>
      <c r="R16" s="1502" t="s">
        <v>8</v>
      </c>
      <c r="S16" s="1503">
        <f t="shared" si="0"/>
        <v>100</v>
      </c>
      <c r="T16" s="1502" t="s">
        <v>8</v>
      </c>
      <c r="U16" s="1503">
        <f t="shared" si="1"/>
        <v>100</v>
      </c>
      <c r="V16" s="1502" t="s">
        <v>8</v>
      </c>
      <c r="W16" s="1503">
        <f t="shared" si="2"/>
        <v>100</v>
      </c>
      <c r="X16" s="1504"/>
      <c r="Y16" s="3484"/>
      <c r="Z16" s="1133">
        <f t="shared" si="7"/>
        <v>111</v>
      </c>
      <c r="AA16" s="1505">
        <f t="shared" si="3"/>
        <v>1</v>
      </c>
      <c r="AB16" s="1505">
        <f t="shared" si="4"/>
        <v>1</v>
      </c>
      <c r="AC16" s="1505">
        <f t="shared" si="5"/>
        <v>1</v>
      </c>
    </row>
    <row r="17" spans="1:29" ht="57">
      <c r="A17" s="2627" t="s">
        <v>2732</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35" t="s">
        <v>534</v>
      </c>
      <c r="Q17" s="1506" t="str">
        <f t="shared" si="6"/>
        <v>产业集聚程度</v>
      </c>
      <c r="R17" s="1507" t="s">
        <v>8</v>
      </c>
      <c r="S17" s="1508">
        <f t="shared" si="0"/>
        <v>100</v>
      </c>
      <c r="T17" s="1507" t="s">
        <v>8</v>
      </c>
      <c r="U17" s="1508">
        <f t="shared" si="1"/>
        <v>100</v>
      </c>
      <c r="V17" s="1507" t="s">
        <v>8</v>
      </c>
      <c r="W17" s="1508">
        <f t="shared" si="2"/>
        <v>100</v>
      </c>
      <c r="X17" s="1501"/>
      <c r="Y17" s="353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36"/>
      <c r="Q18" s="1506"/>
      <c r="R18" s="1507"/>
      <c r="S18" s="1508"/>
      <c r="T18" s="1507"/>
      <c r="U18" s="1508"/>
      <c r="V18" s="1507"/>
      <c r="W18" s="1508"/>
      <c r="X18" s="1501"/>
      <c r="Y18" s="353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36"/>
      <c r="Q19" s="1506" t="str">
        <f>B19</f>
        <v>交通便捷度</v>
      </c>
      <c r="R19" s="1507" t="s">
        <v>8</v>
      </c>
      <c r="S19" s="1508">
        <f>F19</f>
        <v>100</v>
      </c>
      <c r="T19" s="1507" t="s">
        <v>8</v>
      </c>
      <c r="U19" s="1508">
        <f>H19</f>
        <v>100</v>
      </c>
      <c r="V19" s="1507" t="s">
        <v>8</v>
      </c>
      <c r="W19" s="1508">
        <f>J19</f>
        <v>100</v>
      </c>
      <c r="X19" s="1501"/>
      <c r="Y19" s="3536"/>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536"/>
      <c r="Q20" s="1506"/>
      <c r="R20" s="1507"/>
      <c r="S20" s="1508"/>
      <c r="T20" s="1507"/>
      <c r="U20" s="1508"/>
      <c r="V20" s="1507"/>
      <c r="W20" s="1508"/>
      <c r="X20" s="1501"/>
      <c r="Y20" s="353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36"/>
      <c r="Q21" s="1506" t="str">
        <f t="shared" ref="Q21:Q35" si="8">B21</f>
        <v>区域土地利用方向</v>
      </c>
      <c r="R21" s="1507" t="s">
        <v>8</v>
      </c>
      <c r="S21" s="1508">
        <f>F21</f>
        <v>100</v>
      </c>
      <c r="T21" s="1507" t="s">
        <v>8</v>
      </c>
      <c r="U21" s="1508">
        <f>H21</f>
        <v>100</v>
      </c>
      <c r="V21" s="1507" t="s">
        <v>8</v>
      </c>
      <c r="W21" s="1508">
        <f>J21</f>
        <v>100</v>
      </c>
      <c r="X21" s="1501"/>
      <c r="Y21" s="353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536"/>
      <c r="Q22" s="1506"/>
      <c r="R22" s="1507"/>
      <c r="S22" s="1508"/>
      <c r="T22" s="1507"/>
      <c r="U22" s="1508"/>
      <c r="V22" s="1507"/>
      <c r="W22" s="1508"/>
      <c r="X22" s="1501"/>
      <c r="Y22" s="3536"/>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36"/>
      <c r="Q23" s="1506" t="str">
        <f t="shared" si="8"/>
        <v>环境状况</v>
      </c>
      <c r="R23" s="1507" t="s">
        <v>8</v>
      </c>
      <c r="S23" s="1508">
        <f>F23</f>
        <v>100</v>
      </c>
      <c r="T23" s="1507" t="s">
        <v>8</v>
      </c>
      <c r="U23" s="1508">
        <f>H23</f>
        <v>100</v>
      </c>
      <c r="V23" s="1507" t="s">
        <v>8</v>
      </c>
      <c r="W23" s="1508">
        <f>J23</f>
        <v>100</v>
      </c>
      <c r="X23" s="1501"/>
      <c r="Y23" s="353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36"/>
      <c r="Q24" s="1506"/>
      <c r="R24" s="1507"/>
      <c r="S24" s="1508"/>
      <c r="T24" s="1507"/>
      <c r="U24" s="1508"/>
      <c r="V24" s="1507"/>
      <c r="W24" s="1508"/>
      <c r="X24" s="1501"/>
      <c r="Y24" s="3536"/>
      <c r="Z24" s="1509"/>
      <c r="AA24" s="1510">
        <v>1</v>
      </c>
      <c r="AB24" s="1510">
        <v>1</v>
      </c>
      <c r="AC24" s="1510">
        <v>1</v>
      </c>
    </row>
    <row r="25" spans="1:29" s="1203"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36"/>
      <c r="Q25" s="1134" t="str">
        <f t="shared" si="8"/>
        <v>公共配套设施</v>
      </c>
      <c r="R25" s="1502" t="s">
        <v>8</v>
      </c>
      <c r="S25" s="1503">
        <f>F25</f>
        <v>100</v>
      </c>
      <c r="T25" s="1502" t="s">
        <v>8</v>
      </c>
      <c r="U25" s="1503">
        <f>H25</f>
        <v>100</v>
      </c>
      <c r="V25" s="1502" t="s">
        <v>8</v>
      </c>
      <c r="W25" s="1503">
        <f>J25</f>
        <v>100</v>
      </c>
      <c r="X25" s="1504"/>
      <c r="Y25" s="3536"/>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536"/>
      <c r="Q26" s="1134"/>
      <c r="R26" s="1502"/>
      <c r="S26" s="1503"/>
      <c r="T26" s="1502"/>
      <c r="U26" s="1503"/>
      <c r="V26" s="1502"/>
      <c r="W26" s="1503"/>
      <c r="X26" s="1504"/>
      <c r="Y26" s="3536"/>
      <c r="Z26" s="1133"/>
      <c r="AA26" s="1505">
        <v>1</v>
      </c>
      <c r="AB26" s="1505">
        <v>1</v>
      </c>
      <c r="AC26" s="1505">
        <v>1</v>
      </c>
    </row>
    <row r="27" spans="1:29" s="1203"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36"/>
      <c r="Q27" s="2428" t="str">
        <f t="shared" ref="Q27" si="9">B27</f>
        <v>基础设施水平</v>
      </c>
      <c r="R27" s="1502" t="s">
        <v>8</v>
      </c>
      <c r="S27" s="1503">
        <f>F27</f>
        <v>100</v>
      </c>
      <c r="T27" s="1502" t="s">
        <v>8</v>
      </c>
      <c r="U27" s="1503">
        <f>H27</f>
        <v>100</v>
      </c>
      <c r="V27" s="1502" t="s">
        <v>8</v>
      </c>
      <c r="W27" s="1503">
        <f>J27</f>
        <v>100</v>
      </c>
      <c r="X27" s="1504"/>
      <c r="Y27" s="3536"/>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536"/>
      <c r="Q28" s="2428"/>
      <c r="R28" s="1502"/>
      <c r="S28" s="1503"/>
      <c r="T28" s="1502"/>
      <c r="U28" s="1503"/>
      <c r="V28" s="1502"/>
      <c r="W28" s="1503"/>
      <c r="X28" s="1504"/>
      <c r="Y28" s="353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3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36"/>
      <c r="Z29" s="1509" t="str">
        <f t="shared" ref="Z29:Z42" si="13">Q29</f>
        <v>临街状况</v>
      </c>
      <c r="AA29" s="1510">
        <f t="shared" si="3"/>
        <v>1</v>
      </c>
      <c r="AB29" s="1510">
        <f t="shared" si="4"/>
        <v>1</v>
      </c>
      <c r="AC29" s="1510">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36"/>
      <c r="Q30" s="1506" t="str">
        <f t="shared" si="8"/>
        <v>毗邻道路的类型与等级</v>
      </c>
      <c r="R30" s="1507" t="s">
        <v>8</v>
      </c>
      <c r="S30" s="1508">
        <f t="shared" si="10"/>
        <v>100</v>
      </c>
      <c r="T30" s="1507" t="s">
        <v>8</v>
      </c>
      <c r="U30" s="1508">
        <f t="shared" si="11"/>
        <v>100</v>
      </c>
      <c r="V30" s="1507" t="s">
        <v>8</v>
      </c>
      <c r="W30" s="1508">
        <f t="shared" si="12"/>
        <v>100</v>
      </c>
      <c r="X30" s="1501"/>
      <c r="Y30" s="353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36"/>
      <c r="Q31" s="1506"/>
      <c r="R31" s="1507"/>
      <c r="S31" s="1508"/>
      <c r="T31" s="1507"/>
      <c r="U31" s="1508"/>
      <c r="V31" s="1507"/>
      <c r="W31" s="1508"/>
      <c r="X31" s="1501"/>
      <c r="Y31" s="353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36"/>
      <c r="Q32" s="1506" t="str">
        <f t="shared" si="8"/>
        <v>土地级别</v>
      </c>
      <c r="R32" s="1507" t="s">
        <v>8</v>
      </c>
      <c r="S32" s="1508">
        <f t="shared" si="10"/>
        <v>100</v>
      </c>
      <c r="T32" s="1507" t="s">
        <v>8</v>
      </c>
      <c r="U32" s="1508">
        <f t="shared" si="11"/>
        <v>100</v>
      </c>
      <c r="V32" s="1507" t="s">
        <v>8</v>
      </c>
      <c r="W32" s="1508">
        <f t="shared" si="12"/>
        <v>100</v>
      </c>
      <c r="X32" s="1501"/>
      <c r="Y32" s="353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36"/>
      <c r="Q33" s="1506">
        <f t="shared" si="8"/>
        <v>111</v>
      </c>
      <c r="R33" s="1507" t="s">
        <v>8</v>
      </c>
      <c r="S33" s="1508">
        <f t="shared" si="10"/>
        <v>100</v>
      </c>
      <c r="T33" s="1507" t="s">
        <v>8</v>
      </c>
      <c r="U33" s="1508">
        <f t="shared" si="11"/>
        <v>100</v>
      </c>
      <c r="V33" s="1507" t="s">
        <v>8</v>
      </c>
      <c r="W33" s="1508">
        <f t="shared" si="12"/>
        <v>100</v>
      </c>
      <c r="X33" s="1501"/>
      <c r="Y33" s="353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37" t="s">
        <v>544</v>
      </c>
      <c r="Q34" s="1506">
        <f t="shared" si="8"/>
        <v>111</v>
      </c>
      <c r="R34" s="1507" t="s">
        <v>8</v>
      </c>
      <c r="S34" s="1508">
        <f t="shared" si="10"/>
        <v>100</v>
      </c>
      <c r="T34" s="1507" t="s">
        <v>8</v>
      </c>
      <c r="U34" s="1508">
        <f t="shared" si="11"/>
        <v>100</v>
      </c>
      <c r="V34" s="1507" t="s">
        <v>8</v>
      </c>
      <c r="W34" s="1508">
        <f t="shared" si="12"/>
        <v>100</v>
      </c>
      <c r="X34" s="1501"/>
      <c r="Y34" s="3538" t="s">
        <v>544</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38"/>
      <c r="Q35" s="1506">
        <f t="shared" si="8"/>
        <v>111</v>
      </c>
      <c r="R35" s="1511" t="s">
        <v>8</v>
      </c>
      <c r="S35" s="1512">
        <f t="shared" si="10"/>
        <v>100</v>
      </c>
      <c r="T35" s="1511" t="s">
        <v>8</v>
      </c>
      <c r="U35" s="1512">
        <f t="shared" si="11"/>
        <v>100</v>
      </c>
      <c r="V35" s="1511" t="s">
        <v>8</v>
      </c>
      <c r="W35" s="1512">
        <f t="shared" si="12"/>
        <v>100</v>
      </c>
      <c r="X35" s="1513"/>
      <c r="Y35" s="3538"/>
      <c r="Z35" s="1514">
        <f t="shared" si="13"/>
        <v>111</v>
      </c>
      <c r="AA35" s="1510">
        <f t="shared" si="3"/>
        <v>1</v>
      </c>
      <c r="AB35" s="1510">
        <f t="shared" si="4"/>
        <v>1</v>
      </c>
      <c r="AC35" s="1510">
        <f t="shared" si="5"/>
        <v>1</v>
      </c>
    </row>
    <row r="36" spans="1:29" ht="15">
      <c r="A36" s="2624" t="s">
        <v>2733</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38"/>
      <c r="Q36" s="1506" t="str">
        <f>B36</f>
        <v>宗地面积</v>
      </c>
      <c r="R36" s="1507" t="s">
        <v>8</v>
      </c>
      <c r="S36" s="1508" t="e">
        <f t="shared" si="10"/>
        <v>#N/A</v>
      </c>
      <c r="T36" s="1507" t="s">
        <v>8</v>
      </c>
      <c r="U36" s="1508" t="e">
        <f t="shared" si="11"/>
        <v>#N/A</v>
      </c>
      <c r="V36" s="1507" t="s">
        <v>8</v>
      </c>
      <c r="W36" s="1508" t="e">
        <f t="shared" si="12"/>
        <v>#N/A</v>
      </c>
      <c r="X36" s="1501"/>
      <c r="Y36" s="353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38"/>
      <c r="Q37" s="1506" t="str">
        <f t="shared" ref="Q37:Q42" si="14">B37</f>
        <v>宗地形状</v>
      </c>
      <c r="R37" s="1507" t="s">
        <v>8</v>
      </c>
      <c r="S37" s="1508">
        <f t="shared" si="10"/>
        <v>100</v>
      </c>
      <c r="T37" s="1507" t="s">
        <v>8</v>
      </c>
      <c r="U37" s="1508">
        <f t="shared" si="11"/>
        <v>100</v>
      </c>
      <c r="V37" s="1507" t="s">
        <v>8</v>
      </c>
      <c r="W37" s="1508">
        <f t="shared" si="12"/>
        <v>100</v>
      </c>
      <c r="X37" s="1501"/>
      <c r="Y37" s="3538"/>
      <c r="Z37" s="1509" t="str">
        <f t="shared" si="13"/>
        <v>宗地形状</v>
      </c>
      <c r="AA37" s="1510">
        <f t="shared" si="3"/>
        <v>1</v>
      </c>
      <c r="AB37" s="1510">
        <f t="shared" si="4"/>
        <v>1</v>
      </c>
      <c r="AC37" s="1510">
        <f t="shared" si="5"/>
        <v>1</v>
      </c>
    </row>
    <row r="38" spans="1:29" s="1203" customFormat="1" ht="15">
      <c r="A38" s="594"/>
      <c r="B38" s="1809" t="s">
        <v>2407</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38"/>
      <c r="Q38" s="1506" t="str">
        <f t="shared" si="14"/>
        <v>宗地开发程度</v>
      </c>
      <c r="R38" s="1502" t="s">
        <v>8</v>
      </c>
      <c r="S38" s="1503">
        <f t="shared" si="10"/>
        <v>100</v>
      </c>
      <c r="T38" s="1502" t="s">
        <v>8</v>
      </c>
      <c r="U38" s="1503">
        <f t="shared" si="11"/>
        <v>100</v>
      </c>
      <c r="V38" s="1502" t="s">
        <v>8</v>
      </c>
      <c r="W38" s="1503">
        <f t="shared" si="12"/>
        <v>100</v>
      </c>
      <c r="X38" s="1504"/>
      <c r="Y38" s="3538"/>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38" t="s">
        <v>595</v>
      </c>
      <c r="Q39" s="1506" t="str">
        <f t="shared" si="14"/>
        <v>工程地质条件</v>
      </c>
      <c r="R39" s="1507" t="s">
        <v>8</v>
      </c>
      <c r="S39" s="1508">
        <f t="shared" si="10"/>
        <v>100</v>
      </c>
      <c r="T39" s="1507" t="s">
        <v>8</v>
      </c>
      <c r="U39" s="1508">
        <f t="shared" si="11"/>
        <v>100</v>
      </c>
      <c r="V39" s="1507" t="s">
        <v>8</v>
      </c>
      <c r="W39" s="1508">
        <f t="shared" si="12"/>
        <v>100</v>
      </c>
      <c r="X39" s="1501"/>
      <c r="Y39" s="353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38"/>
      <c r="Q40" s="1506">
        <f t="shared" si="14"/>
        <v>111</v>
      </c>
      <c r="R40" s="1507" t="s">
        <v>8</v>
      </c>
      <c r="S40" s="1508">
        <f t="shared" si="10"/>
        <v>100</v>
      </c>
      <c r="T40" s="1507" t="s">
        <v>8</v>
      </c>
      <c r="U40" s="1508">
        <f t="shared" si="11"/>
        <v>100</v>
      </c>
      <c r="V40" s="1507" t="s">
        <v>8</v>
      </c>
      <c r="W40" s="1508">
        <f t="shared" si="12"/>
        <v>100</v>
      </c>
      <c r="X40" s="1501"/>
      <c r="Y40" s="353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38"/>
      <c r="Q41" s="1506">
        <f t="shared" si="14"/>
        <v>111</v>
      </c>
      <c r="R41" s="1507" t="s">
        <v>8</v>
      </c>
      <c r="S41" s="1508">
        <f t="shared" si="10"/>
        <v>100</v>
      </c>
      <c r="T41" s="1507" t="s">
        <v>8</v>
      </c>
      <c r="U41" s="1508">
        <f t="shared" si="11"/>
        <v>100</v>
      </c>
      <c r="V41" s="1507" t="s">
        <v>8</v>
      </c>
      <c r="W41" s="1508">
        <f t="shared" si="12"/>
        <v>100</v>
      </c>
      <c r="X41" s="1501"/>
      <c r="Y41" s="3538"/>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38"/>
      <c r="Q42" s="1506">
        <f t="shared" si="14"/>
        <v>111</v>
      </c>
      <c r="R42" s="1511" t="s">
        <v>8</v>
      </c>
      <c r="S42" s="1512">
        <f t="shared" si="10"/>
        <v>100</v>
      </c>
      <c r="T42" s="1511" t="s">
        <v>8</v>
      </c>
      <c r="U42" s="1512">
        <f t="shared" si="11"/>
        <v>100</v>
      </c>
      <c r="V42" s="1511" t="s">
        <v>8</v>
      </c>
      <c r="W42" s="1512">
        <f t="shared" si="12"/>
        <v>100</v>
      </c>
      <c r="X42" s="1513"/>
      <c r="Y42" s="3538"/>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4"/>
      <c r="L43" s="2026"/>
      <c r="M43" s="2016"/>
      <c r="N43" s="2016"/>
      <c r="O43" s="2027"/>
      <c r="P43" s="3533" t="str">
        <f>A43</f>
        <v>成交单价</v>
      </c>
      <c r="Q43" s="3533"/>
      <c r="R43" s="3547">
        <f>E43</f>
        <v>0</v>
      </c>
      <c r="S43" s="3547"/>
      <c r="T43" s="3547">
        <f>G43</f>
        <v>0</v>
      </c>
      <c r="U43" s="3547"/>
      <c r="V43" s="3547">
        <f>I43</f>
        <v>0</v>
      </c>
      <c r="W43" s="3547"/>
      <c r="X43" s="1496"/>
      <c r="Y43" s="1515"/>
      <c r="Z43" s="1496"/>
      <c r="AA43" s="1496"/>
      <c r="AB43" s="1496"/>
      <c r="AC43" s="1496"/>
    </row>
    <row r="44" spans="1:29" ht="15.75" thickBot="1">
      <c r="A44" s="609" t="s">
        <v>2671</v>
      </c>
      <c r="B44" s="610"/>
      <c r="C44" s="611" t="e">
        <f>R45</f>
        <v>#DIV/0!</v>
      </c>
      <c r="D44" s="3014" t="s">
        <v>2965</v>
      </c>
      <c r="E44" s="611" t="e">
        <f>R44</f>
        <v>#DIV/0!</v>
      </c>
      <c r="F44" s="3015"/>
      <c r="G44" s="612" t="e">
        <f>T44</f>
        <v>#DIV/0!</v>
      </c>
      <c r="H44" s="3015"/>
      <c r="I44" s="611" t="e">
        <f>V44</f>
        <v>#DIV/0!</v>
      </c>
      <c r="J44" s="3015"/>
      <c r="K44" s="3016">
        <f>F44+H44+J44</f>
        <v>0</v>
      </c>
      <c r="L44" s="2026"/>
      <c r="M44" s="2016"/>
      <c r="N44" s="2016"/>
      <c r="O44" s="2027"/>
      <c r="P44" s="3533" t="str">
        <f>A44</f>
        <v>比较价格（元/平方米）</v>
      </c>
      <c r="Q44" s="3533"/>
      <c r="R44" s="3558" t="e">
        <f>ROUND(PRODUCT(R43,AA9:AA42),0)</f>
        <v>#DIV/0!</v>
      </c>
      <c r="S44" s="3558"/>
      <c r="T44" s="3558" t="e">
        <f>ROUND(PRODUCT(T43,AB9:AB42),0)</f>
        <v>#DIV/0!</v>
      </c>
      <c r="U44" s="3558"/>
      <c r="V44" s="3558" t="e">
        <f>ROUND(PRODUCT(V43,AC9:AC42),0)</f>
        <v>#DIV/0!</v>
      </c>
      <c r="W44" s="3558"/>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5"/>
      <c r="L45" s="2026"/>
      <c r="M45" s="2016"/>
      <c r="N45" s="2016"/>
      <c r="O45" s="2027"/>
      <c r="P45" s="3555" t="str">
        <f>A45</f>
        <v>估价对象XX用房的比较价格（楼面单价，元/平方米）</v>
      </c>
      <c r="Q45" s="3556"/>
      <c r="R45" s="3564" t="e">
        <f>ROUND(IF(D44="简单平均",AVERAGE(R44:W44),R44*F44+T44*H44+V44*J44),0)</f>
        <v>#DIV/0!</v>
      </c>
      <c r="S45" s="3564"/>
      <c r="T45" s="3564"/>
      <c r="U45" s="3564"/>
      <c r="V45" s="3564"/>
      <c r="W45" s="3564"/>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2279</v>
      </c>
      <c r="E52" s="623" t="s">
        <v>556</v>
      </c>
      <c r="F52" s="1865" t="s">
        <v>557</v>
      </c>
      <c r="G52" s="3559" t="s">
        <v>2270</v>
      </c>
      <c r="H52" s="3560"/>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190800</v>
      </c>
      <c r="F53" s="1864" t="e">
        <f t="shared" ref="F53:F62" si="15">ROUND(B53*E53/10000,0)</f>
        <v>#DIV/0!</v>
      </c>
      <c r="G53" s="3561"/>
      <c r="H53" s="3562"/>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0.8</v>
      </c>
      <c r="D54" s="2109">
        <v>0.25</v>
      </c>
      <c r="E54" s="631"/>
      <c r="F54" s="1864" t="e">
        <f t="shared" si="15"/>
        <v>#DIV/0!</v>
      </c>
      <c r="G54" s="3563" t="s">
        <v>2271</v>
      </c>
      <c r="H54" s="1868" t="str">
        <f>项目基本情况!B43</f>
        <v>一级</v>
      </c>
      <c r="I54" s="1867">
        <f>SUMIF(修正!$A$45:$A$56,H54,修正!B45:B56)</f>
        <v>0.8</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0.5</v>
      </c>
      <c r="D55" s="2109">
        <v>0.25</v>
      </c>
      <c r="E55" s="631"/>
      <c r="F55" s="1864" t="e">
        <f t="shared" si="15"/>
        <v>#DIV/0!</v>
      </c>
      <c r="G55" s="3563"/>
      <c r="H55" s="1869" t="str">
        <f>项目基本情况!B43</f>
        <v>一级</v>
      </c>
      <c r="I55" s="1867">
        <f>SUMIF(修正!$A$45:$A$56,H55,修正!C45:C56)</f>
        <v>0.5</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0.36</v>
      </c>
      <c r="D56" s="2109">
        <v>0.25</v>
      </c>
      <c r="E56" s="631"/>
      <c r="F56" s="1864" t="e">
        <f t="shared" si="15"/>
        <v>#DIV/0!</v>
      </c>
      <c r="G56" s="3563"/>
      <c r="H56" s="1869" t="str">
        <f>项目基本情况!B43</f>
        <v>一级</v>
      </c>
      <c r="I56" s="1867">
        <f>SUMIF(修正!$A$45:$A$56,H56,修正!D45:D56)</f>
        <v>0.36</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0.3</v>
      </c>
      <c r="D57" s="2109">
        <v>0.25</v>
      </c>
      <c r="E57" s="631"/>
      <c r="F57" s="1864" t="e">
        <f t="shared" si="15"/>
        <v>#DIV/0!</v>
      </c>
      <c r="G57" s="3563"/>
      <c r="H57" s="1869" t="str">
        <f>项目基本情况!B43</f>
        <v>一级</v>
      </c>
      <c r="I57" s="1867">
        <f>SUMIF(修正!$A$45:$A$56,H57,修正!E45:E56)</f>
        <v>0.3</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2314</v>
      </c>
      <c r="B58" s="630" t="e">
        <f t="shared" si="17"/>
        <v>#DIV/0!</v>
      </c>
      <c r="C58" s="372">
        <f t="shared" si="16"/>
        <v>0.3</v>
      </c>
      <c r="D58" s="2109">
        <v>0.25</v>
      </c>
      <c r="E58" s="633">
        <f>'数据-汇总表'!E11</f>
        <v>0</v>
      </c>
      <c r="F58" s="1864" t="e">
        <f t="shared" si="15"/>
        <v>#DIV/0!</v>
      </c>
      <c r="G58" s="1870" t="s">
        <v>2272</v>
      </c>
      <c r="H58" s="1869" t="str">
        <f>项目基本情况!C43</f>
        <v>一级</v>
      </c>
      <c r="I58" s="1867">
        <f>SUMIF(修正!$A$45:$A$56,H58,修正!F45:F56)</f>
        <v>0.3</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0.3</v>
      </c>
      <c r="D59" s="2109">
        <v>0.25</v>
      </c>
      <c r="E59" s="633">
        <f>'数据-汇总表'!E12</f>
        <v>3293.4</v>
      </c>
      <c r="F59" s="1864" t="e">
        <f t="shared" si="15"/>
        <v>#DIV/0!</v>
      </c>
      <c r="G59" s="1860" t="s">
        <v>1668</v>
      </c>
      <c r="H59" s="1868" t="str">
        <f>IF(G59="商业",项目基本情况!B43,IF(G59="办公",项目基本情况!C43,IF(G59="住宅",项目基本情况!D43,项目基本情况!E43)))</f>
        <v>一级</v>
      </c>
      <c r="I59" s="1867">
        <f>SUMIF(修正!$A$45:$A$56,H59,修正!G45:G56)</f>
        <v>0.3</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0.25</v>
      </c>
      <c r="D60" s="2109">
        <v>0.25</v>
      </c>
      <c r="E60" s="633">
        <f>'数据-汇总表'!E13</f>
        <v>50872.61</v>
      </c>
      <c r="F60" s="1864" t="e">
        <f t="shared" si="15"/>
        <v>#DIV/0!</v>
      </c>
      <c r="G60" s="1860" t="s">
        <v>914</v>
      </c>
      <c r="H60" s="1868" t="str">
        <f>IF(G60="商业",项目基本情况!B43,IF(G60="办公",项目基本情况!C43,IF(G60="住宅",项目基本情况!D43,项目基本情况!E43)))</f>
        <v>一级</v>
      </c>
      <c r="I60" s="1867">
        <f>SUMIF(修正!$A$45:$A$56,H60,修正!H45:H56)</f>
        <v>0.25</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0.25</v>
      </c>
      <c r="D61" s="2109">
        <v>0.25</v>
      </c>
      <c r="E61" s="633">
        <f>'数据-汇总表'!E14</f>
        <v>0</v>
      </c>
      <c r="F61" s="1864" t="e">
        <f t="shared" si="15"/>
        <v>#DIV/0!</v>
      </c>
      <c r="G61" s="1870" t="s">
        <v>2271</v>
      </c>
      <c r="H61" s="1869" t="str">
        <f>项目基本情况!B43</f>
        <v>一级</v>
      </c>
      <c r="I61" s="1867">
        <f>SUMIF(修正!$A$45:$A$56,H61,修正!H45:H56)</f>
        <v>0.25</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0.25</v>
      </c>
      <c r="D62" s="2109">
        <v>0.25</v>
      </c>
      <c r="E62" s="633">
        <f>'数据-汇总表'!E15</f>
        <v>0</v>
      </c>
      <c r="F62" s="1864" t="e">
        <f t="shared" si="15"/>
        <v>#DIV/0!</v>
      </c>
      <c r="G62" s="1871" t="s">
        <v>2272</v>
      </c>
      <c r="H62" s="1872" t="str">
        <f>项目基本情况!C43</f>
        <v>一级</v>
      </c>
      <c r="I62" s="1867">
        <f>SUMIF(修正!$A$45:$A$56,H62,修正!H45:H56)</f>
        <v>0.25</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2280</v>
      </c>
      <c r="E63" s="635">
        <f>IF(B43="楼面地价",SUM(E53:E62),'数据-汇总表'!D3)</f>
        <v>18893.75</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2020-10-1</v>
      </c>
      <c r="D65" s="2516">
        <f>EDATE(C65,-3)</f>
        <v>44013</v>
      </c>
      <c r="E65" s="2516">
        <f t="shared" ref="E65:N65" si="18">EDATE(D65,-3)</f>
        <v>43922</v>
      </c>
      <c r="F65" s="2516">
        <f t="shared" si="18"/>
        <v>43831</v>
      </c>
      <c r="G65" s="2516">
        <f t="shared" si="18"/>
        <v>43739</v>
      </c>
      <c r="H65" s="2516">
        <f t="shared" si="18"/>
        <v>43647</v>
      </c>
      <c r="I65" s="2516">
        <f t="shared" si="18"/>
        <v>43556</v>
      </c>
      <c r="J65" s="2516">
        <f t="shared" si="18"/>
        <v>43466</v>
      </c>
      <c r="K65" s="2516">
        <f t="shared" si="18"/>
        <v>43374</v>
      </c>
      <c r="L65" s="2516">
        <f t="shared" si="18"/>
        <v>43282</v>
      </c>
      <c r="M65" s="2516">
        <f t="shared" si="18"/>
        <v>43191</v>
      </c>
      <c r="N65" s="2516">
        <f t="shared" si="18"/>
        <v>43101</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2513</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2627</v>
      </c>
      <c r="B68" s="473" t="str">
        <f>"北京市平均增长率"&amp;TEXT(基准地价商业!P24,"0.00%")</f>
        <v>北京市平均增长率1.23%</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2528</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2530</v>
      </c>
      <c r="C95" s="2442" t="s">
        <v>2531</v>
      </c>
      <c r="D95" s="2442" t="s">
        <v>2532</v>
      </c>
      <c r="E95" s="2442" t="s">
        <v>2533</v>
      </c>
      <c r="F95" s="2442" t="s">
        <v>2534</v>
      </c>
      <c r="G95" s="2442" t="s">
        <v>2535</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2408</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1" priority="18" stopIfTrue="1" operator="containsText" text="超过">
      <formula>NOT(ISERROR(SEARCH("超过",F48)))</formula>
    </cfRule>
  </conditionalFormatting>
  <conditionalFormatting sqref="J50">
    <cfRule type="containsText" dxfId="180" priority="17" stopIfTrue="1" operator="containsText" text="超过">
      <formula>NOT(ISERROR(SEARCH("超过",J50)))</formula>
    </cfRule>
  </conditionalFormatting>
  <conditionalFormatting sqref="H50">
    <cfRule type="containsText" dxfId="179" priority="16" stopIfTrue="1" operator="containsText" text="超过">
      <formula>NOT(ISERROR(SEARCH("超过",H50)))</formula>
    </cfRule>
  </conditionalFormatting>
  <conditionalFormatting sqref="F50">
    <cfRule type="containsText" dxfId="178" priority="15" stopIfTrue="1" operator="containsText" text="超过">
      <formula>NOT(ISERROR(SEARCH("超过",F50)))</formula>
    </cfRule>
  </conditionalFormatting>
  <conditionalFormatting sqref="F49 H49 J49">
    <cfRule type="containsText" dxfId="177" priority="14" stopIfTrue="1" operator="containsText" text="超过">
      <formula>NOT(ISERROR(SEARCH("超过",F49)))</formula>
    </cfRule>
  </conditionalFormatting>
  <conditionalFormatting sqref="E48">
    <cfRule type="expression" dxfId="176" priority="13" stopIfTrue="1">
      <formula>$F$48="超过30%"</formula>
    </cfRule>
  </conditionalFormatting>
  <conditionalFormatting sqref="G50">
    <cfRule type="expression" dxfId="175" priority="12" stopIfTrue="1">
      <formula>$H$50="超过30%"</formula>
    </cfRule>
  </conditionalFormatting>
  <conditionalFormatting sqref="E50">
    <cfRule type="expression" dxfId="174" priority="10" stopIfTrue="1">
      <formula>$F$50="超过30%"</formula>
    </cfRule>
  </conditionalFormatting>
  <conditionalFormatting sqref="G48">
    <cfRule type="expression" dxfId="173" priority="9" stopIfTrue="1">
      <formula>$H$48="超过30%"</formula>
    </cfRule>
  </conditionalFormatting>
  <conditionalFormatting sqref="G49">
    <cfRule type="expression" dxfId="172" priority="8" stopIfTrue="1">
      <formula>$H$49="超过20%"</formula>
    </cfRule>
  </conditionalFormatting>
  <conditionalFormatting sqref="I48">
    <cfRule type="expression" dxfId="171" priority="7" stopIfTrue="1">
      <formula>$J$48="超过30%"</formula>
    </cfRule>
  </conditionalFormatting>
  <conditionalFormatting sqref="I49">
    <cfRule type="expression" dxfId="170" priority="6" stopIfTrue="1">
      <formula>$J$49="超过20%"</formula>
    </cfRule>
  </conditionalFormatting>
  <conditionalFormatting sqref="I50">
    <cfRule type="expression" dxfId="169" priority="5" stopIfTrue="1">
      <formula>$J$50="超过30%"</formula>
    </cfRule>
  </conditionalFormatting>
  <conditionalFormatting sqref="E49">
    <cfRule type="expression" dxfId="168" priority="51" stopIfTrue="1">
      <formula>#REF!+$F$49="超过20%"</formula>
    </cfRule>
  </conditionalFormatting>
  <conditionalFormatting sqref="F44">
    <cfRule type="expression" dxfId="167" priority="4">
      <formula>$D$44="简单平均"</formula>
    </cfRule>
  </conditionalFormatting>
  <conditionalFormatting sqref="H44">
    <cfRule type="expression" dxfId="166" priority="3">
      <formula>$D$44="简单平均"</formula>
    </cfRule>
  </conditionalFormatting>
  <conditionalFormatting sqref="J44">
    <cfRule type="expression" dxfId="165" priority="2">
      <formula>$D$44="简单平均"</formula>
    </cfRule>
  </conditionalFormatting>
  <conditionalFormatting sqref="F9:F42 H9:H42 J9:J42">
    <cfRule type="cellIs" dxfId="16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B1" zoomScale="70" zoomScaleNormal="60" zoomScaleSheetLayoutView="70" workbookViewId="0">
      <selection activeCell="B75" sqref="B75"/>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2409</v>
      </c>
      <c r="D1" s="1460">
        <f>SUM(D29:D30,D33:D39)</f>
        <v>33313</v>
      </c>
      <c r="E1" s="1354" t="s">
        <v>2410</v>
      </c>
      <c r="F1" s="2307"/>
      <c r="G1" s="1349"/>
      <c r="H1" s="1349"/>
      <c r="I1" s="1349"/>
      <c r="J1" s="1349"/>
      <c r="K1" s="2070"/>
      <c r="L1" s="1796" t="s">
        <v>2225</v>
      </c>
      <c r="M1" s="1797">
        <f>SUMPRODUCT((区片价!B5:B9=I2)*(区片价!C3:F3=E2)*(区片价!C5:F9))</f>
        <v>29270</v>
      </c>
      <c r="N1" s="1798">
        <f>SUMPRODUCT((因素修正幅度!B5:B9=I2)*(因素修正幅度!C3:F3=E2)*(因素修正幅度!C5:F9))</f>
        <v>9.8000000000000004E-2</v>
      </c>
      <c r="O1" s="2070"/>
      <c r="P1" s="2070"/>
      <c r="Q1" s="2070"/>
      <c r="R1" s="2653" t="s">
        <v>2739</v>
      </c>
      <c r="S1" s="2653" t="s">
        <v>2740</v>
      </c>
      <c r="T1" s="2653" t="s">
        <v>2761</v>
      </c>
      <c r="U1" s="2653" t="s">
        <v>2762</v>
      </c>
      <c r="V1" s="2653" t="s">
        <v>2763</v>
      </c>
      <c r="W1" s="2070"/>
      <c r="X1" s="2070"/>
      <c r="Y1" s="2070"/>
      <c r="Z1" s="2070"/>
      <c r="AA1" s="2070"/>
      <c r="AB1" s="2070"/>
      <c r="AC1" s="2071"/>
    </row>
    <row r="2" spans="1:39" ht="15.75">
      <c r="A2" s="1354" t="s">
        <v>911</v>
      </c>
      <c r="B2" s="1025">
        <f ca="1">C26</f>
        <v>175083</v>
      </c>
      <c r="C2" s="1355" t="s">
        <v>912</v>
      </c>
      <c r="D2" s="1356" t="s">
        <v>913</v>
      </c>
      <c r="E2" s="1357" t="s">
        <v>914</v>
      </c>
      <c r="F2" s="1356" t="s">
        <v>915</v>
      </c>
      <c r="G2" s="1580" t="str">
        <f>IF(E2="商业",项目基本情况!B43,IF(E2="办公",项目基本情况!C43,IF(E2="住宅",项目基本情况!D43,项目基本情况!E43)))</f>
        <v>一级</v>
      </c>
      <c r="H2" s="1356" t="s">
        <v>917</v>
      </c>
      <c r="I2" s="1581" t="str">
        <f>IF(E2="商业",项目基本情况!B44,IF(E2="办公",项目基本情况!C44,IF(E2="住宅",项目基本情况!D44,项目基本情况!E44)))</f>
        <v>Ⅰ—04</v>
      </c>
      <c r="J2" s="1358"/>
      <c r="K2" s="3232"/>
      <c r="L2" s="1799" t="s">
        <v>2226</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1.9361999999999999</v>
      </c>
      <c r="T2" s="2654">
        <f ca="1">ROUND($C$5*$C$18*$C$19*$C$20*S2*$C$24,0)</f>
        <v>124067</v>
      </c>
      <c r="U2" s="2643"/>
      <c r="V2" s="2654">
        <f ca="1">ROUND(T2*U2/10000,0)</f>
        <v>0</v>
      </c>
      <c r="W2" s="2070"/>
      <c r="X2" s="2070"/>
      <c r="Y2" s="2070"/>
      <c r="Z2" s="2070"/>
      <c r="AA2" s="2070"/>
      <c r="AB2" s="2070"/>
      <c r="AC2" s="2071"/>
    </row>
    <row r="3" spans="1:39" ht="24">
      <c r="A3" s="1359" t="s">
        <v>1678</v>
      </c>
      <c r="B3" s="1025">
        <f ca="1">ROUND(B2*10000/D1,0)</f>
        <v>52557</v>
      </c>
      <c r="C3" s="1355" t="s">
        <v>918</v>
      </c>
      <c r="D3" s="1356" t="s">
        <v>919</v>
      </c>
      <c r="E3" s="1360" t="s">
        <v>3228</v>
      </c>
      <c r="F3" s="1361" t="s">
        <v>3060</v>
      </c>
      <c r="G3" s="1026">
        <f>IF(F3="宗地容积率",'数据-汇总表'!I4,IF(F3="估价对象容积率",'数据-汇总表'!I6,'数据-汇总表'!I7))</f>
        <v>10.1</v>
      </c>
      <c r="H3" s="1362" t="s">
        <v>920</v>
      </c>
      <c r="I3" s="1027">
        <v>1</v>
      </c>
      <c r="J3" s="1358" t="s">
        <v>921</v>
      </c>
      <c r="K3" s="3232"/>
      <c r="L3" s="1799" t="s">
        <v>2227</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1.4198</v>
      </c>
      <c r="T3" s="2654">
        <f t="shared" ref="T3:T16" ca="1" si="0">ROUND($C$5*$C$18*$C$19*$C$20*S3*$C$24,0)</f>
        <v>90978</v>
      </c>
      <c r="U3" s="2643"/>
      <c r="V3" s="2654">
        <f t="shared" ref="V3:V16" ca="1" si="1">ROUND(T3*U3/10000,0)</f>
        <v>0</v>
      </c>
      <c r="W3" s="2070"/>
      <c r="X3" s="2070"/>
      <c r="Y3" s="2070"/>
      <c r="Z3" s="2070"/>
      <c r="AA3" s="2070"/>
      <c r="AB3" s="2070"/>
      <c r="AC3" s="2071"/>
    </row>
    <row r="4" spans="1:39" ht="28.5">
      <c r="A4" s="1805" t="s">
        <v>2266</v>
      </c>
      <c r="B4" s="2308" t="e">
        <f ca="1">ROUND(B2*10000/F1,0)</f>
        <v>#DIV/0!</v>
      </c>
      <c r="C4" s="1808" t="s">
        <v>2241</v>
      </c>
      <c r="D4" s="1808" t="e">
        <f ca="1">ROUND(B2/(F1/666.67),0)</f>
        <v>#DIV/0!</v>
      </c>
      <c r="E4" s="1808" t="s">
        <v>2242</v>
      </c>
      <c r="F4" s="1806"/>
      <c r="G4" s="1806"/>
      <c r="H4" s="1806"/>
      <c r="I4" s="1806"/>
      <c r="J4" s="1807"/>
      <c r="K4" s="3233"/>
      <c r="L4" s="1799" t="s">
        <v>2228</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1.1594</v>
      </c>
      <c r="T4" s="2654">
        <f t="shared" ca="1" si="0"/>
        <v>74292</v>
      </c>
      <c r="U4" s="2643"/>
      <c r="V4" s="2654">
        <f t="shared" ca="1" si="1"/>
        <v>0</v>
      </c>
      <c r="W4" s="2070"/>
      <c r="X4" s="2070"/>
      <c r="Y4" s="2070"/>
      <c r="Z4" s="2070"/>
      <c r="AA4" s="2070"/>
      <c r="AB4" s="2070"/>
      <c r="AC4" s="2071"/>
    </row>
    <row r="5" spans="1:39" s="1369" customFormat="1" ht="15.75" thickBot="1">
      <c r="A5" s="1566" t="s">
        <v>1814</v>
      </c>
      <c r="B5" s="1363" t="s">
        <v>922</v>
      </c>
      <c r="C5" s="1028">
        <f>ROUND(IF(E2="商业",C6*C7+C16,(IF(E2="住宅",C6*C12+C16,C6+C16))),0)</f>
        <v>38636</v>
      </c>
      <c r="D5" s="2793">
        <f>ROUND(C6+C16,0)</f>
        <v>29270</v>
      </c>
      <c r="E5" s="2793"/>
      <c r="F5" s="1364"/>
      <c r="G5" s="1365"/>
      <c r="H5" s="1365"/>
      <c r="I5" s="1365"/>
      <c r="J5" s="1366"/>
      <c r="K5" s="3234"/>
      <c r="L5" s="1799" t="s">
        <v>2229</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0.96220000000000006</v>
      </c>
      <c r="T5" s="2654">
        <f t="shared" ca="1" si="0"/>
        <v>61656</v>
      </c>
      <c r="U5" s="2643"/>
      <c r="V5" s="2654">
        <f t="shared" ca="1"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9">
        <f>SUMIF(L1:L12,基准地价住宅!G2,M1:M12)</f>
        <v>29270</v>
      </c>
      <c r="D6" s="1371" t="s">
        <v>1686</v>
      </c>
      <c r="E6" s="1372"/>
      <c r="F6" s="1372"/>
      <c r="G6" s="1373"/>
      <c r="H6" s="1373"/>
      <c r="I6" s="1373"/>
      <c r="J6" s="1374"/>
      <c r="K6" s="3235"/>
      <c r="L6" s="1799" t="s">
        <v>2230</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0.8417</v>
      </c>
      <c r="T6" s="2654">
        <f t="shared" ca="1" si="0"/>
        <v>53934</v>
      </c>
      <c r="U6" s="2643"/>
      <c r="V6" s="2654">
        <f t="shared" ca="1" si="1"/>
        <v>0</v>
      </c>
      <c r="W6" s="2070"/>
      <c r="X6" s="2070"/>
      <c r="Y6" s="2070"/>
      <c r="Z6" s="2070"/>
      <c r="AA6" s="2070"/>
      <c r="AB6" s="2070"/>
      <c r="AC6" s="2072"/>
      <c r="AD6" s="1367"/>
      <c r="AE6" s="1367"/>
      <c r="AF6" s="1367"/>
      <c r="AG6" s="1367"/>
      <c r="AH6" s="1367"/>
      <c r="AI6" s="1367"/>
      <c r="AJ6" s="1368"/>
    </row>
    <row r="7" spans="1:39" ht="24" hidden="1">
      <c r="A7" s="3572" t="str">
        <f>IF(E2="商业",IF(C8="不临58条商业街","",2),"")</f>
        <v/>
      </c>
      <c r="B7" s="1375" t="s">
        <v>923</v>
      </c>
      <c r="C7" s="1030">
        <f>IF(C8="不临58条商业街",1,ROUND(1+(1.6*E8+1.2*E9+0.8*E10+0.4*E11)*C9,4))</f>
        <v>1.1000000000000001</v>
      </c>
      <c r="D7" s="1376" t="s">
        <v>924</v>
      </c>
      <c r="E7" s="1031">
        <v>60</v>
      </c>
      <c r="F7" s="1377"/>
      <c r="G7" s="1378"/>
      <c r="H7" s="1378"/>
      <c r="I7" s="1378"/>
      <c r="J7" s="1379"/>
      <c r="K7" s="3235"/>
      <c r="L7" s="1799" t="s">
        <v>2231</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0.76080000000000003</v>
      </c>
      <c r="T7" s="2654">
        <f t="shared" ca="1" si="0"/>
        <v>48750</v>
      </c>
      <c r="U7" s="2643"/>
      <c r="V7" s="2654">
        <f t="shared" ca="1" si="1"/>
        <v>0</v>
      </c>
      <c r="W7" s="3286" t="s">
        <v>2742</v>
      </c>
      <c r="X7" s="2644" t="str">
        <f>G2</f>
        <v>一级</v>
      </c>
      <c r="Y7" s="2644" t="s">
        <v>2743</v>
      </c>
      <c r="Z7" s="2645">
        <f>G3</f>
        <v>10.1</v>
      </c>
      <c r="AA7" s="2073"/>
      <c r="AB7" s="2073"/>
      <c r="AC7" s="2074"/>
      <c r="AD7" s="2646"/>
      <c r="AE7" s="2646"/>
      <c r="AF7" s="2646"/>
      <c r="AG7" s="2646"/>
      <c r="AH7" s="2646"/>
      <c r="AI7" s="2646"/>
      <c r="AJ7" s="2647"/>
    </row>
    <row r="8" spans="1:39" ht="15" hidden="1">
      <c r="A8" s="3573"/>
      <c r="B8" s="1362" t="s">
        <v>925</v>
      </c>
      <c r="C8" s="1468" t="s">
        <v>3061</v>
      </c>
      <c r="D8" s="1032" t="s">
        <v>926</v>
      </c>
      <c r="E8" s="1033">
        <f>ROUND(C11/E7,4)</f>
        <v>0.125</v>
      </c>
      <c r="F8" s="1380" t="s">
        <v>927</v>
      </c>
      <c r="G8" s="1381"/>
      <c r="H8" s="1381"/>
      <c r="I8" s="1381"/>
      <c r="J8" s="1382"/>
      <c r="K8" s="3235"/>
      <c r="L8" s="1799" t="s">
        <v>2232</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83" t="s">
        <v>2760</v>
      </c>
      <c r="X8" s="3584"/>
      <c r="Y8" s="1763" t="s">
        <v>2744</v>
      </c>
      <c r="Z8" s="1763" t="s">
        <v>2745</v>
      </c>
      <c r="AA8" s="1763" t="s">
        <v>2746</v>
      </c>
      <c r="AB8" s="1763" t="s">
        <v>2747</v>
      </c>
      <c r="AC8" s="1763" t="s">
        <v>2748</v>
      </c>
      <c r="AD8" s="1763" t="s">
        <v>2749</v>
      </c>
      <c r="AE8" s="1763" t="s">
        <v>2750</v>
      </c>
      <c r="AF8" s="1763" t="s">
        <v>2751</v>
      </c>
      <c r="AG8" s="1763" t="s">
        <v>2752</v>
      </c>
      <c r="AH8" s="1763" t="s">
        <v>2753</v>
      </c>
      <c r="AI8" s="1763" t="s">
        <v>2754</v>
      </c>
      <c r="AJ8" s="1763" t="s">
        <v>2755</v>
      </c>
    </row>
    <row r="9" spans="1:39" ht="15" hidden="1">
      <c r="A9" s="3573"/>
      <c r="B9" s="1362" t="s">
        <v>928</v>
      </c>
      <c r="C9" s="1034">
        <f>SUMIF(修正!C59:C119,C8,修正!E59:E119)</f>
        <v>0.2</v>
      </c>
      <c r="D9" s="1035" t="s">
        <v>929</v>
      </c>
      <c r="E9" s="1035">
        <f>ROUND(C11/E7,4)</f>
        <v>0.125</v>
      </c>
      <c r="F9" s="1380" t="s">
        <v>930</v>
      </c>
      <c r="G9" s="1381"/>
      <c r="H9" s="1381"/>
      <c r="I9" s="1381"/>
      <c r="J9" s="1382"/>
      <c r="K9" s="3235"/>
      <c r="L9" s="1799" t="s">
        <v>2233</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82" t="s">
        <v>2756</v>
      </c>
      <c r="X9" s="2648" t="s">
        <v>2757</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hidden="1">
      <c r="A10" s="3573"/>
      <c r="B10" s="1362" t="s">
        <v>931</v>
      </c>
      <c r="C10" s="1035">
        <f>SUMIF(修正!C59:C119,C8,修正!F59:F119)</f>
        <v>30</v>
      </c>
      <c r="D10" s="1035" t="s">
        <v>932</v>
      </c>
      <c r="E10" s="1035">
        <f>ROUND(C11/E7,4)</f>
        <v>0.125</v>
      </c>
      <c r="F10" s="1380" t="s">
        <v>933</v>
      </c>
      <c r="G10" s="1381"/>
      <c r="H10" s="1381"/>
      <c r="I10" s="1381"/>
      <c r="J10" s="1382"/>
      <c r="K10" s="3235"/>
      <c r="L10" s="1799" t="s">
        <v>2234</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8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hidden="1" customHeight="1" thickBot="1">
      <c r="A11" s="3573"/>
      <c r="B11" s="1383" t="s">
        <v>934</v>
      </c>
      <c r="C11" s="1036">
        <f>C10/4</f>
        <v>7.5</v>
      </c>
      <c r="D11" s="1036" t="s">
        <v>935</v>
      </c>
      <c r="E11" s="1036">
        <f>ROUND(C11/E7,4)</f>
        <v>0.125</v>
      </c>
      <c r="F11" s="1384" t="s">
        <v>936</v>
      </c>
      <c r="G11" s="1385"/>
      <c r="H11" s="1385"/>
      <c r="I11" s="1385"/>
      <c r="J11" s="1386"/>
      <c r="K11" s="3235"/>
      <c r="L11" s="1799" t="s">
        <v>2235</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82" t="s">
        <v>2758</v>
      </c>
      <c r="X11" s="1035" t="s">
        <v>2743</v>
      </c>
      <c r="Y11" s="1581">
        <f>$G$3</f>
        <v>10.1</v>
      </c>
      <c r="Z11" s="1581">
        <f t="shared" ref="Z11:AJ11" si="3">$G$3</f>
        <v>10.1</v>
      </c>
      <c r="AA11" s="1581">
        <f t="shared" si="3"/>
        <v>10.1</v>
      </c>
      <c r="AB11" s="1581">
        <f t="shared" si="3"/>
        <v>10.1</v>
      </c>
      <c r="AC11" s="1581">
        <f t="shared" si="3"/>
        <v>10.1</v>
      </c>
      <c r="AD11" s="1581">
        <f t="shared" si="3"/>
        <v>10.1</v>
      </c>
      <c r="AE11" s="1581">
        <f t="shared" si="3"/>
        <v>10.1</v>
      </c>
      <c r="AF11" s="1581">
        <f t="shared" si="3"/>
        <v>10.1</v>
      </c>
      <c r="AG11" s="1581">
        <f t="shared" si="3"/>
        <v>10.1</v>
      </c>
      <c r="AH11" s="1581">
        <f t="shared" si="3"/>
        <v>10.1</v>
      </c>
      <c r="AI11" s="1581">
        <f t="shared" si="3"/>
        <v>10.1</v>
      </c>
      <c r="AJ11" s="1581">
        <f t="shared" si="3"/>
        <v>10.1</v>
      </c>
    </row>
    <row r="12" spans="1:39" ht="25.5" thickBot="1">
      <c r="A12" s="3572" t="s">
        <v>1862</v>
      </c>
      <c r="B12" s="1387" t="s">
        <v>937</v>
      </c>
      <c r="C12" s="1030">
        <f>ROUND(C15*D15*E15*F15*G15*H15*I15*J15,4)</f>
        <v>1.32</v>
      </c>
      <c r="D12" s="1388" t="s">
        <v>938</v>
      </c>
      <c r="E12" s="1389"/>
      <c r="F12" s="1389"/>
      <c r="G12" s="1390"/>
      <c r="H12" s="1390"/>
      <c r="I12" s="1390"/>
      <c r="J12" s="1391"/>
      <c r="K12" s="3235"/>
      <c r="L12" s="1802" t="s">
        <v>2236</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82"/>
      <c r="X12" s="2651" t="s">
        <v>2759</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74"/>
      <c r="B13" s="1392" t="s">
        <v>1687</v>
      </c>
      <c r="C13" s="1393" t="s">
        <v>1688</v>
      </c>
      <c r="D13" s="1072" t="s">
        <v>1689</v>
      </c>
      <c r="E13" s="1072" t="s">
        <v>1690</v>
      </c>
      <c r="F13" s="1394" t="s">
        <v>939</v>
      </c>
      <c r="G13" s="1395" t="s">
        <v>1633</v>
      </c>
      <c r="H13" s="1396" t="s">
        <v>1633</v>
      </c>
      <c r="I13" s="1397" t="s">
        <v>1633</v>
      </c>
      <c r="J13" s="1398" t="s">
        <v>1633</v>
      </c>
      <c r="K13" s="2843"/>
      <c r="L13" s="2843"/>
      <c r="M13" s="2843"/>
      <c r="N13" s="2843"/>
      <c r="O13" s="2843"/>
      <c r="P13" s="2070"/>
      <c r="Q13" s="2070"/>
      <c r="R13" s="2654">
        <v>12</v>
      </c>
      <c r="S13" s="2643"/>
      <c r="T13" s="2654">
        <f t="shared" ca="1" si="0"/>
        <v>0</v>
      </c>
      <c r="U13" s="2643"/>
      <c r="V13" s="2654">
        <f t="shared" ca="1" si="1"/>
        <v>0</v>
      </c>
      <c r="W13" s="3582"/>
      <c r="X13" s="2651"/>
      <c r="Y13" s="2650">
        <f>(-0.163*(Y12^2)-0.59*Y12+7617)*(10^(-4))/Y11</f>
        <v>7.5415841584158427E-2</v>
      </c>
      <c r="Z13" s="2650">
        <f t="shared" ref="Z13:AJ13" si="5">(-0.163*(Z12^2)-0.59*Z12+7617)*(10^(-4))/Z11</f>
        <v>7.5415841584158427E-2</v>
      </c>
      <c r="AA13" s="2650">
        <f t="shared" si="5"/>
        <v>7.5415841584158427E-2</v>
      </c>
      <c r="AB13" s="2650">
        <f t="shared" si="5"/>
        <v>7.5415841584158427E-2</v>
      </c>
      <c r="AC13" s="2650">
        <f t="shared" si="5"/>
        <v>7.5415841584158427E-2</v>
      </c>
      <c r="AD13" s="2650">
        <f t="shared" si="5"/>
        <v>7.5415841584158427E-2</v>
      </c>
      <c r="AE13" s="2650">
        <f t="shared" si="5"/>
        <v>7.5415841584158427E-2</v>
      </c>
      <c r="AF13" s="2650">
        <f t="shared" si="5"/>
        <v>7.5415841584158427E-2</v>
      </c>
      <c r="AG13" s="2650">
        <f t="shared" si="5"/>
        <v>7.5415841584158427E-2</v>
      </c>
      <c r="AH13" s="2650">
        <f t="shared" si="5"/>
        <v>7.5415841584158427E-2</v>
      </c>
      <c r="AI13" s="2650">
        <f t="shared" si="5"/>
        <v>7.5415841584158427E-2</v>
      </c>
      <c r="AJ13" s="2650">
        <f t="shared" si="5"/>
        <v>7.5415841584158427E-2</v>
      </c>
    </row>
    <row r="14" spans="1:39" ht="12.75" customHeight="1">
      <c r="A14" s="3574"/>
      <c r="B14" s="1399"/>
      <c r="C14" s="1400" t="s">
        <v>3112</v>
      </c>
      <c r="D14" s="1401" t="s">
        <v>3113</v>
      </c>
      <c r="E14" s="1401" t="s">
        <v>3113</v>
      </c>
      <c r="F14" s="1402" t="s">
        <v>3111</v>
      </c>
      <c r="G14" s="1403" t="s">
        <v>940</v>
      </c>
      <c r="H14" s="1404"/>
      <c r="I14" s="1405"/>
      <c r="J14" s="1406"/>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75"/>
      <c r="B15" s="2848" t="s">
        <v>1691</v>
      </c>
      <c r="C15" s="1036">
        <f>IF(C14="有",1.1,1)</f>
        <v>1.1000000000000001</v>
      </c>
      <c r="D15" s="1036">
        <f>IF(D14="有",1.1,1)</f>
        <v>1</v>
      </c>
      <c r="E15" s="1036">
        <f>IF(E14="有",1.1,1)</f>
        <v>1</v>
      </c>
      <c r="F15" s="1036">
        <f>IF(F14="500米范围内",1.2,IF(F14="500-1000米",1.1,1))</f>
        <v>1.2</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72" t="s">
        <v>1829</v>
      </c>
      <c r="B16" s="1375" t="s">
        <v>941</v>
      </c>
      <c r="C16" s="1039">
        <f>ROUND(IF(F17="与级别开发程度一致",0,(G17-E17)/C17),0)</f>
        <v>0</v>
      </c>
      <c r="D16" s="3590" t="s">
        <v>945</v>
      </c>
      <c r="E16" s="3591"/>
      <c r="F16" s="3590" t="s">
        <v>942</v>
      </c>
      <c r="G16" s="3591"/>
      <c r="H16" s="1407" t="s">
        <v>3005</v>
      </c>
      <c r="I16" s="1407" t="s">
        <v>3006</v>
      </c>
      <c r="J16" s="1407" t="s">
        <v>3008</v>
      </c>
      <c r="K16" s="1407" t="s">
        <v>3005</v>
      </c>
      <c r="L16" s="1407" t="s">
        <v>3009</v>
      </c>
      <c r="M16" s="1407" t="s">
        <v>3010</v>
      </c>
      <c r="N16" s="1407" t="s">
        <v>3011</v>
      </c>
      <c r="O16" s="2853" t="s">
        <v>3004</v>
      </c>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76"/>
      <c r="B17" s="2854" t="s">
        <v>944</v>
      </c>
      <c r="C17" s="2855">
        <f>SUMPRODUCT((修正!A2:A5=E2)*(修正!B1:M1=G2)*(修正!B2:M5))</f>
        <v>2.5</v>
      </c>
      <c r="D17" s="2856" t="str">
        <f>IF(OR(G2="八级",G2="九级",G2="十级",G2="十一级",G2="十二级"),"五通一平","七通一平")</f>
        <v>七通一平</v>
      </c>
      <c r="E17" s="2846">
        <f>SUMPRODUCT((修正!B1:M1=G2)*(修正!B15:M15))</f>
        <v>375</v>
      </c>
      <c r="F17" s="2847" t="s">
        <v>3248</v>
      </c>
      <c r="G17" s="2846">
        <f>SUM(H17:O17)</f>
        <v>435</v>
      </c>
      <c r="H17" s="1038">
        <f>SUMPRODUCT((七通一平=H16)*(修正!B1:M1=G2)*(修正!B6:M14))</f>
        <v>80</v>
      </c>
      <c r="I17" s="1038">
        <f>SUMPRODUCT((七通一平=I16)*(修正!B1:M1=G2)*(修正!B6:M14))</f>
        <v>70</v>
      </c>
      <c r="J17" s="1038">
        <f>SUMPRODUCT((七通一平=J16)*(修正!B1:M1=G2)*(修正!B6:M14))</f>
        <v>30</v>
      </c>
      <c r="K17" s="1038">
        <f>SUMPRODUCT((七通一平=K16)*(修正!B1:M1=G2)*(修正!B6:M14))</f>
        <v>80</v>
      </c>
      <c r="L17" s="1038">
        <f>SUMPRODUCT((七通一平=L16)*(修正!B1:M1=G2)*(修正!B6:M14))</f>
        <v>45</v>
      </c>
      <c r="M17" s="1038">
        <f>SUMPRODUCT((七通一平=M16)*(修正!B1:M1=G2)*(修正!B6:M14))</f>
        <v>60</v>
      </c>
      <c r="N17" s="1038">
        <f>SUMPRODUCT((七通一平=N16)*(修正!B1:M1=G2)*(修正!B6:M14))</f>
        <v>50</v>
      </c>
      <c r="O17" s="2857">
        <f>SUMPRODUCT((七通一平=O16)*(修正!B1:M1=G2)*(修正!B6:M14))</f>
        <v>20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40">
        <f>ROUND(IF(H19="按公示增长率计算",SUMPRODUCT((地价!A3:A32=YEAR(G19)&amp;"-"&amp;ROUNDUP(MONTH(G19)/3,0))*(地价!X2:AB2=E2)*(地价!X3:AB32)),IF(H19="地价指数",M20/M19,(1+I19)^O19)),4)</f>
        <v>1.6335999999999999</v>
      </c>
      <c r="D19" s="1414" t="s">
        <v>948</v>
      </c>
      <c r="E19" s="1041">
        <v>41640</v>
      </c>
      <c r="F19" s="1414" t="s">
        <v>949</v>
      </c>
      <c r="G19" s="1042">
        <f>'数据-取费表'!B2</f>
        <v>44127</v>
      </c>
      <c r="H19" s="1415" t="s">
        <v>2949</v>
      </c>
      <c r="I19" s="2503" t="str">
        <f>IF(H19="季度增幅（自定义）",SUMIF(N21:N24,E2,O21:O24),"")</f>
        <v/>
      </c>
      <c r="J19" s="1411"/>
      <c r="K19" s="3234"/>
      <c r="L19" s="2753" t="s">
        <v>2818</v>
      </c>
      <c r="M19" s="2754">
        <f>ROUND(SUMIF(地价!B2:F2,E2,地价!B32:F32),0)</f>
        <v>423</v>
      </c>
      <c r="N19" s="2505" t="s">
        <v>1667</v>
      </c>
      <c r="O19" s="2504">
        <f>ROUNDDOWN(DATEDIF(E19,G19,"M")/3,0)</f>
        <v>27</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f ca="1">ROUND(POWER(1+G20,J20-I20)*(POWER(1+G20,I20)-1)/(POWER(1+G20,J20)-1),4)</f>
        <v>0.96460000000000001</v>
      </c>
      <c r="D20" s="2500" t="s">
        <v>963</v>
      </c>
      <c r="E20" s="2783">
        <f ca="1">存贷款利率!I4/100</f>
        <v>4.3499999999999997E-2</v>
      </c>
      <c r="F20" s="2500" t="s">
        <v>964</v>
      </c>
      <c r="G20" s="2501">
        <f ca="1">SUMIF(M26:P26,E2,M28:P28)</f>
        <v>0.05</v>
      </c>
      <c r="H20" s="2500" t="s">
        <v>965</v>
      </c>
      <c r="I20" s="2496">
        <f>SUMIF('数据-取费表'!C6:C15,E2,'数据-取费表'!F6:F15)/COUNTIF('数据-取费表'!C6:C15,E2)</f>
        <v>55.36</v>
      </c>
      <c r="J20" s="2502">
        <f>IF(E2="住宅",70,IF(E2="商业",40,50))</f>
        <v>70</v>
      </c>
      <c r="K20" s="2844"/>
      <c r="L20" s="2755" t="s">
        <v>2819</v>
      </c>
      <c r="M20" s="2837">
        <f>ROUND(SUMPRODUCT((地价!A4:A32=YEAR(G19)&amp;"-"&amp;ROUNDUP(MONTH(G19)/3,0))*(地价!B2:F2=E2)*(地价!B4:F32)),0)</f>
        <v>691</v>
      </c>
      <c r="N20" s="2508" t="s">
        <v>2624</v>
      </c>
      <c r="O20" s="2506" t="s">
        <v>2623</v>
      </c>
      <c r="P20" s="2507" t="s">
        <v>2628</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2985</v>
      </c>
      <c r="C21" s="1141">
        <f>IF(B21="容积率修正",IF(G3&lt;=10,D22,J22),C23)</f>
        <v>0.82020000000000004</v>
      </c>
      <c r="D21" s="1421"/>
      <c r="E21" s="1421"/>
      <c r="F21" s="1421"/>
      <c r="G21" s="1421"/>
      <c r="H21" s="1421"/>
      <c r="I21" s="1421"/>
      <c r="J21" s="1422"/>
      <c r="K21" s="3234"/>
      <c r="L21" s="1421"/>
      <c r="M21" s="1421"/>
      <c r="N21" s="1418" t="s">
        <v>966</v>
      </c>
      <c r="O21" s="1481"/>
      <c r="P21" s="2495">
        <f>SUMPRODUCT((地价!A3:A32=YEAR(G19)&amp;"-"&amp;ROUNDUP(MONTH(G19)/3,0))*(地价!AD2:AH2=N21)*(地价!AD3:AH32))</f>
        <v>1.1599999999999999E-2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3" t="s">
        <v>1693</v>
      </c>
      <c r="D22" s="1043" t="str">
        <f>IF(E22=G22,F22,IF(G3&lt;=10,ROUND(F22+(H22-F22)*(G3-E22)/(G22-E22),4),"——"))</f>
        <v>——</v>
      </c>
      <c r="E22" s="1026">
        <f>ROUNDDOWN(G3,1)</f>
        <v>10.1</v>
      </c>
      <c r="F22" s="104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6">
        <f>ROUNDUP(G3,1)</f>
        <v>10.1</v>
      </c>
      <c r="H22" s="104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3" t="s">
        <v>968</v>
      </c>
      <c r="J22" s="1043">
        <f>IF(G3&gt;10,D113,"——")</f>
        <v>0.82020000000000004</v>
      </c>
      <c r="K22" s="3240"/>
      <c r="L22" s="1421"/>
      <c r="M22" s="1421"/>
      <c r="N22" s="1418" t="s">
        <v>969</v>
      </c>
      <c r="O22" s="1481"/>
      <c r="P22" s="2495">
        <f>SUMPRODUCT((地价!A3:A32=YEAR(G19)&amp;"-"&amp;ROUNDUP(MONTH(G19)/3,0))*(地价!AD2:AH2=N22)*(地价!AD3:AH32))</f>
        <v>1.1599999999999999E-2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4">
        <f>ROUND(IF(G3&gt;1,IF(I3&lt;7,SUMPRODUCT((B93:B98=I3)*(C92:N92=G2)*(C93:N98)),SUMIF(C92:N92,G2,C100:N100)),IF(I3&lt;7,SUMPRODUCT((B102:B107=I3)*(C92:N92=G2)*(C102:N107)),SUMIF(C92:N92,G2,C109:N109))),4)</f>
        <v>1.9361999999999999</v>
      </c>
      <c r="D23" s="1469"/>
      <c r="E23" s="1469"/>
      <c r="F23" s="1470"/>
      <c r="G23" s="1471"/>
      <c r="H23" s="1472"/>
      <c r="I23" s="1473"/>
      <c r="J23" s="1473"/>
      <c r="K23" s="3241"/>
      <c r="L23" s="1349"/>
      <c r="M23" s="1349"/>
      <c r="N23" s="1418" t="s">
        <v>914</v>
      </c>
      <c r="O23" s="1481"/>
      <c r="P23" s="2495">
        <f>SUMPRODUCT((地价!A3:A32=YEAR(G19)&amp;"-"&amp;ROUNDUP(MONTH(G19)/3,0))*(地价!AD2:AH2=N23)*(地价!AD3:AH32))</f>
        <v>1.9E-2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5">
        <f>SUMIF(A44:A87,E2,B44:B87)</f>
        <v>1.0525</v>
      </c>
      <c r="D24" s="1474"/>
      <c r="E24" s="1475"/>
      <c r="F24" s="1475"/>
      <c r="G24" s="1475"/>
      <c r="H24" s="1475"/>
      <c r="I24" s="1475"/>
      <c r="J24" s="1475"/>
      <c r="K24" s="3241"/>
      <c r="L24" s="1421"/>
      <c r="M24" s="1421"/>
      <c r="N24" s="1418" t="s">
        <v>972</v>
      </c>
      <c r="O24" s="2836"/>
      <c r="P24" s="2495">
        <f>SUMPRODUCT((地价!A3:A32=YEAR(G19)&amp;"-"&amp;ROUNDUP(MONTH(G19)/3,0))*(地价!AD2:AH2=N24)*(地价!AD3:AH32))</f>
        <v>1.23E-2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5"/>
      <c r="L25" s="2076"/>
      <c r="M25" s="2076"/>
      <c r="N25" s="2838" t="s">
        <v>2626</v>
      </c>
      <c r="O25" s="2839"/>
      <c r="P25" s="2302">
        <f>SUMPRODUCT((地价!A3:A32=YEAR(G19)&amp;"-"&amp;ROUNDUP(MONTH(G19)/3,0))*(地价!AD2:AH2=N25)*(地价!AD3:AH32))</f>
        <v>1.7299999999999999E-2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f ca="1">IF(B21="容积率修正",E29+SUM(E33:E39),SUM(V2:V16)+SUM(E33:E39))</f>
        <v>175083</v>
      </c>
      <c r="D26" s="1429"/>
      <c r="E26" s="1404"/>
      <c r="F26" s="1430"/>
      <c r="G26" s="1404"/>
      <c r="H26" s="1404"/>
      <c r="I26" s="1404"/>
      <c r="J26" s="1431"/>
      <c r="K26" s="3235"/>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f ca="1">E30+SUM(I33:I39)</f>
        <v>0</v>
      </c>
      <c r="D27" s="1433"/>
      <c r="E27" s="1434"/>
      <c r="F27" s="1435"/>
      <c r="G27" s="1434"/>
      <c r="H27" s="1434"/>
      <c r="I27" s="1434"/>
      <c r="J27" s="1436"/>
      <c r="K27" s="3235"/>
      <c r="L27" s="1408" t="s">
        <v>978</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5"/>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6">
        <f ca="1">ROUND(C5*C18*C19*C20*C21*C24,0)</f>
        <v>52557</v>
      </c>
      <c r="D29" s="1443">
        <f>'数据-汇总表'!F19</f>
        <v>33313</v>
      </c>
      <c r="E29" s="1763">
        <f ca="1">ROUND(C29*D29/10000,0)</f>
        <v>175083</v>
      </c>
      <c r="F29" s="1444" t="s">
        <v>1692</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8">
        <f ca="1">ROUND(IF(E2="工业",C29*M39,C29*M38),0)</f>
        <v>13139</v>
      </c>
      <c r="D30" s="1449"/>
      <c r="E30" s="1763">
        <f ca="1">ROUND(C30*D30/10000,0)</f>
        <v>0</v>
      </c>
      <c r="F30" s="1450" t="s">
        <v>986</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79"/>
      <c r="B33" s="1463" t="s">
        <v>990</v>
      </c>
      <c r="C33" s="1046">
        <f ca="1">ROUND(D5*C19*C20*C24*F33,0)</f>
        <v>38835</v>
      </c>
      <c r="D33" s="1476"/>
      <c r="E33" s="1035">
        <f ca="1">ROUND(C33*D33/10000,0)</f>
        <v>0</v>
      </c>
      <c r="F33" s="1035">
        <f>SUMIF(修正!A45:A56,G2,修正!B45:B56)</f>
        <v>0.8</v>
      </c>
      <c r="G33" s="1035">
        <f t="shared" ref="G33" ca="1" si="6">ROUND(IF(E2="工业",C33*$M$39,C33*$M$38),0)</f>
        <v>9709</v>
      </c>
      <c r="H33" s="1035">
        <f>D33</f>
        <v>0</v>
      </c>
      <c r="I33" s="1035">
        <f ca="1">ROUND(G33*H33/10000,0)</f>
        <v>0</v>
      </c>
      <c r="J33" s="3579" t="s">
        <v>2989</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80"/>
      <c r="B34" s="1393" t="s">
        <v>991</v>
      </c>
      <c r="C34" s="1046">
        <f ca="1">ROUND(D5*C19*C20*C24*F34,0)</f>
        <v>24272</v>
      </c>
      <c r="D34" s="1476"/>
      <c r="E34" s="1035">
        <f t="shared" ref="E34:E39" ca="1" si="7">ROUND(C34*D34/10000,0)</f>
        <v>0</v>
      </c>
      <c r="F34" s="1035">
        <f>SUMIF(修正!A45:A56,G2,修正!C45:C56)</f>
        <v>0.5</v>
      </c>
      <c r="G34" s="1035">
        <f ca="1">ROUND(IF(E2="工业",C34*$M$39,C34*$M$38),0)</f>
        <v>6068</v>
      </c>
      <c r="H34" s="1035">
        <f t="shared" ref="H34:H39" si="8">D34</f>
        <v>0</v>
      </c>
      <c r="I34" s="1035">
        <f t="shared" ref="I34:I39" ca="1" si="9">ROUND(G34*H34/10000,0)</f>
        <v>0</v>
      </c>
      <c r="J34" s="358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80"/>
      <c r="B35" s="1393" t="s">
        <v>992</v>
      </c>
      <c r="C35" s="1046">
        <f ca="1">ROUND(D5*C19*C20*C24*F35,0)</f>
        <v>17476</v>
      </c>
      <c r="D35" s="1476"/>
      <c r="E35" s="1035">
        <f t="shared" ca="1" si="7"/>
        <v>0</v>
      </c>
      <c r="F35" s="1035">
        <f>SUMIF(修正!A45:A56,G2,修正!D45:D56)</f>
        <v>0.36</v>
      </c>
      <c r="G35" s="1035">
        <f ca="1">ROUND(IF(E2="工业",C35*$M$39,C35*$M$38),0)</f>
        <v>4369</v>
      </c>
      <c r="H35" s="1035">
        <f t="shared" si="8"/>
        <v>0</v>
      </c>
      <c r="I35" s="1035">
        <f t="shared" ca="1" si="9"/>
        <v>0</v>
      </c>
      <c r="J35" s="358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81"/>
      <c r="B36" s="1393" t="s">
        <v>993</v>
      </c>
      <c r="C36" s="1046">
        <f ca="1">ROUND(D5*C19*C20*C24*F36,0)</f>
        <v>14563</v>
      </c>
      <c r="D36" s="1476"/>
      <c r="E36" s="1035">
        <f t="shared" ca="1" si="7"/>
        <v>0</v>
      </c>
      <c r="F36" s="1035">
        <f>SUMIF(修正!A45:A56,G2,修正!E45:E56)</f>
        <v>0.3</v>
      </c>
      <c r="G36" s="1035">
        <f ca="1">ROUND(IF(E2="工业",C36*$M$39,C36*$M$38),0)</f>
        <v>3641</v>
      </c>
      <c r="H36" s="1035">
        <f t="shared" si="8"/>
        <v>0</v>
      </c>
      <c r="I36" s="1035">
        <f t="shared" ca="1" si="9"/>
        <v>0</v>
      </c>
      <c r="J36" s="358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f ca="1">ROUND(D5*C19*C20*C24*F37,0)</f>
        <v>14563</v>
      </c>
      <c r="D37" s="1476"/>
      <c r="E37" s="1035">
        <f t="shared" ca="1" si="7"/>
        <v>0</v>
      </c>
      <c r="F37" s="1046">
        <f>SUMIF(修正!A45:A56,G2,修正!F45:F56)</f>
        <v>0.3</v>
      </c>
      <c r="G37" s="1035">
        <f ca="1">ROUND(IF(E2="工业",C37*$M$39,C37*$M$38),0)</f>
        <v>3641</v>
      </c>
      <c r="H37" s="1035">
        <f t="shared" si="8"/>
        <v>0</v>
      </c>
      <c r="I37" s="1035">
        <f t="shared" ca="1" si="9"/>
        <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f ca="1">ROUND(D5*C19*C41*C24*F38,0)</f>
        <v>13592</v>
      </c>
      <c r="D38" s="1476"/>
      <c r="E38" s="1035">
        <f t="shared" ca="1" si="7"/>
        <v>0</v>
      </c>
      <c r="F38" s="1046">
        <f>SUMIF(修正!A45:A56,G2,修正!G45:G56)</f>
        <v>0.3</v>
      </c>
      <c r="G38" s="1035">
        <f ca="1">ROUND(IF(E2="工业",C38*$M$39,C38*$M$38),0)</f>
        <v>3398</v>
      </c>
      <c r="H38" s="1035">
        <f t="shared" si="8"/>
        <v>0</v>
      </c>
      <c r="I38" s="1035">
        <f t="shared" ca="1" si="9"/>
        <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f ca="1">ROUND(D5*C19*C41*C24*F39,0)</f>
        <v>11327</v>
      </c>
      <c r="D39" s="1477"/>
      <c r="E39" s="1038">
        <f t="shared" ca="1" si="7"/>
        <v>0</v>
      </c>
      <c r="F39" s="1048">
        <f>SUMIF(修正!A45:A56,G2,修正!H45:H56)</f>
        <v>0.25</v>
      </c>
      <c r="G39" s="1038">
        <f ca="1">ROUND(IF(E2="工业",C39*$M$39,C39*$M$38),0)</f>
        <v>2832</v>
      </c>
      <c r="H39" s="1038">
        <f t="shared" si="8"/>
        <v>0</v>
      </c>
      <c r="I39" s="1038">
        <f t="shared" ca="1" si="9"/>
        <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2943</v>
      </c>
      <c r="C41" s="828">
        <f ca="1">ROUND(POWER(1+E41,H41-G41)*(POWER(1+E41,G41)-1)/(POWER(1+E41,H41)-1),4)</f>
        <v>0.90029999999999999</v>
      </c>
      <c r="D41" s="372" t="s">
        <v>2941</v>
      </c>
      <c r="E41" s="2832">
        <f ca="1">G20</f>
        <v>0.05</v>
      </c>
      <c r="F41" s="372" t="s">
        <v>2942</v>
      </c>
      <c r="G41" s="390">
        <f>项目基本情况!G19</f>
        <v>35.35</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2237</v>
      </c>
      <c r="G46" s="2286" t="s">
        <v>1005</v>
      </c>
      <c r="H46" s="2269" t="s">
        <v>2401</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5" t="s">
        <v>2899</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4" t="s">
        <v>2898</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2238</v>
      </c>
      <c r="G57" s="2286" t="s">
        <v>1005</v>
      </c>
      <c r="H57" s="2269" t="s">
        <v>2401</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5" t="s">
        <v>2899</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4" t="s">
        <v>2898</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1.0525</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2239</v>
      </c>
      <c r="G68" s="2286" t="s">
        <v>1005</v>
      </c>
      <c r="H68" s="2269" t="s">
        <v>2401</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t="s">
        <v>3215</v>
      </c>
      <c r="D69" s="2272">
        <f t="shared" ref="D69:D77" si="20">SUMIF($J$68:$N$68,C69,J69:N69)</f>
        <v>6.7999999999999996E-3</v>
      </c>
      <c r="E69" s="2291">
        <f>ROUND(SUM(D69:D77),4)</f>
        <v>5.2499999999999998E-2</v>
      </c>
      <c r="F69" s="2292">
        <f>IF(E2="住宅",SUMIF(L1:L12,G2,N1:N12),"——")</f>
        <v>9.8000000000000004E-2</v>
      </c>
      <c r="G69" s="2273">
        <f>H69</f>
        <v>6.7999999999999996E-3</v>
      </c>
      <c r="H69" s="2316">
        <f t="shared" ref="H69:H77" si="21">IFERROR(ROUNDDOWN($F$69*I69/2,4),"——")</f>
        <v>6.7999999999999996E-3</v>
      </c>
      <c r="I69" s="2290">
        <v>0.14000000000000001</v>
      </c>
      <c r="J69" s="2293">
        <f t="shared" ref="J69:J77" si="22">K69+$G69</f>
        <v>1.3599999999999999E-2</v>
      </c>
      <c r="K69" s="2293">
        <f t="shared" ref="K69:K77" si="23">$L69+$G69</f>
        <v>6.7999999999999996E-3</v>
      </c>
      <c r="L69" s="2293">
        <v>0</v>
      </c>
      <c r="M69" s="2293">
        <f t="shared" ref="M69:N77" si="24">L69-$G69</f>
        <v>-6.7999999999999996E-3</v>
      </c>
      <c r="N69" s="2293">
        <f t="shared" si="24"/>
        <v>-1.3599999999999999E-2</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1012</v>
      </c>
      <c r="B70" s="2263" t="str">
        <f>估价对象房地状况!C18</f>
        <v>估价对象周边道路状况、公共交通通达情况、停车便捷程度，综合评价交通便捷度较好</v>
      </c>
      <c r="C70" s="1142" t="s">
        <v>3215</v>
      </c>
      <c r="D70" s="2272">
        <f t="shared" si="20"/>
        <v>1.47E-2</v>
      </c>
      <c r="E70" s="2300"/>
      <c r="F70" s="2301"/>
      <c r="G70" s="2273">
        <f t="shared" ref="G70:G77" si="25">H70</f>
        <v>1.47E-2</v>
      </c>
      <c r="H70" s="2316">
        <f t="shared" si="21"/>
        <v>1.47E-2</v>
      </c>
      <c r="I70" s="2290">
        <v>0.3</v>
      </c>
      <c r="J70" s="2293">
        <f t="shared" si="22"/>
        <v>2.9399999999999999E-2</v>
      </c>
      <c r="K70" s="2293">
        <f t="shared" si="23"/>
        <v>1.47E-2</v>
      </c>
      <c r="L70" s="2293">
        <v>0</v>
      </c>
      <c r="M70" s="2293">
        <f t="shared" si="24"/>
        <v>-1.47E-2</v>
      </c>
      <c r="N70" s="2293">
        <f t="shared" si="24"/>
        <v>-2.9399999999999999E-2</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t="s">
        <v>3215</v>
      </c>
      <c r="D71" s="2272">
        <f t="shared" si="20"/>
        <v>3.8999999999999998E-3</v>
      </c>
      <c r="E71" s="2300"/>
      <c r="F71" s="2301"/>
      <c r="G71" s="2273">
        <f t="shared" si="25"/>
        <v>3.8999999999999998E-3</v>
      </c>
      <c r="H71" s="2316">
        <f t="shared" si="21"/>
        <v>3.8999999999999998E-3</v>
      </c>
      <c r="I71" s="2290">
        <v>0.08</v>
      </c>
      <c r="J71" s="2293">
        <f t="shared" si="22"/>
        <v>7.7999999999999996E-3</v>
      </c>
      <c r="K71" s="2293">
        <f t="shared" si="23"/>
        <v>3.8999999999999998E-3</v>
      </c>
      <c r="L71" s="2293">
        <v>0</v>
      </c>
      <c r="M71" s="2293">
        <f t="shared" si="24"/>
        <v>-3.8999999999999998E-3</v>
      </c>
      <c r="N71" s="2293">
        <f t="shared" si="24"/>
        <v>-7.7999999999999996E-3</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t="s">
        <v>3214</v>
      </c>
      <c r="D72" s="2272">
        <f t="shared" si="20"/>
        <v>0</v>
      </c>
      <c r="E72" s="2300"/>
      <c r="F72" s="2301"/>
      <c r="G72" s="2273">
        <f t="shared" si="25"/>
        <v>1.9E-3</v>
      </c>
      <c r="H72" s="2316">
        <f t="shared" si="21"/>
        <v>1.9E-3</v>
      </c>
      <c r="I72" s="2290">
        <v>0.04</v>
      </c>
      <c r="J72" s="2293">
        <f t="shared" si="22"/>
        <v>3.8E-3</v>
      </c>
      <c r="K72" s="2293">
        <f t="shared" si="23"/>
        <v>1.9E-3</v>
      </c>
      <c r="L72" s="2293">
        <v>0</v>
      </c>
      <c r="M72" s="2293">
        <f t="shared" si="24"/>
        <v>-1.9E-3</v>
      </c>
      <c r="N72" s="2293">
        <f t="shared" si="24"/>
        <v>-3.8E-3</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t="s">
        <v>3215</v>
      </c>
      <c r="D73" s="2272">
        <f t="shared" si="20"/>
        <v>3.8999999999999998E-3</v>
      </c>
      <c r="E73" s="2300"/>
      <c r="F73" s="2301"/>
      <c r="G73" s="2273">
        <f t="shared" si="25"/>
        <v>3.8999999999999998E-3</v>
      </c>
      <c r="H73" s="2316">
        <f t="shared" si="21"/>
        <v>3.8999999999999998E-3</v>
      </c>
      <c r="I73" s="2290">
        <v>0.08</v>
      </c>
      <c r="J73" s="2293">
        <f t="shared" si="22"/>
        <v>7.7999999999999996E-3</v>
      </c>
      <c r="K73" s="2293">
        <f t="shared" si="23"/>
        <v>3.8999999999999998E-3</v>
      </c>
      <c r="L73" s="2293">
        <v>0</v>
      </c>
      <c r="M73" s="2293">
        <f t="shared" si="24"/>
        <v>-3.8999999999999998E-3</v>
      </c>
      <c r="N73" s="2293">
        <f t="shared" si="24"/>
        <v>-7.7999999999999996E-3</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t="s">
        <v>3213</v>
      </c>
      <c r="D74" s="2272">
        <f t="shared" si="20"/>
        <v>1.1599999999999999E-2</v>
      </c>
      <c r="E74" s="2300"/>
      <c r="F74" s="2301"/>
      <c r="G74" s="2273">
        <f t="shared" si="25"/>
        <v>5.7999999999999996E-3</v>
      </c>
      <c r="H74" s="2316">
        <f t="shared" si="21"/>
        <v>5.7999999999999996E-3</v>
      </c>
      <c r="I74" s="2290">
        <v>0.12</v>
      </c>
      <c r="J74" s="2293">
        <f t="shared" si="22"/>
        <v>1.1599999999999999E-2</v>
      </c>
      <c r="K74" s="2293">
        <f t="shared" si="23"/>
        <v>5.7999999999999996E-3</v>
      </c>
      <c r="L74" s="2293">
        <v>0</v>
      </c>
      <c r="M74" s="2293">
        <f t="shared" si="24"/>
        <v>-5.7999999999999996E-3</v>
      </c>
      <c r="N74" s="2293">
        <f t="shared" si="24"/>
        <v>-1.1599999999999999E-2</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4" t="s">
        <v>3272</v>
      </c>
      <c r="C75" s="1142" t="s">
        <v>3215</v>
      </c>
      <c r="D75" s="2272">
        <f t="shared" si="20"/>
        <v>2.3999999999999998E-3</v>
      </c>
      <c r="E75" s="2300"/>
      <c r="F75" s="2301"/>
      <c r="G75" s="2273">
        <f t="shared" si="25"/>
        <v>2.3999999999999998E-3</v>
      </c>
      <c r="H75" s="2316">
        <f t="shared" si="21"/>
        <v>2.3999999999999998E-3</v>
      </c>
      <c r="I75" s="2290">
        <v>0.05</v>
      </c>
      <c r="J75" s="2293">
        <f t="shared" si="22"/>
        <v>4.7999999999999996E-3</v>
      </c>
      <c r="K75" s="2293">
        <f t="shared" si="23"/>
        <v>2.3999999999999998E-3</v>
      </c>
      <c r="L75" s="2293">
        <v>0</v>
      </c>
      <c r="M75" s="2293">
        <f t="shared" si="24"/>
        <v>-2.3999999999999998E-3</v>
      </c>
      <c r="N75" s="2293">
        <f t="shared" si="24"/>
        <v>-4.7999999999999996E-3</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t="s">
        <v>3215</v>
      </c>
      <c r="D76" s="2272">
        <f t="shared" si="20"/>
        <v>7.3000000000000001E-3</v>
      </c>
      <c r="E76" s="2300"/>
      <c r="F76" s="2301"/>
      <c r="G76" s="2273">
        <f t="shared" si="25"/>
        <v>7.3000000000000001E-3</v>
      </c>
      <c r="H76" s="2316">
        <f t="shared" si="21"/>
        <v>7.3000000000000001E-3</v>
      </c>
      <c r="I76" s="2290">
        <v>0.15</v>
      </c>
      <c r="J76" s="2293">
        <f t="shared" si="22"/>
        <v>1.46E-2</v>
      </c>
      <c r="K76" s="2293">
        <f t="shared" si="23"/>
        <v>7.3000000000000001E-3</v>
      </c>
      <c r="L76" s="2293">
        <v>0</v>
      </c>
      <c r="M76" s="2293">
        <f t="shared" si="24"/>
        <v>-7.3000000000000001E-3</v>
      </c>
      <c r="N76" s="2293">
        <f t="shared" si="24"/>
        <v>-1.46E-2</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t="s">
        <v>3215</v>
      </c>
      <c r="D77" s="2272">
        <f t="shared" si="20"/>
        <v>1.9E-3</v>
      </c>
      <c r="E77" s="2302"/>
      <c r="F77" s="2301"/>
      <c r="G77" s="2273">
        <f t="shared" si="25"/>
        <v>1.9E-3</v>
      </c>
      <c r="H77" s="2316">
        <f t="shared" si="21"/>
        <v>1.9E-3</v>
      </c>
      <c r="I77" s="2297">
        <v>0.04</v>
      </c>
      <c r="J77" s="2293">
        <f t="shared" si="22"/>
        <v>3.8E-3</v>
      </c>
      <c r="K77" s="2293">
        <f t="shared" si="23"/>
        <v>1.9E-3</v>
      </c>
      <c r="L77" s="2293">
        <v>0</v>
      </c>
      <c r="M77" s="2293">
        <f t="shared" si="24"/>
        <v>-1.9E-3</v>
      </c>
      <c r="N77" s="2293">
        <f t="shared" si="24"/>
        <v>-3.8E-3</v>
      </c>
      <c r="AC77" s="1353"/>
      <c r="AD77" s="1352"/>
      <c r="AJ77" s="1351"/>
      <c r="AN77" s="1352"/>
    </row>
    <row r="78" spans="1:40" ht="15">
      <c r="A78" s="2279" t="s">
        <v>1027</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2240</v>
      </c>
      <c r="G79" s="2286" t="s">
        <v>1005</v>
      </c>
      <c r="H79" s="2269" t="s">
        <v>2401</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6">SUMIF($J$79:$N$79,C80,J80:N80)</f>
        <v>0</v>
      </c>
      <c r="E80" s="2291">
        <f>ROUND(SUM(D80:D87),4)</f>
        <v>0</v>
      </c>
      <c r="F80" s="2292" t="str">
        <f>IF(E2="工业",SUMIF(L1:L12,G2,N1:N12),"——")</f>
        <v>——</v>
      </c>
      <c r="G80" s="2270"/>
      <c r="H80" s="2315" t="str">
        <f t="shared" ref="H80:H87" si="27">IFERROR(ROUNDDOWN($F$80*I80/2,4),"——")</f>
        <v>——</v>
      </c>
      <c r="I80" s="2290">
        <v>0.26</v>
      </c>
      <c r="J80" s="2293">
        <f t="shared" ref="J80:J87" si="28">K80+$G80</f>
        <v>0</v>
      </c>
      <c r="K80" s="2293">
        <f t="shared" ref="K80:K87" si="29">$L80+$G80</f>
        <v>0</v>
      </c>
      <c r="L80" s="2293">
        <v>0</v>
      </c>
      <c r="M80" s="2293">
        <f t="shared" ref="M80:N87" si="30">L80-$G80</f>
        <v>0</v>
      </c>
      <c r="N80" s="2293">
        <f t="shared" si="30"/>
        <v>0</v>
      </c>
      <c r="AC80" s="1353"/>
      <c r="AD80" s="1352"/>
      <c r="AJ80" s="1351"/>
      <c r="AN80" s="1352"/>
    </row>
    <row r="81" spans="1:40" ht="48">
      <c r="A81" s="1050" t="s">
        <v>1012</v>
      </c>
      <c r="B81" s="2263" t="str">
        <f>估价对象房地状况!G16</f>
        <v>估价对象周边道路状况、公共交通通达情况、停车便捷程度，综合评价交通便捷度较好</v>
      </c>
      <c r="C81" s="1037"/>
      <c r="D81" s="2272">
        <f t="shared" si="26"/>
        <v>0</v>
      </c>
      <c r="E81" s="2300"/>
      <c r="F81" s="2301"/>
      <c r="G81" s="2270"/>
      <c r="H81" s="2315" t="str">
        <f t="shared" si="27"/>
        <v>——</v>
      </c>
      <c r="I81" s="2290">
        <v>0.33</v>
      </c>
      <c r="J81" s="2293">
        <f t="shared" si="28"/>
        <v>0</v>
      </c>
      <c r="K81" s="2293">
        <f t="shared" si="29"/>
        <v>0</v>
      </c>
      <c r="L81" s="2293">
        <v>0</v>
      </c>
      <c r="M81" s="2293">
        <f t="shared" si="30"/>
        <v>0</v>
      </c>
      <c r="N81" s="2293">
        <f t="shared" si="30"/>
        <v>0</v>
      </c>
      <c r="AC81" s="1353"/>
      <c r="AD81" s="1352"/>
      <c r="AJ81" s="1351"/>
      <c r="AN81" s="1352"/>
    </row>
    <row r="82" spans="1:40" ht="24">
      <c r="A82" s="1050" t="s">
        <v>1013</v>
      </c>
      <c r="B82" s="2263">
        <f>估价对象房地状况!G17</f>
        <v>0</v>
      </c>
      <c r="C82" s="1037"/>
      <c r="D82" s="2272">
        <f t="shared" si="26"/>
        <v>0</v>
      </c>
      <c r="E82" s="2300"/>
      <c r="F82" s="2301"/>
      <c r="G82" s="2270"/>
      <c r="H82" s="2315" t="str">
        <f t="shared" si="27"/>
        <v>——</v>
      </c>
      <c r="I82" s="2290">
        <v>0.05</v>
      </c>
      <c r="J82" s="2293">
        <f t="shared" si="28"/>
        <v>0</v>
      </c>
      <c r="K82" s="2293">
        <f t="shared" si="29"/>
        <v>0</v>
      </c>
      <c r="L82" s="2293">
        <v>0</v>
      </c>
      <c r="M82" s="2293">
        <f t="shared" si="30"/>
        <v>0</v>
      </c>
      <c r="N82" s="2293">
        <f t="shared" si="30"/>
        <v>0</v>
      </c>
      <c r="AC82" s="1353"/>
      <c r="AD82" s="1352"/>
      <c r="AJ82" s="1351"/>
      <c r="AN82" s="1352"/>
    </row>
    <row r="83" spans="1:40" ht="14.25">
      <c r="A83" s="1050" t="s">
        <v>1025</v>
      </c>
      <c r="B83" s="2263">
        <f>估价对象房地状况!G22</f>
        <v>0</v>
      </c>
      <c r="C83" s="1037"/>
      <c r="D83" s="2272">
        <f t="shared" si="26"/>
        <v>0</v>
      </c>
      <c r="E83" s="2300"/>
      <c r="F83" s="2301"/>
      <c r="G83" s="2270"/>
      <c r="H83" s="2315" t="str">
        <f t="shared" si="27"/>
        <v>——</v>
      </c>
      <c r="I83" s="2290">
        <v>0.04</v>
      </c>
      <c r="J83" s="2293">
        <f t="shared" si="28"/>
        <v>0</v>
      </c>
      <c r="K83" s="2293">
        <f t="shared" si="29"/>
        <v>0</v>
      </c>
      <c r="L83" s="2293">
        <v>0</v>
      </c>
      <c r="M83" s="2293">
        <f t="shared" si="30"/>
        <v>0</v>
      </c>
      <c r="N83" s="2293">
        <f t="shared" si="30"/>
        <v>0</v>
      </c>
      <c r="AC83" s="1353"/>
      <c r="AD83" s="1352"/>
      <c r="AJ83" s="1351"/>
      <c r="AN83" s="1352"/>
    </row>
    <row r="84" spans="1:40" ht="24">
      <c r="A84" s="1050" t="s">
        <v>1017</v>
      </c>
      <c r="B84" s="2264" t="str">
        <f>估价对象房地状况!G19</f>
        <v>估价对象所在区域公共配套设施齐备情况</v>
      </c>
      <c r="C84" s="1037"/>
      <c r="D84" s="2272">
        <f t="shared" si="26"/>
        <v>0</v>
      </c>
      <c r="E84" s="2300"/>
      <c r="F84" s="2301"/>
      <c r="G84" s="2270"/>
      <c r="H84" s="2315" t="str">
        <f t="shared" si="27"/>
        <v>——</v>
      </c>
      <c r="I84" s="2290">
        <v>0.06</v>
      </c>
      <c r="J84" s="2293">
        <f t="shared" si="28"/>
        <v>0</v>
      </c>
      <c r="K84" s="2293">
        <f t="shared" si="29"/>
        <v>0</v>
      </c>
      <c r="L84" s="2293">
        <v>0</v>
      </c>
      <c r="M84" s="2293">
        <f t="shared" si="30"/>
        <v>0</v>
      </c>
      <c r="N84" s="2293">
        <f t="shared" si="30"/>
        <v>0</v>
      </c>
      <c r="AC84" s="1353"/>
      <c r="AD84" s="1352"/>
      <c r="AJ84" s="1351"/>
      <c r="AN84" s="1352"/>
    </row>
    <row r="85" spans="1:40" ht="24">
      <c r="A85" s="1050" t="s">
        <v>1018</v>
      </c>
      <c r="B85" s="2264" t="str">
        <f>估价对象房地状况!G20</f>
        <v>估价对象所在区域基础设施水平</v>
      </c>
      <c r="C85" s="1037"/>
      <c r="D85" s="2272">
        <f t="shared" si="26"/>
        <v>0</v>
      </c>
      <c r="E85" s="2300"/>
      <c r="F85" s="2301"/>
      <c r="G85" s="2270"/>
      <c r="H85" s="2315" t="str">
        <f t="shared" si="27"/>
        <v>——</v>
      </c>
      <c r="I85" s="2290">
        <v>0.15</v>
      </c>
      <c r="J85" s="2293">
        <f t="shared" si="28"/>
        <v>0</v>
      </c>
      <c r="K85" s="2293">
        <f t="shared" si="29"/>
        <v>0</v>
      </c>
      <c r="L85" s="2293">
        <v>0</v>
      </c>
      <c r="M85" s="2293">
        <f t="shared" si="30"/>
        <v>0</v>
      </c>
      <c r="N85" s="2293">
        <f t="shared" si="30"/>
        <v>0</v>
      </c>
      <c r="AC85" s="1353"/>
      <c r="AD85" s="1352"/>
      <c r="AJ85" s="1351"/>
      <c r="AN85" s="1352"/>
    </row>
    <row r="86" spans="1:40" ht="24">
      <c r="A86" s="1050" t="s">
        <v>1016</v>
      </c>
      <c r="B86" s="2784" t="s">
        <v>2898</v>
      </c>
      <c r="C86" s="1037"/>
      <c r="D86" s="2272">
        <f t="shared" si="26"/>
        <v>0</v>
      </c>
      <c r="E86" s="2300"/>
      <c r="F86" s="2301"/>
      <c r="G86" s="2270"/>
      <c r="H86" s="2315" t="str">
        <f t="shared" si="27"/>
        <v>——</v>
      </c>
      <c r="I86" s="2290">
        <v>0.05</v>
      </c>
      <c r="J86" s="2293">
        <f t="shared" si="28"/>
        <v>0</v>
      </c>
      <c r="K86" s="2293">
        <f t="shared" si="29"/>
        <v>0</v>
      </c>
      <c r="L86" s="2293">
        <v>0</v>
      </c>
      <c r="M86" s="2293">
        <f t="shared" si="30"/>
        <v>0</v>
      </c>
      <c r="N86" s="2293">
        <f t="shared" si="30"/>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6"/>
        <v>0</v>
      </c>
      <c r="E87" s="2302"/>
      <c r="F87" s="2301"/>
      <c r="G87" s="2270"/>
      <c r="H87" s="2315" t="str">
        <f t="shared" si="27"/>
        <v>——</v>
      </c>
      <c r="I87" s="2297">
        <v>0.06</v>
      </c>
      <c r="J87" s="2293">
        <f t="shared" si="28"/>
        <v>0</v>
      </c>
      <c r="K87" s="2293">
        <f t="shared" si="29"/>
        <v>0</v>
      </c>
      <c r="L87" s="2293">
        <v>0</v>
      </c>
      <c r="M87" s="2293">
        <f t="shared" si="30"/>
        <v>0</v>
      </c>
      <c r="N87" s="2293">
        <f t="shared" si="30"/>
        <v>0</v>
      </c>
      <c r="AC87" s="1353"/>
      <c r="AD87" s="1352"/>
      <c r="AJ87" s="1351"/>
      <c r="AN87" s="1352"/>
    </row>
    <row r="90" spans="1:40">
      <c r="A90" s="3577" t="s">
        <v>1624</v>
      </c>
      <c r="B90" s="3577"/>
      <c r="C90" s="3577"/>
      <c r="D90" s="3577"/>
      <c r="E90" s="3577"/>
      <c r="F90" s="3577"/>
      <c r="G90" s="3577"/>
      <c r="H90" s="3577"/>
      <c r="I90" s="3577"/>
      <c r="J90" s="3577"/>
      <c r="K90" s="3284"/>
      <c r="L90" s="3284"/>
      <c r="M90" s="3284"/>
      <c r="N90" s="3284"/>
    </row>
    <row r="91" spans="1:40">
      <c r="A91" s="3578" t="s">
        <v>1434</v>
      </c>
      <c r="B91" s="3578" t="s">
        <v>1625</v>
      </c>
      <c r="C91" s="1123" t="s">
        <v>1626</v>
      </c>
      <c r="D91" s="1124"/>
      <c r="E91" s="1124"/>
      <c r="F91" s="1124"/>
      <c r="G91" s="1124"/>
      <c r="H91" s="1124"/>
      <c r="I91" s="1124"/>
      <c r="J91" s="1125"/>
      <c r="K91" s="1117"/>
      <c r="L91" s="1117"/>
      <c r="M91" s="1117"/>
      <c r="N91" s="1117"/>
    </row>
    <row r="92" spans="1:40">
      <c r="A92" s="3578"/>
      <c r="B92" s="3578"/>
      <c r="C92" s="3285" t="s">
        <v>898</v>
      </c>
      <c r="D92" s="3285" t="s">
        <v>876</v>
      </c>
      <c r="E92" s="3285" t="s">
        <v>877</v>
      </c>
      <c r="F92" s="3285" t="s">
        <v>901</v>
      </c>
      <c r="G92" s="3285" t="s">
        <v>879</v>
      </c>
      <c r="H92" s="3285" t="s">
        <v>880</v>
      </c>
      <c r="I92" s="3285" t="s">
        <v>881</v>
      </c>
      <c r="J92" s="3285" t="s">
        <v>882</v>
      </c>
      <c r="K92" s="3285" t="s">
        <v>906</v>
      </c>
      <c r="L92" s="3285" t="s">
        <v>884</v>
      </c>
      <c r="M92" s="3285" t="s">
        <v>885</v>
      </c>
      <c r="N92" s="3285" t="s">
        <v>909</v>
      </c>
    </row>
    <row r="93" spans="1:40">
      <c r="A93" s="3585" t="s">
        <v>2741</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8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8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8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8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8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86"/>
      <c r="B99" s="1126" t="s">
        <v>1627</v>
      </c>
      <c r="C99" s="1128">
        <f>$I$3</f>
        <v>1</v>
      </c>
      <c r="D99" s="1128">
        <f t="shared" ref="D99:N99" si="31">$I$3</f>
        <v>1</v>
      </c>
      <c r="E99" s="1128">
        <f t="shared" si="31"/>
        <v>1</v>
      </c>
      <c r="F99" s="1128">
        <f t="shared" si="31"/>
        <v>1</v>
      </c>
      <c r="G99" s="1128">
        <f t="shared" si="31"/>
        <v>1</v>
      </c>
      <c r="H99" s="1128">
        <f t="shared" si="31"/>
        <v>1</v>
      </c>
      <c r="I99" s="1128">
        <f t="shared" si="31"/>
        <v>1</v>
      </c>
      <c r="J99" s="1128">
        <f t="shared" si="31"/>
        <v>1</v>
      </c>
      <c r="K99" s="1128">
        <f t="shared" si="31"/>
        <v>1</v>
      </c>
      <c r="L99" s="1128">
        <f t="shared" si="31"/>
        <v>1</v>
      </c>
      <c r="M99" s="1128">
        <f t="shared" si="31"/>
        <v>1</v>
      </c>
      <c r="N99" s="1128">
        <f t="shared" si="31"/>
        <v>1</v>
      </c>
    </row>
    <row r="100" spans="1:14">
      <c r="A100" s="3587"/>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85" t="s">
        <v>1628</v>
      </c>
      <c r="B101" s="1130" t="s">
        <v>897</v>
      </c>
      <c r="C101" s="1131">
        <f>$G$3</f>
        <v>10.1</v>
      </c>
      <c r="D101" s="1131">
        <f t="shared" ref="D101:N101" si="32">$G$3</f>
        <v>10.1</v>
      </c>
      <c r="E101" s="1131">
        <f t="shared" si="32"/>
        <v>10.1</v>
      </c>
      <c r="F101" s="1131">
        <f t="shared" si="32"/>
        <v>10.1</v>
      </c>
      <c r="G101" s="1131">
        <f t="shared" si="32"/>
        <v>10.1</v>
      </c>
      <c r="H101" s="1131">
        <f t="shared" si="32"/>
        <v>10.1</v>
      </c>
      <c r="I101" s="1131">
        <f t="shared" si="32"/>
        <v>10.1</v>
      </c>
      <c r="J101" s="1131">
        <f t="shared" si="32"/>
        <v>10.1</v>
      </c>
      <c r="K101" s="1131">
        <f t="shared" si="32"/>
        <v>10.1</v>
      </c>
      <c r="L101" s="1131">
        <f t="shared" si="32"/>
        <v>10.1</v>
      </c>
      <c r="M101" s="1131">
        <f t="shared" si="32"/>
        <v>10.1</v>
      </c>
      <c r="N101" s="1131">
        <f t="shared" si="32"/>
        <v>10.1</v>
      </c>
    </row>
    <row r="102" spans="1:14">
      <c r="A102" s="3586"/>
      <c r="B102" s="1126">
        <v>1</v>
      </c>
      <c r="C102" s="1127">
        <f>1.9362/C101</f>
        <v>0.19170297029702971</v>
      </c>
      <c r="D102" s="1127">
        <f>1.9362/D101</f>
        <v>0.19170297029702971</v>
      </c>
      <c r="E102" s="1127">
        <f>1.8629/E101</f>
        <v>0.18444554455445544</v>
      </c>
      <c r="F102" s="1127">
        <f>1.8629/F101</f>
        <v>0.18444554455445544</v>
      </c>
      <c r="G102" s="1127">
        <f>1.8629/G101</f>
        <v>0.18444554455445544</v>
      </c>
      <c r="H102" s="1127">
        <f>1.8629/H101</f>
        <v>0.18444554455445544</v>
      </c>
      <c r="I102" s="1127">
        <f>1.8629/I101</f>
        <v>0.18444554455445544</v>
      </c>
      <c r="J102" s="1127">
        <f>1.942/J101</f>
        <v>0.19227722772277228</v>
      </c>
      <c r="K102" s="1127">
        <f>1.942/K101</f>
        <v>0.19227722772277228</v>
      </c>
      <c r="L102" s="1127">
        <f>1.942/L101</f>
        <v>0.19227722772277228</v>
      </c>
      <c r="M102" s="1127">
        <f>1.942/M101</f>
        <v>0.19227722772277228</v>
      </c>
      <c r="N102" s="1127">
        <f>1.942/N101</f>
        <v>0.19227722772277228</v>
      </c>
    </row>
    <row r="103" spans="1:14">
      <c r="A103" s="3586"/>
      <c r="B103" s="1126">
        <v>2</v>
      </c>
      <c r="C103" s="1127">
        <f>1.4198/C101</f>
        <v>0.14057425742574259</v>
      </c>
      <c r="D103" s="1127">
        <f>1.4198/D101</f>
        <v>0.14057425742574259</v>
      </c>
      <c r="E103" s="1127">
        <f>1.3372/E101</f>
        <v>0.1323960396039604</v>
      </c>
      <c r="F103" s="1127">
        <f>1.3372/F101</f>
        <v>0.1323960396039604</v>
      </c>
      <c r="G103" s="1127">
        <f>1.3372/G101</f>
        <v>0.1323960396039604</v>
      </c>
      <c r="H103" s="1127">
        <f>1.3372/H101</f>
        <v>0.1323960396039604</v>
      </c>
      <c r="I103" s="1127">
        <f>1.3372/I101</f>
        <v>0.1323960396039604</v>
      </c>
      <c r="J103" s="1127">
        <f>1.2799/J101</f>
        <v>0.12672277227722772</v>
      </c>
      <c r="K103" s="1127">
        <f>1.2799/K101</f>
        <v>0.12672277227722772</v>
      </c>
      <c r="L103" s="1127">
        <f>1.2799/L101</f>
        <v>0.12672277227722772</v>
      </c>
      <c r="M103" s="1127">
        <f>1.2799/M101</f>
        <v>0.12672277227722772</v>
      </c>
      <c r="N103" s="1127">
        <f>1.2799/N101</f>
        <v>0.12672277227722772</v>
      </c>
    </row>
    <row r="104" spans="1:14">
      <c r="A104" s="3586"/>
      <c r="B104" s="1126">
        <v>3</v>
      </c>
      <c r="C104" s="1127">
        <f>1.1594/C101</f>
        <v>0.1147920792079208</v>
      </c>
      <c r="D104" s="1127">
        <f>1.1594/D101</f>
        <v>0.1147920792079208</v>
      </c>
      <c r="E104" s="1127">
        <f>1.0788/E101</f>
        <v>0.10681188118811881</v>
      </c>
      <c r="F104" s="1127">
        <f>1.0788/F101</f>
        <v>0.10681188118811881</v>
      </c>
      <c r="G104" s="1127">
        <f>1.0788/G101</f>
        <v>0.10681188118811881</v>
      </c>
      <c r="H104" s="1127">
        <f>1.0788/H101</f>
        <v>0.10681188118811881</v>
      </c>
      <c r="I104" s="1127">
        <f>1.0788/I101</f>
        <v>0.10681188118811881</v>
      </c>
      <c r="J104" s="1127">
        <f>1.0072/J101</f>
        <v>9.9722772277227742E-2</v>
      </c>
      <c r="K104" s="1127">
        <f>1.0072/K101</f>
        <v>9.9722772277227742E-2</v>
      </c>
      <c r="L104" s="1127">
        <f>1.0072/L101</f>
        <v>9.9722772277227742E-2</v>
      </c>
      <c r="M104" s="1127">
        <f>1.0072/M101</f>
        <v>9.9722772277227742E-2</v>
      </c>
      <c r="N104" s="1127">
        <f>1.0072/N101</f>
        <v>9.9722772277227742E-2</v>
      </c>
    </row>
    <row r="105" spans="1:14">
      <c r="A105" s="3586"/>
      <c r="B105" s="1126">
        <v>4</v>
      </c>
      <c r="C105" s="1127">
        <f>0.9622/C101</f>
        <v>9.5267326732673283E-2</v>
      </c>
      <c r="D105" s="1127">
        <f>0.9622/D101</f>
        <v>9.5267326732673283E-2</v>
      </c>
      <c r="E105" s="1127">
        <f>0.8656/E101</f>
        <v>8.570297029702971E-2</v>
      </c>
      <c r="F105" s="1127">
        <f>0.8656/F101</f>
        <v>8.570297029702971E-2</v>
      </c>
      <c r="G105" s="1127">
        <f>0.8656/G101</f>
        <v>8.570297029702971E-2</v>
      </c>
      <c r="H105" s="1127">
        <f>0.8656/H101</f>
        <v>8.570297029702971E-2</v>
      </c>
      <c r="I105" s="1127">
        <f>0.8656/I101</f>
        <v>8.570297029702971E-2</v>
      </c>
      <c r="J105" s="1127">
        <f>0.7525/J101</f>
        <v>7.4504950495049502E-2</v>
      </c>
      <c r="K105" s="1127">
        <f>0.7525/K101</f>
        <v>7.4504950495049502E-2</v>
      </c>
      <c r="L105" s="1127">
        <f>0.7525/L101</f>
        <v>7.4504950495049502E-2</v>
      </c>
      <c r="M105" s="1127">
        <f>0.7525/M101</f>
        <v>7.4504950495049502E-2</v>
      </c>
      <c r="N105" s="1127">
        <f>0.7525/N101</f>
        <v>7.4504950495049502E-2</v>
      </c>
    </row>
    <row r="106" spans="1:14">
      <c r="A106" s="3586"/>
      <c r="B106" s="1126">
        <v>5</v>
      </c>
      <c r="C106" s="1127">
        <f>0.8417/C101</f>
        <v>8.3336633663366341E-2</v>
      </c>
      <c r="D106" s="1127">
        <f>0.8417/D101</f>
        <v>8.3336633663366341E-2</v>
      </c>
      <c r="E106" s="1127">
        <f>0.7371/E101</f>
        <v>7.2980198019801976E-2</v>
      </c>
      <c r="F106" s="1127">
        <f>0.7371/F101</f>
        <v>7.2980198019801976E-2</v>
      </c>
      <c r="G106" s="1127">
        <f>0.7371/G101</f>
        <v>7.2980198019801976E-2</v>
      </c>
      <c r="H106" s="1127">
        <f>0.7371/H101</f>
        <v>7.2980198019801976E-2</v>
      </c>
      <c r="I106" s="1127">
        <f>0.7371/I101</f>
        <v>7.2980198019801976E-2</v>
      </c>
      <c r="J106" s="1127">
        <f>0.5659/J101</f>
        <v>5.6029702970297031E-2</v>
      </c>
      <c r="K106" s="1127">
        <f>0.5659/K101</f>
        <v>5.6029702970297031E-2</v>
      </c>
      <c r="L106" s="1127">
        <f>0.5659/L101</f>
        <v>5.6029702970297031E-2</v>
      </c>
      <c r="M106" s="1127">
        <f>0.5659/M101</f>
        <v>5.6029702970297031E-2</v>
      </c>
      <c r="N106" s="1127">
        <f>0.5659/N101</f>
        <v>5.6029702970297031E-2</v>
      </c>
    </row>
    <row r="107" spans="1:14">
      <c r="A107" s="3586"/>
      <c r="B107" s="1126">
        <v>6</v>
      </c>
      <c r="C107" s="1127">
        <f>0.7608/C101</f>
        <v>7.5326732673267338E-2</v>
      </c>
      <c r="D107" s="1127">
        <f>0.7608/D101</f>
        <v>7.5326732673267338E-2</v>
      </c>
      <c r="E107" s="1127">
        <f>0.6482/E101</f>
        <v>6.417821782178218E-2</v>
      </c>
      <c r="F107" s="1127">
        <f>0.6482/F101</f>
        <v>6.417821782178218E-2</v>
      </c>
      <c r="G107" s="1127">
        <f>0.6482/G101</f>
        <v>6.417821782178218E-2</v>
      </c>
      <c r="H107" s="1127">
        <f>0.6482/H101</f>
        <v>6.417821782178218E-2</v>
      </c>
      <c r="I107" s="1127">
        <f>0.6482/I101</f>
        <v>6.417821782178218E-2</v>
      </c>
      <c r="J107" s="1127">
        <f>0.4525/J101</f>
        <v>4.4801980198019807E-2</v>
      </c>
      <c r="K107" s="1127">
        <f>0.4525/K101</f>
        <v>4.4801980198019807E-2</v>
      </c>
      <c r="L107" s="1127">
        <f>0.4525/L101</f>
        <v>4.4801980198019807E-2</v>
      </c>
      <c r="M107" s="1127">
        <f>0.4525/M101</f>
        <v>4.4801980198019807E-2</v>
      </c>
      <c r="N107" s="1127">
        <f>0.4525/N101</f>
        <v>4.4801980198019807E-2</v>
      </c>
    </row>
    <row r="108" spans="1:14">
      <c r="A108" s="3586"/>
      <c r="B108" s="3588" t="s">
        <v>1629</v>
      </c>
      <c r="C108" s="1128">
        <f>C99</f>
        <v>1</v>
      </c>
      <c r="D108" s="1128">
        <f t="shared" ref="D108:N108" si="33">D99</f>
        <v>1</v>
      </c>
      <c r="E108" s="1128">
        <f t="shared" si="33"/>
        <v>1</v>
      </c>
      <c r="F108" s="1128">
        <f t="shared" si="33"/>
        <v>1</v>
      </c>
      <c r="G108" s="1128">
        <f t="shared" si="33"/>
        <v>1</v>
      </c>
      <c r="H108" s="1128">
        <f t="shared" si="33"/>
        <v>1</v>
      </c>
      <c r="I108" s="1128">
        <f t="shared" si="33"/>
        <v>1</v>
      </c>
      <c r="J108" s="1128">
        <f t="shared" si="33"/>
        <v>1</v>
      </c>
      <c r="K108" s="1128">
        <f t="shared" si="33"/>
        <v>1</v>
      </c>
      <c r="L108" s="1128">
        <f t="shared" si="33"/>
        <v>1</v>
      </c>
      <c r="M108" s="1128">
        <f t="shared" si="33"/>
        <v>1</v>
      </c>
      <c r="N108" s="1128">
        <f t="shared" si="33"/>
        <v>1</v>
      </c>
    </row>
    <row r="109" spans="1:14">
      <c r="A109" s="3587"/>
      <c r="B109" s="3589"/>
      <c r="C109" s="1129">
        <f>(-0.163*(C108^2)-0.59*C108+7617)*(10^(-4))/C101</f>
        <v>7.5408386138613864E-2</v>
      </c>
      <c r="D109" s="1129">
        <f>(-0.163*(D108^2)-0.59*D108+7617)*(10^(-4))/D101</f>
        <v>7.5408386138613864E-2</v>
      </c>
      <c r="E109" s="1129">
        <f>(-0.161*(E108^2)-7.509*E108+6533)*(10^(-4))/E101</f>
        <v>6.4607227722772276E-2</v>
      </c>
      <c r="F109" s="1129">
        <f>(-0.161*(F108^2)-7.509*F108+6533)*(10^(-4))/F101</f>
        <v>6.4607227722772276E-2</v>
      </c>
      <c r="G109" s="1129">
        <f>(-0.161*(G108^2)-7.509*G108+6533)*(10^(-4))/G101</f>
        <v>6.4607227722772276E-2</v>
      </c>
      <c r="H109" s="1129">
        <f>(-0.161*(H108^2)-7.509*H108+6533)*(10^(-4))/H101</f>
        <v>6.4607227722772276E-2</v>
      </c>
      <c r="I109" s="1129">
        <f>(-0.161*(I108^2)-7.509*I108+6533)*(10^(-4))/I101</f>
        <v>6.4607227722772276E-2</v>
      </c>
      <c r="J109" s="1129">
        <f>(-0.214*(J108^2)-21.991*J108+4665)*(10^(-4))/J101</f>
        <v>4.5968267326732676E-2</v>
      </c>
      <c r="K109" s="1129">
        <f>(-0.214*(K108^2)-21.991*K108+4665)*(10^(-4))/K101</f>
        <v>4.5968267326732676E-2</v>
      </c>
      <c r="L109" s="1129">
        <f>(-0.214*(L108^2)-21.991*L108+4665)*(10^(-4))/L101</f>
        <v>4.5968267326732676E-2</v>
      </c>
      <c r="M109" s="1129">
        <f>(-0.214*(M108^2)-21.991*M108+4665)*(10^(-4))/M101</f>
        <v>4.5968267326732676E-2</v>
      </c>
      <c r="N109" s="1129">
        <f>(-0.214*(N108^2)-21.991*N108+4665)*(10^(-4))/N101</f>
        <v>4.5968267326732676E-2</v>
      </c>
    </row>
    <row r="110" spans="1:14">
      <c r="A110" s="3571" t="s">
        <v>1630</v>
      </c>
      <c r="B110" s="3571"/>
      <c r="C110" s="3571"/>
      <c r="D110" s="3571"/>
      <c r="E110" s="3571"/>
      <c r="F110" s="3571"/>
      <c r="G110" s="3571"/>
      <c r="H110" s="3571"/>
      <c r="I110" s="3571"/>
      <c r="J110" s="3571"/>
      <c r="K110" s="3283"/>
      <c r="L110" s="3283"/>
      <c r="M110" s="3283"/>
      <c r="N110" s="3283"/>
    </row>
    <row r="112" spans="1:14" ht="12.75" thickBot="1"/>
    <row r="113" spans="1:13" ht="25.5" thickBot="1">
      <c r="A113" s="1003" t="s">
        <v>887</v>
      </c>
      <c r="B113" s="2306">
        <f>G3</f>
        <v>10.1</v>
      </c>
      <c r="C113" s="1004" t="s">
        <v>888</v>
      </c>
      <c r="D113" s="1005">
        <f>SUMPRODUCT((A115:A118=F113)*(B114:M114=H113)*B115:M118)</f>
        <v>0.82020000000000004</v>
      </c>
      <c r="E113" s="1006" t="s">
        <v>889</v>
      </c>
      <c r="F113" s="1007" t="str">
        <f>E2</f>
        <v>住宅</v>
      </c>
      <c r="G113" s="1006" t="s">
        <v>890</v>
      </c>
      <c r="H113" s="1007" t="str">
        <f>G2</f>
        <v>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0.83860000000000001</v>
      </c>
      <c r="C115" s="1017">
        <f>B115</f>
        <v>0.83860000000000001</v>
      </c>
      <c r="D115" s="1017">
        <f>ROUND(0.8331-0.0109*B113,4)</f>
        <v>0.72299999999999998</v>
      </c>
      <c r="E115" s="1017">
        <f>D115</f>
        <v>0.72299999999999998</v>
      </c>
      <c r="F115" s="1017">
        <f>E115</f>
        <v>0.72299999999999998</v>
      </c>
      <c r="G115" s="1017">
        <f>F115</f>
        <v>0.72299999999999998</v>
      </c>
      <c r="H115" s="1017">
        <f>G115</f>
        <v>0.72299999999999998</v>
      </c>
      <c r="I115" s="1017">
        <f>ROUND(0.689-0.0155*B113,4)</f>
        <v>0.53249999999999997</v>
      </c>
      <c r="J115" s="1017">
        <f t="shared" ref="J115:M118" si="34">I115</f>
        <v>0.53249999999999997</v>
      </c>
      <c r="K115" s="1017">
        <f t="shared" si="34"/>
        <v>0.53249999999999997</v>
      </c>
      <c r="L115" s="1017">
        <f t="shared" si="34"/>
        <v>0.53249999999999997</v>
      </c>
      <c r="M115" s="1018">
        <f t="shared" si="34"/>
        <v>0.53249999999999997</v>
      </c>
    </row>
    <row r="116" spans="1:13" ht="12.75">
      <c r="A116" s="1016" t="s">
        <v>892</v>
      </c>
      <c r="B116" s="1017">
        <f>ROUND(0.949-0.012*B113,4)</f>
        <v>0.82779999999999998</v>
      </c>
      <c r="C116" s="1017">
        <f>B116</f>
        <v>0.82779999999999998</v>
      </c>
      <c r="D116" s="1017">
        <f>ROUND(0.8567-0.013*B113,4)</f>
        <v>0.72540000000000004</v>
      </c>
      <c r="E116" s="1017">
        <f t="shared" ref="E116:H117" si="35">D116</f>
        <v>0.72540000000000004</v>
      </c>
      <c r="F116" s="1017">
        <f t="shared" si="35"/>
        <v>0.72540000000000004</v>
      </c>
      <c r="G116" s="1017">
        <f t="shared" si="35"/>
        <v>0.72540000000000004</v>
      </c>
      <c r="H116" s="1017">
        <f t="shared" si="35"/>
        <v>0.72540000000000004</v>
      </c>
      <c r="I116" s="1017">
        <f>ROUND(0.7694-0.014*B113,4)</f>
        <v>0.628</v>
      </c>
      <c r="J116" s="1017">
        <f t="shared" si="34"/>
        <v>0.628</v>
      </c>
      <c r="K116" s="1017">
        <f t="shared" si="34"/>
        <v>0.628</v>
      </c>
      <c r="L116" s="1017">
        <f t="shared" si="34"/>
        <v>0.628</v>
      </c>
      <c r="M116" s="1018">
        <f t="shared" si="34"/>
        <v>0.628</v>
      </c>
    </row>
    <row r="117" spans="1:13" ht="12.75">
      <c r="A117" s="1019" t="s">
        <v>893</v>
      </c>
      <c r="B117" s="1017">
        <f>ROUND(0.8808-0.006*B113,4)</f>
        <v>0.82020000000000004</v>
      </c>
      <c r="C117" s="1017">
        <f>B117</f>
        <v>0.82020000000000004</v>
      </c>
      <c r="D117" s="1017">
        <f>ROUND(0.8748-0.008*B113,4)</f>
        <v>0.79400000000000004</v>
      </c>
      <c r="E117" s="1017">
        <f t="shared" si="35"/>
        <v>0.79400000000000004</v>
      </c>
      <c r="F117" s="1017">
        <f t="shared" si="35"/>
        <v>0.79400000000000004</v>
      </c>
      <c r="G117" s="1017">
        <f t="shared" si="35"/>
        <v>0.79400000000000004</v>
      </c>
      <c r="H117" s="1017">
        <f t="shared" si="35"/>
        <v>0.79400000000000004</v>
      </c>
      <c r="I117" s="1017">
        <f>ROUND(0.7412-0.0095*B113,4)</f>
        <v>0.64529999999999998</v>
      </c>
      <c r="J117" s="1017">
        <f t="shared" si="34"/>
        <v>0.64529999999999998</v>
      </c>
      <c r="K117" s="1017">
        <f t="shared" si="34"/>
        <v>0.64529999999999998</v>
      </c>
      <c r="L117" s="1017">
        <f t="shared" si="34"/>
        <v>0.64529999999999998</v>
      </c>
      <c r="M117" s="1018">
        <f t="shared" si="34"/>
        <v>0.64529999999999998</v>
      </c>
    </row>
    <row r="118" spans="1:13" ht="13.5" thickBot="1">
      <c r="A118" s="1020" t="s">
        <v>894</v>
      </c>
      <c r="B118" s="1021">
        <f>ROUND(0.7275-0.01*B113,4)</f>
        <v>0.62649999999999995</v>
      </c>
      <c r="C118" s="1021">
        <f>B118</f>
        <v>0.62649999999999995</v>
      </c>
      <c r="D118" s="1021">
        <f>ROUND(0.7043-0.012*B113,4)</f>
        <v>0.58309999999999995</v>
      </c>
      <c r="E118" s="1021">
        <f>D118</f>
        <v>0.58309999999999995</v>
      </c>
      <c r="F118" s="1021">
        <f>E118</f>
        <v>0.58309999999999995</v>
      </c>
      <c r="G118" s="1021">
        <f>ROUND(0.6299-0.0122*B113,4)</f>
        <v>0.50670000000000004</v>
      </c>
      <c r="H118" s="1021">
        <f>G118</f>
        <v>0.50670000000000004</v>
      </c>
      <c r="I118" s="1021">
        <f>ROUND(0.5667-0.0136*B113,4)</f>
        <v>0.42930000000000001</v>
      </c>
      <c r="J118" s="1021">
        <f t="shared" si="34"/>
        <v>0.42930000000000001</v>
      </c>
      <c r="K118" s="1021">
        <f t="shared" si="34"/>
        <v>0.42930000000000001</v>
      </c>
      <c r="L118" s="1021">
        <f t="shared" si="34"/>
        <v>0.42930000000000001</v>
      </c>
      <c r="M118" s="1022">
        <f t="shared" si="34"/>
        <v>0.42930000000000001</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58" priority="5" stopIfTrue="1" operator="notEqual">
      <formula>"——"</formula>
    </cfRule>
  </conditionalFormatting>
  <conditionalFormatting sqref="F58">
    <cfRule type="cellIs" dxfId="157" priority="4" stopIfTrue="1" operator="notEqual">
      <formula>"——"</formula>
    </cfRule>
  </conditionalFormatting>
  <conditionalFormatting sqref="F69">
    <cfRule type="cellIs" dxfId="156" priority="3" stopIfTrue="1" operator="notEqual">
      <formula>"——"</formula>
    </cfRule>
  </conditionalFormatting>
  <conditionalFormatting sqref="F80">
    <cfRule type="cellIs" dxfId="155" priority="2" stopIfTrue="1" operator="notEqual">
      <formula>"——"</formula>
    </cfRule>
  </conditionalFormatting>
  <conditionalFormatting sqref="H58:H66 H47:H55 H69:H77 H80:H87">
    <cfRule type="cellIs" dxfId="154"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70" zoomScaleNormal="60" zoomScaleSheetLayoutView="70" workbookViewId="0">
      <selection activeCell="D62" sqref="D62"/>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2409</v>
      </c>
      <c r="D1" s="1460">
        <f>SUM(D29:D30,D33:D39)</f>
        <v>17912.120000000003</v>
      </c>
      <c r="E1" s="1354" t="s">
        <v>2410</v>
      </c>
      <c r="F1" s="2307"/>
      <c r="G1" s="1349"/>
      <c r="H1" s="1349"/>
      <c r="I1" s="1349"/>
      <c r="J1" s="1349"/>
      <c r="K1" s="2070"/>
      <c r="L1" s="1796" t="s">
        <v>2225</v>
      </c>
      <c r="M1" s="1797">
        <f>SUMPRODUCT((区片价!B5:B9=I2)*(区片价!C3:F3=E2)*(区片价!C5:F9))</f>
        <v>30890</v>
      </c>
      <c r="N1" s="1798">
        <f>SUMPRODUCT((因素修正幅度!B5:B9=I2)*(因素修正幅度!C3:F3=E2)*(因素修正幅度!C5:F9))</f>
        <v>9.9000000000000005E-2</v>
      </c>
      <c r="O1" s="2070"/>
      <c r="P1" s="2070"/>
      <c r="Q1" s="2070"/>
      <c r="R1" s="2653" t="s">
        <v>2739</v>
      </c>
      <c r="S1" s="2653" t="s">
        <v>2740</v>
      </c>
      <c r="T1" s="2653" t="s">
        <v>2761</v>
      </c>
      <c r="U1" s="2653" t="s">
        <v>2762</v>
      </c>
      <c r="V1" s="2653" t="s">
        <v>2763</v>
      </c>
      <c r="W1" s="2070"/>
      <c r="X1" s="2070"/>
      <c r="Y1" s="2070"/>
      <c r="Z1" s="2070"/>
      <c r="AA1" s="2070"/>
      <c r="AB1" s="2070"/>
      <c r="AC1" s="2071"/>
    </row>
    <row r="2" spans="1:39" ht="15.75">
      <c r="A2" s="1354" t="s">
        <v>911</v>
      </c>
      <c r="B2" s="1025">
        <f ca="1">C26</f>
        <v>83268</v>
      </c>
      <c r="C2" s="1355" t="s">
        <v>912</v>
      </c>
      <c r="D2" s="1356" t="s">
        <v>913</v>
      </c>
      <c r="E2" s="1357" t="s">
        <v>3000</v>
      </c>
      <c r="F2" s="1356" t="s">
        <v>915</v>
      </c>
      <c r="G2" s="1580" t="str">
        <f>IF(E2="商业",项目基本情况!B43,IF(E2="办公",项目基本情况!C43,IF(E2="住宅",项目基本情况!D43,项目基本情况!E43)))</f>
        <v>一级</v>
      </c>
      <c r="H2" s="1356" t="s">
        <v>917</v>
      </c>
      <c r="I2" s="1581" t="str">
        <f>IF(E2="商业",项目基本情况!B44,IF(E2="办公",项目基本情况!C44,IF(E2="住宅",项目基本情况!D44,项目基本情况!E44)))</f>
        <v>Ⅰ—04</v>
      </c>
      <c r="J2" s="1358"/>
      <c r="K2" s="3232"/>
      <c r="L2" s="1799" t="s">
        <v>2226</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1.9361999999999999</v>
      </c>
      <c r="T2" s="2654">
        <f ca="1">ROUND($C$5*$C$18*$C$19*$C$20*S2*$C$24,0)</f>
        <v>78045</v>
      </c>
      <c r="U2" s="2643">
        <f>D29</f>
        <v>6312</v>
      </c>
      <c r="V2" s="2654">
        <f ca="1">ROUND(T2*U2/10000,0)</f>
        <v>49262</v>
      </c>
      <c r="W2" s="2070"/>
      <c r="X2" s="2070"/>
      <c r="Y2" s="2070"/>
      <c r="Z2" s="2070"/>
      <c r="AA2" s="2070"/>
      <c r="AB2" s="2070"/>
      <c r="AC2" s="2071"/>
    </row>
    <row r="3" spans="1:39" ht="15.75">
      <c r="A3" s="1359" t="s">
        <v>1678</v>
      </c>
      <c r="B3" s="1025">
        <f ca="1">ROUND(B2*10000/D1,0)</f>
        <v>46487</v>
      </c>
      <c r="C3" s="1355" t="s">
        <v>918</v>
      </c>
      <c r="D3" s="1356" t="s">
        <v>919</v>
      </c>
      <c r="E3" s="1360" t="s">
        <v>3059</v>
      </c>
      <c r="F3" s="1361" t="s">
        <v>3060</v>
      </c>
      <c r="G3" s="1026">
        <f>IF(F3="宗地容积率",'数据-汇总表'!I4,IF(F3="估价对象容积率",'数据-汇总表'!I6,'数据-汇总表'!I7))</f>
        <v>10.1</v>
      </c>
      <c r="H3" s="1362" t="s">
        <v>920</v>
      </c>
      <c r="I3" s="1027">
        <v>1</v>
      </c>
      <c r="J3" s="1358" t="s">
        <v>921</v>
      </c>
      <c r="K3" s="3232"/>
      <c r="L3" s="1799" t="s">
        <v>2227</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1.4198</v>
      </c>
      <c r="T3" s="2654">
        <f t="shared" ref="T3:T16" ca="1" si="0">ROUND($C$5*$C$18*$C$19*$C$20*S3*$C$24,0)</f>
        <v>57230</v>
      </c>
      <c r="U3" s="2643"/>
      <c r="V3" s="2654">
        <f t="shared" ref="V3:V16" ca="1" si="1">ROUND(T3*U3/10000,0)</f>
        <v>0</v>
      </c>
      <c r="W3" s="2070"/>
      <c r="X3" s="2070"/>
      <c r="Y3" s="2070"/>
      <c r="Z3" s="2070"/>
      <c r="AA3" s="2070"/>
      <c r="AB3" s="2070"/>
      <c r="AC3" s="2071"/>
    </row>
    <row r="4" spans="1:39" ht="28.5">
      <c r="A4" s="1805" t="s">
        <v>2266</v>
      </c>
      <c r="B4" s="2308" t="e">
        <f ca="1">ROUND(B2*10000/F1,0)</f>
        <v>#DIV/0!</v>
      </c>
      <c r="C4" s="1808" t="s">
        <v>2241</v>
      </c>
      <c r="D4" s="1808" t="e">
        <f ca="1">ROUND(B2/(F1/666.67),0)</f>
        <v>#DIV/0!</v>
      </c>
      <c r="E4" s="1808" t="s">
        <v>2242</v>
      </c>
      <c r="F4" s="1806"/>
      <c r="G4" s="1806"/>
      <c r="H4" s="1806"/>
      <c r="I4" s="1806"/>
      <c r="J4" s="1807"/>
      <c r="K4" s="3233"/>
      <c r="L4" s="1799" t="s">
        <v>2228</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1.1594</v>
      </c>
      <c r="T4" s="2654">
        <f t="shared" ca="1" si="0"/>
        <v>46734</v>
      </c>
      <c r="U4" s="2643"/>
      <c r="V4" s="2654">
        <f t="shared" ca="1" si="1"/>
        <v>0</v>
      </c>
      <c r="W4" s="2070"/>
      <c r="X4" s="2070"/>
      <c r="Y4" s="2070"/>
      <c r="Z4" s="2070"/>
      <c r="AA4" s="2070"/>
      <c r="AB4" s="2070"/>
      <c r="AC4" s="2071"/>
    </row>
    <row r="5" spans="1:39" s="1369" customFormat="1" ht="15.75" thickBot="1">
      <c r="A5" s="1566" t="s">
        <v>1814</v>
      </c>
      <c r="B5" s="1363" t="s">
        <v>922</v>
      </c>
      <c r="C5" s="1028">
        <f>ROUND(IF(E2="商业",C6*C7+C16,(IF(E2="住宅",C6*C12+C16,C6+C16))),0)</f>
        <v>33979</v>
      </c>
      <c r="D5" s="2793">
        <f>ROUND(C6+C16,0)</f>
        <v>30890</v>
      </c>
      <c r="E5" s="2793"/>
      <c r="F5" s="1364"/>
      <c r="G5" s="1365"/>
      <c r="H5" s="1365"/>
      <c r="I5" s="1365"/>
      <c r="J5" s="1366"/>
      <c r="K5" s="3234"/>
      <c r="L5" s="1799" t="s">
        <v>2229</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0.96220000000000006</v>
      </c>
      <c r="T5" s="2654">
        <f t="shared" ca="1" si="0"/>
        <v>38785</v>
      </c>
      <c r="U5" s="2643"/>
      <c r="V5" s="2654">
        <f t="shared" ca="1"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9">
        <f>SUMIF(L1:L12,基准地价商业!G2,M1:M12)</f>
        <v>30890</v>
      </c>
      <c r="D6" s="1371" t="s">
        <v>1686</v>
      </c>
      <c r="E6" s="1372"/>
      <c r="F6" s="1372"/>
      <c r="G6" s="1373"/>
      <c r="H6" s="1373"/>
      <c r="I6" s="1373"/>
      <c r="J6" s="1374"/>
      <c r="K6" s="3235"/>
      <c r="L6" s="1799" t="s">
        <v>2230</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0.8417</v>
      </c>
      <c r="T6" s="2654">
        <f t="shared" ca="1" si="0"/>
        <v>33928</v>
      </c>
      <c r="U6" s="2643"/>
      <c r="V6" s="2654">
        <f t="shared" ca="1" si="1"/>
        <v>0</v>
      </c>
      <c r="W6" s="2070"/>
      <c r="X6" s="2070"/>
      <c r="Y6" s="2070"/>
      <c r="Z6" s="2070"/>
      <c r="AA6" s="2070"/>
      <c r="AB6" s="2070"/>
      <c r="AC6" s="2072"/>
      <c r="AD6" s="1367"/>
      <c r="AE6" s="1367"/>
      <c r="AF6" s="1367"/>
      <c r="AG6" s="1367"/>
      <c r="AH6" s="1367"/>
      <c r="AI6" s="1367"/>
      <c r="AJ6" s="1368"/>
    </row>
    <row r="7" spans="1:39" ht="24">
      <c r="A7" s="3572">
        <f>IF(E2="商业",IF(C8="不临58条商业街","",2),"")</f>
        <v>2</v>
      </c>
      <c r="B7" s="1375" t="s">
        <v>923</v>
      </c>
      <c r="C7" s="1030">
        <f>IF(C8="不临58条商业街",1,ROUND(1+(1.6*E8+1.2*E9+0.8*E10+0.4*E11)*C9,4))</f>
        <v>1.1000000000000001</v>
      </c>
      <c r="D7" s="1376" t="s">
        <v>924</v>
      </c>
      <c r="E7" s="1031">
        <v>60</v>
      </c>
      <c r="F7" s="1377"/>
      <c r="G7" s="1378"/>
      <c r="H7" s="1378"/>
      <c r="I7" s="1378"/>
      <c r="J7" s="1379"/>
      <c r="K7" s="3235"/>
      <c r="L7" s="1799" t="s">
        <v>2231</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0.76080000000000003</v>
      </c>
      <c r="T7" s="2654">
        <f t="shared" ca="1" si="0"/>
        <v>30667</v>
      </c>
      <c r="U7" s="2643"/>
      <c r="V7" s="2654">
        <f t="shared" ca="1" si="1"/>
        <v>0</v>
      </c>
      <c r="W7" s="2652" t="s">
        <v>2742</v>
      </c>
      <c r="X7" s="2644" t="str">
        <f>G2</f>
        <v>一级</v>
      </c>
      <c r="Y7" s="2644" t="s">
        <v>2743</v>
      </c>
      <c r="Z7" s="2645">
        <f>G3</f>
        <v>10.1</v>
      </c>
      <c r="AA7" s="2073"/>
      <c r="AB7" s="2073"/>
      <c r="AC7" s="2074"/>
      <c r="AD7" s="2646"/>
      <c r="AE7" s="2646"/>
      <c r="AF7" s="2646"/>
      <c r="AG7" s="2646"/>
      <c r="AH7" s="2646"/>
      <c r="AI7" s="2646"/>
      <c r="AJ7" s="2647"/>
    </row>
    <row r="8" spans="1:39" ht="15">
      <c r="A8" s="3573"/>
      <c r="B8" s="1362" t="s">
        <v>925</v>
      </c>
      <c r="C8" s="1468" t="s">
        <v>3061</v>
      </c>
      <c r="D8" s="1032" t="s">
        <v>926</v>
      </c>
      <c r="E8" s="1033">
        <f>ROUND(C11/E7,4)</f>
        <v>0.125</v>
      </c>
      <c r="F8" s="1380" t="s">
        <v>927</v>
      </c>
      <c r="G8" s="1381"/>
      <c r="H8" s="1381"/>
      <c r="I8" s="1381"/>
      <c r="J8" s="1382"/>
      <c r="K8" s="3235"/>
      <c r="L8" s="1799" t="s">
        <v>2232</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83" t="s">
        <v>2760</v>
      </c>
      <c r="X8" s="3584"/>
      <c r="Y8" s="1763" t="s">
        <v>2744</v>
      </c>
      <c r="Z8" s="1763" t="s">
        <v>2745</v>
      </c>
      <c r="AA8" s="1763" t="s">
        <v>2746</v>
      </c>
      <c r="AB8" s="1763" t="s">
        <v>2747</v>
      </c>
      <c r="AC8" s="1763" t="s">
        <v>2748</v>
      </c>
      <c r="AD8" s="1763" t="s">
        <v>2749</v>
      </c>
      <c r="AE8" s="1763" t="s">
        <v>2750</v>
      </c>
      <c r="AF8" s="1763" t="s">
        <v>2751</v>
      </c>
      <c r="AG8" s="1763" t="s">
        <v>2752</v>
      </c>
      <c r="AH8" s="1763" t="s">
        <v>2753</v>
      </c>
      <c r="AI8" s="1763" t="s">
        <v>2754</v>
      </c>
      <c r="AJ8" s="1763" t="s">
        <v>2755</v>
      </c>
    </row>
    <row r="9" spans="1:39" ht="15">
      <c r="A9" s="3573"/>
      <c r="B9" s="1362" t="s">
        <v>928</v>
      </c>
      <c r="C9" s="1034">
        <f>SUMIF(修正!C59:C119,C8,修正!E59:E119)</f>
        <v>0.2</v>
      </c>
      <c r="D9" s="1035" t="s">
        <v>929</v>
      </c>
      <c r="E9" s="1035">
        <f>ROUND(C11/E7,4)</f>
        <v>0.125</v>
      </c>
      <c r="F9" s="1380" t="s">
        <v>930</v>
      </c>
      <c r="G9" s="1381"/>
      <c r="H9" s="1381"/>
      <c r="I9" s="1381"/>
      <c r="J9" s="1382"/>
      <c r="K9" s="3235"/>
      <c r="L9" s="1799" t="s">
        <v>2233</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82" t="s">
        <v>2756</v>
      </c>
      <c r="X9" s="2648" t="s">
        <v>2757</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73"/>
      <c r="B10" s="1362" t="s">
        <v>931</v>
      </c>
      <c r="C10" s="1035">
        <f>SUMIF(修正!C59:C119,C8,修正!F59:F119)</f>
        <v>30</v>
      </c>
      <c r="D10" s="1035" t="s">
        <v>932</v>
      </c>
      <c r="E10" s="1035">
        <f>ROUND(C11/E7,4)</f>
        <v>0.125</v>
      </c>
      <c r="F10" s="1380" t="s">
        <v>933</v>
      </c>
      <c r="G10" s="1381"/>
      <c r="H10" s="1381"/>
      <c r="I10" s="1381"/>
      <c r="J10" s="1382"/>
      <c r="K10" s="3235"/>
      <c r="L10" s="1799" t="s">
        <v>2234</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8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73"/>
      <c r="B11" s="1383" t="s">
        <v>934</v>
      </c>
      <c r="C11" s="1036">
        <f>C10/4</f>
        <v>7.5</v>
      </c>
      <c r="D11" s="1036" t="s">
        <v>935</v>
      </c>
      <c r="E11" s="1036">
        <f>ROUND(C11/E7,4)</f>
        <v>0.125</v>
      </c>
      <c r="F11" s="1384" t="s">
        <v>936</v>
      </c>
      <c r="G11" s="1385"/>
      <c r="H11" s="1385"/>
      <c r="I11" s="1385"/>
      <c r="J11" s="1386"/>
      <c r="K11" s="3235"/>
      <c r="L11" s="1799" t="s">
        <v>2235</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82" t="s">
        <v>2758</v>
      </c>
      <c r="X11" s="1035" t="s">
        <v>2743</v>
      </c>
      <c r="Y11" s="1581">
        <f>$G$3</f>
        <v>10.1</v>
      </c>
      <c r="Z11" s="1581">
        <f t="shared" ref="Z11:AJ11" si="3">$G$3</f>
        <v>10.1</v>
      </c>
      <c r="AA11" s="1581">
        <f t="shared" si="3"/>
        <v>10.1</v>
      </c>
      <c r="AB11" s="1581">
        <f t="shared" si="3"/>
        <v>10.1</v>
      </c>
      <c r="AC11" s="1581">
        <f t="shared" si="3"/>
        <v>10.1</v>
      </c>
      <c r="AD11" s="1581">
        <f t="shared" si="3"/>
        <v>10.1</v>
      </c>
      <c r="AE11" s="1581">
        <f t="shared" si="3"/>
        <v>10.1</v>
      </c>
      <c r="AF11" s="1581">
        <f t="shared" si="3"/>
        <v>10.1</v>
      </c>
      <c r="AG11" s="1581">
        <f t="shared" si="3"/>
        <v>10.1</v>
      </c>
      <c r="AH11" s="1581">
        <f t="shared" si="3"/>
        <v>10.1</v>
      </c>
      <c r="AI11" s="1581">
        <f t="shared" si="3"/>
        <v>10.1</v>
      </c>
      <c r="AJ11" s="1581">
        <f t="shared" si="3"/>
        <v>10.1</v>
      </c>
    </row>
    <row r="12" spans="1:39" ht="25.5" hidden="1" thickBot="1">
      <c r="A12" s="3572" t="s">
        <v>1862</v>
      </c>
      <c r="B12" s="1387" t="s">
        <v>937</v>
      </c>
      <c r="C12" s="1030">
        <f>ROUND(C15*D15*E15*F15*G15*H15*I15*J15,4)</f>
        <v>1</v>
      </c>
      <c r="D12" s="1388" t="s">
        <v>938</v>
      </c>
      <c r="E12" s="1389"/>
      <c r="F12" s="1389"/>
      <c r="G12" s="1390"/>
      <c r="H12" s="1390"/>
      <c r="I12" s="1390"/>
      <c r="J12" s="1391"/>
      <c r="K12" s="3235"/>
      <c r="L12" s="1802" t="s">
        <v>2236</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82"/>
      <c r="X12" s="2651" t="s">
        <v>2759</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hidden="1">
      <c r="A13" s="3574"/>
      <c r="B13" s="1392" t="s">
        <v>1687</v>
      </c>
      <c r="C13" s="1393" t="s">
        <v>1688</v>
      </c>
      <c r="D13" s="1072" t="s">
        <v>1689</v>
      </c>
      <c r="E13" s="1072" t="s">
        <v>1690</v>
      </c>
      <c r="F13" s="1394" t="s">
        <v>939</v>
      </c>
      <c r="G13" s="1395" t="s">
        <v>1633</v>
      </c>
      <c r="H13" s="1396" t="s">
        <v>1633</v>
      </c>
      <c r="I13" s="1397" t="s">
        <v>1633</v>
      </c>
      <c r="J13" s="1398" t="s">
        <v>1633</v>
      </c>
      <c r="K13" s="2843"/>
      <c r="L13" s="2843"/>
      <c r="M13" s="2843"/>
      <c r="N13" s="2843"/>
      <c r="O13" s="2843"/>
      <c r="P13" s="2070"/>
      <c r="Q13" s="2070"/>
      <c r="R13" s="2654">
        <v>12</v>
      </c>
      <c r="S13" s="2643"/>
      <c r="T13" s="2654">
        <f t="shared" ca="1" si="0"/>
        <v>0</v>
      </c>
      <c r="U13" s="2643"/>
      <c r="V13" s="2654">
        <f t="shared" ca="1" si="1"/>
        <v>0</v>
      </c>
      <c r="W13" s="3582"/>
      <c r="X13" s="2651"/>
      <c r="Y13" s="2650">
        <f>(-0.163*(Y12^2)-0.59*Y12+7617)*(10^(-4))/Y11</f>
        <v>7.5415841584158427E-2</v>
      </c>
      <c r="Z13" s="2650">
        <f t="shared" ref="Z13:AJ13" si="5">(-0.163*(Z12^2)-0.59*Z12+7617)*(10^(-4))/Z11</f>
        <v>7.5415841584158427E-2</v>
      </c>
      <c r="AA13" s="2650">
        <f t="shared" si="5"/>
        <v>7.5415841584158427E-2</v>
      </c>
      <c r="AB13" s="2650">
        <f t="shared" si="5"/>
        <v>7.5415841584158427E-2</v>
      </c>
      <c r="AC13" s="2650">
        <f t="shared" si="5"/>
        <v>7.5415841584158427E-2</v>
      </c>
      <c r="AD13" s="2650">
        <f t="shared" si="5"/>
        <v>7.5415841584158427E-2</v>
      </c>
      <c r="AE13" s="2650">
        <f t="shared" si="5"/>
        <v>7.5415841584158427E-2</v>
      </c>
      <c r="AF13" s="2650">
        <f t="shared" si="5"/>
        <v>7.5415841584158427E-2</v>
      </c>
      <c r="AG13" s="2650">
        <f t="shared" si="5"/>
        <v>7.5415841584158427E-2</v>
      </c>
      <c r="AH13" s="2650">
        <f t="shared" si="5"/>
        <v>7.5415841584158427E-2</v>
      </c>
      <c r="AI13" s="2650">
        <f t="shared" si="5"/>
        <v>7.5415841584158427E-2</v>
      </c>
      <c r="AJ13" s="2650">
        <f t="shared" si="5"/>
        <v>7.5415841584158427E-2</v>
      </c>
    </row>
    <row r="14" spans="1:39" ht="12.75" hidden="1" customHeight="1">
      <c r="A14" s="3574"/>
      <c r="B14" s="1399"/>
      <c r="C14" s="1400"/>
      <c r="D14" s="1401"/>
      <c r="E14" s="1401"/>
      <c r="F14" s="1402"/>
      <c r="G14" s="1403" t="s">
        <v>940</v>
      </c>
      <c r="H14" s="1404"/>
      <c r="I14" s="1405"/>
      <c r="J14" s="1406"/>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hidden="1" customHeight="1" thickBot="1">
      <c r="A15" s="357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72" t="s">
        <v>1829</v>
      </c>
      <c r="B16" s="1375" t="s">
        <v>941</v>
      </c>
      <c r="C16" s="1039">
        <f>ROUND(IF(F17="与级别开发程度一致",0,(G17-E17)/C17),0)</f>
        <v>0</v>
      </c>
      <c r="D16" s="3590" t="s">
        <v>945</v>
      </c>
      <c r="E16" s="3591"/>
      <c r="F16" s="3590" t="s">
        <v>942</v>
      </c>
      <c r="G16" s="3591"/>
      <c r="H16" s="1407" t="s">
        <v>3005</v>
      </c>
      <c r="I16" s="1407" t="s">
        <v>3006</v>
      </c>
      <c r="J16" s="1407" t="s">
        <v>3008</v>
      </c>
      <c r="K16" s="1407" t="s">
        <v>3005</v>
      </c>
      <c r="L16" s="1407" t="s">
        <v>3009</v>
      </c>
      <c r="M16" s="1407" t="s">
        <v>3011</v>
      </c>
      <c r="N16" s="1407" t="s">
        <v>3010</v>
      </c>
      <c r="O16" s="2853" t="s">
        <v>3004</v>
      </c>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76"/>
      <c r="B17" s="2854" t="s">
        <v>944</v>
      </c>
      <c r="C17" s="2855">
        <f>SUMPRODUCT((修正!A2:A5=E2)*(修正!B1:M1=G2)*(修正!B2:M5))</f>
        <v>3.5</v>
      </c>
      <c r="D17" s="2856" t="str">
        <f>IF(OR(G2="八级",G2="九级",G2="十级",G2="十一级",G2="十二级"),"五通一平","七通一平")</f>
        <v>七通一平</v>
      </c>
      <c r="E17" s="2846">
        <f>SUMPRODUCT((修正!B1:M1=G2)*(修正!B15:M15))</f>
        <v>375</v>
      </c>
      <c r="F17" s="2847" t="s">
        <v>3248</v>
      </c>
      <c r="G17" s="2846">
        <f>SUM(H17:O17)</f>
        <v>435</v>
      </c>
      <c r="H17" s="1038">
        <f>SUMPRODUCT((七通一平=H16)*(修正!B1:M1=G2)*(修正!B6:M14))</f>
        <v>80</v>
      </c>
      <c r="I17" s="1038">
        <f>SUMPRODUCT((七通一平=I16)*(修正!B1:M1=G2)*(修正!B6:M14))</f>
        <v>70</v>
      </c>
      <c r="J17" s="1038">
        <f>SUMPRODUCT((七通一平=J16)*(修正!B1:M1=G2)*(修正!B6:M14))</f>
        <v>30</v>
      </c>
      <c r="K17" s="1038">
        <f>SUMPRODUCT((七通一平=K16)*(修正!B1:M1=G2)*(修正!B6:M14))</f>
        <v>80</v>
      </c>
      <c r="L17" s="1038">
        <f>SUMPRODUCT((七通一平=L16)*(修正!B1:M1=G2)*(修正!B6:M14))</f>
        <v>45</v>
      </c>
      <c r="M17" s="1038">
        <f>SUMPRODUCT((七通一平=M16)*(修正!B1:M1=G2)*(修正!B6:M14))</f>
        <v>50</v>
      </c>
      <c r="N17" s="1038">
        <f>SUMPRODUCT((七通一平=N16)*(修正!B1:M1=G2)*(修正!B6:M14))</f>
        <v>60</v>
      </c>
      <c r="O17" s="2857">
        <f>SUMPRODUCT((七通一平=O16)*(修正!B1:M1=G2)*(修正!B6:M14))</f>
        <v>20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40">
        <f>ROUND(IF(H19="按公示增长率计算",SUMPRODUCT((地价!A3:A32=YEAR(G19)&amp;"-"&amp;ROUNDUP(MONTH(G19)/3,0))*(地价!X2:AB2=E2)*(地价!X3:AB32)),IF(H19="地价指数",M20/M19,(1+I19)^O19)),4)</f>
        <v>1.3472</v>
      </c>
      <c r="D19" s="1414" t="s">
        <v>948</v>
      </c>
      <c r="E19" s="1041">
        <v>41640</v>
      </c>
      <c r="F19" s="1414" t="s">
        <v>949</v>
      </c>
      <c r="G19" s="1042">
        <f>'数据-取费表'!B2</f>
        <v>44127</v>
      </c>
      <c r="H19" s="1415" t="s">
        <v>2949</v>
      </c>
      <c r="I19" s="2503" t="str">
        <f>IF(H19="季度增幅（自定义）",SUMIF(N21:N24,E2,O21:O24),"")</f>
        <v/>
      </c>
      <c r="J19" s="1411"/>
      <c r="K19" s="3234"/>
      <c r="L19" s="2753" t="s">
        <v>2818</v>
      </c>
      <c r="M19" s="2754">
        <f>ROUND(SUMIF(地价!B2:F2,E2,地价!B32:F32),0)</f>
        <v>258</v>
      </c>
      <c r="N19" s="2505" t="s">
        <v>1667</v>
      </c>
      <c r="O19" s="2504">
        <f>ROUNDDOWN(DATEDIF(E19,G19,"M")/3,0)</f>
        <v>27</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f ca="1">ROUND(POWER(1+G20,J20-I20)*(POWER(1+G20,I20)-1)/(POWER(1+G20,J20)-1),4)</f>
        <v>0.8387</v>
      </c>
      <c r="D20" s="2500" t="s">
        <v>963</v>
      </c>
      <c r="E20" s="2783">
        <f ca="1">存贷款利率!I4/100</f>
        <v>4.3499999999999997E-2</v>
      </c>
      <c r="F20" s="2500" t="s">
        <v>964</v>
      </c>
      <c r="G20" s="2501">
        <f ca="1">SUMIF(M26:P26,E2,M28:P28)</f>
        <v>5.3999999999999999E-2</v>
      </c>
      <c r="H20" s="2500" t="s">
        <v>965</v>
      </c>
      <c r="I20" s="2496">
        <f>SUMIF('数据-取费表'!C6:C15,E2,'数据-取费表'!F6:F15)/COUNTIF('数据-取费表'!C6:C15,E2)</f>
        <v>25.35</v>
      </c>
      <c r="J20" s="2502">
        <f>IF(E2="住宅",70,IF(E2="商业",40,50))</f>
        <v>40</v>
      </c>
      <c r="K20" s="2844"/>
      <c r="L20" s="2755" t="s">
        <v>2819</v>
      </c>
      <c r="M20" s="2837">
        <f>ROUND(SUMPRODUCT((地价!A4:A32=YEAR(G19)&amp;"-"&amp;ROUNDUP(MONTH(G19)/3,0))*(地价!B2:F2=E2)*(地价!B4:F32)),0)</f>
        <v>347</v>
      </c>
      <c r="N20" s="2508" t="s">
        <v>2624</v>
      </c>
      <c r="O20" s="2506" t="s">
        <v>2623</v>
      </c>
      <c r="P20" s="2507" t="s">
        <v>2628</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3062</v>
      </c>
      <c r="C21" s="1141">
        <f>IF(B21="容积率修正",IF(G3&lt;=10,D22,J22),C23)</f>
        <v>1.9361999999999999</v>
      </c>
      <c r="D21" s="1421"/>
      <c r="E21" s="1421"/>
      <c r="F21" s="1421"/>
      <c r="G21" s="1421"/>
      <c r="H21" s="1421"/>
      <c r="I21" s="1421"/>
      <c r="J21" s="1422"/>
      <c r="K21" s="3234"/>
      <c r="L21" s="1421"/>
      <c r="M21" s="1421"/>
      <c r="N21" s="1418" t="s">
        <v>966</v>
      </c>
      <c r="O21" s="1481"/>
      <c r="P21" s="2495">
        <f>SUMPRODUCT((地价!A3:A32=YEAR(G19)&amp;"-"&amp;ROUNDUP(MONTH(G19)/3,0))*(地价!AD2:AH2=N21)*(地价!AD3:AH32))</f>
        <v>1.1599999999999999E-2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3" t="s">
        <v>1693</v>
      </c>
      <c r="D22" s="1043" t="str">
        <f>IF(E22=G22,F22,IF(G3&lt;=10,ROUND(F22+(H22-F22)*(G3-E22)/(G22-E22),4),"——"))</f>
        <v>——</v>
      </c>
      <c r="E22" s="1026">
        <f>ROUNDDOWN(G3,1)</f>
        <v>10.1</v>
      </c>
      <c r="F22" s="104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6">
        <f>ROUNDUP(G3,1)</f>
        <v>10.1</v>
      </c>
      <c r="H22" s="104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3" t="s">
        <v>968</v>
      </c>
      <c r="J22" s="1043">
        <f>IF(G3&gt;10,D113,"——")</f>
        <v>0.83860000000000001</v>
      </c>
      <c r="K22" s="3240"/>
      <c r="L22" s="1421"/>
      <c r="M22" s="1421"/>
      <c r="N22" s="1418" t="s">
        <v>969</v>
      </c>
      <c r="O22" s="1481"/>
      <c r="P22" s="2495">
        <f>SUMPRODUCT((地价!A3:A32=YEAR(G19)&amp;"-"&amp;ROUNDUP(MONTH(G19)/3,0))*(地价!AD2:AH2=N22)*(地价!AD3:AH32))</f>
        <v>1.1599999999999999E-2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4">
        <f>ROUND(IF(G3&gt;1,IF(I3&lt;7,SUMPRODUCT((B93:B98=I3)*(C92:N92=G2)*(C93:N98)),SUMIF(C92:N92,G2,C100:N100)),IF(I3&lt;7,SUMPRODUCT((B102:B107=I3)*(C92:N92=G2)*(C102:N107)),SUMIF(C92:N92,G2,C109:N109))),4)</f>
        <v>1.9361999999999999</v>
      </c>
      <c r="D23" s="1469"/>
      <c r="E23" s="1469"/>
      <c r="F23" s="1470"/>
      <c r="G23" s="1471"/>
      <c r="H23" s="1472"/>
      <c r="I23" s="1473"/>
      <c r="J23" s="1473"/>
      <c r="K23" s="3241"/>
      <c r="L23" s="1349"/>
      <c r="M23" s="1349"/>
      <c r="N23" s="1418" t="s">
        <v>914</v>
      </c>
      <c r="O23" s="1481"/>
      <c r="P23" s="2495">
        <f>SUMPRODUCT((地价!A3:A32=YEAR(G19)&amp;"-"&amp;ROUNDUP(MONTH(G19)/3,0))*(地价!AD2:AH2=N23)*(地价!AD3:AH32))</f>
        <v>1.9E-2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5">
        <f>SUMIF(A44:A87,E2,B44:B87)</f>
        <v>1.0499000000000001</v>
      </c>
      <c r="D24" s="1474"/>
      <c r="E24" s="1475"/>
      <c r="F24" s="1475"/>
      <c r="G24" s="1475"/>
      <c r="H24" s="1475"/>
      <c r="I24" s="1475"/>
      <c r="J24" s="1475"/>
      <c r="K24" s="3241"/>
      <c r="L24" s="1421"/>
      <c r="M24" s="1421"/>
      <c r="N24" s="1418" t="s">
        <v>972</v>
      </c>
      <c r="O24" s="2836"/>
      <c r="P24" s="2495">
        <f>SUMPRODUCT((地价!A3:A32=YEAR(G19)&amp;"-"&amp;ROUNDUP(MONTH(G19)/3,0))*(地价!AD2:AH2=N24)*(地价!AD3:AH32))</f>
        <v>1.23E-2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5"/>
      <c r="L25" s="2076"/>
      <c r="M25" s="2076"/>
      <c r="N25" s="2838" t="s">
        <v>2626</v>
      </c>
      <c r="O25" s="2839"/>
      <c r="P25" s="2302">
        <f>SUMPRODUCT((地价!A3:A32=YEAR(G19)&amp;"-"&amp;ROUNDUP(MONTH(G19)/3,0))*(地价!AD2:AH2=N25)*(地价!AD3:AH32))</f>
        <v>1.7299999999999999E-2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f ca="1">IF(B21="容积率修正",E29+SUM(E33:E39),SUM(V2:V16)+SUM(E33:E39))</f>
        <v>83268</v>
      </c>
      <c r="D26" s="1429"/>
      <c r="E26" s="1404"/>
      <c r="F26" s="1430"/>
      <c r="G26" s="1404"/>
      <c r="H26" s="1404"/>
      <c r="I26" s="1404"/>
      <c r="J26" s="1431"/>
      <c r="K26" s="3235"/>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f ca="1">E30+SUM(I33:I39)</f>
        <v>8502</v>
      </c>
      <c r="D27" s="1433"/>
      <c r="E27" s="1434"/>
      <c r="F27" s="1435"/>
      <c r="G27" s="1434"/>
      <c r="H27" s="1434"/>
      <c r="I27" s="1434"/>
      <c r="J27" s="1436"/>
      <c r="K27" s="3235"/>
      <c r="L27" s="1408" t="s">
        <v>978</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5"/>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6">
        <f ca="1">ROUND(C5*C18*C19*C20*C21*C24,0)</f>
        <v>78045</v>
      </c>
      <c r="D29" s="1443">
        <f>'数据-汇总表'!F20</f>
        <v>6312</v>
      </c>
      <c r="E29" s="1763">
        <f ca="1">ROUND(C29*D29/10000,0)</f>
        <v>49262</v>
      </c>
      <c r="F29" s="1444" t="s">
        <v>1692</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8">
        <f ca="1">ROUND(IF(E2="工业",C29*M39,C29*M38),0)</f>
        <v>19511</v>
      </c>
      <c r="D30" s="1449"/>
      <c r="E30" s="1763">
        <f ca="1">ROUND(C30*D30/10000,0)</f>
        <v>0</v>
      </c>
      <c r="F30" s="1450" t="s">
        <v>986</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79"/>
      <c r="B33" s="1463" t="s">
        <v>990</v>
      </c>
      <c r="C33" s="1046">
        <f ca="1">ROUND(D5*C19*C20*C24*F33,0)</f>
        <v>29315</v>
      </c>
      <c r="D33" s="1476">
        <f>'数据-汇总表'!G20</f>
        <v>11600.12</v>
      </c>
      <c r="E33" s="1035">
        <f ca="1">ROUND(C33*D33/10000,0)</f>
        <v>34006</v>
      </c>
      <c r="F33" s="1035">
        <f>SUMIF(修正!A45:A56,G2,修正!B45:B56)</f>
        <v>0.8</v>
      </c>
      <c r="G33" s="1035">
        <f t="shared" ref="G33" ca="1" si="6">ROUND(IF(E2="工业",C33*$M$39,C33*$M$38),0)</f>
        <v>7329</v>
      </c>
      <c r="H33" s="1035">
        <f>D33</f>
        <v>11600.12</v>
      </c>
      <c r="I33" s="1035">
        <f ca="1">ROUND(G33*H33/10000,0)</f>
        <v>8502</v>
      </c>
      <c r="J33" s="3579" t="s">
        <v>2989</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80"/>
      <c r="B34" s="1393" t="s">
        <v>991</v>
      </c>
      <c r="C34" s="1046">
        <f ca="1">ROUND(D5*C19*C20*C24*F34,0)</f>
        <v>18322</v>
      </c>
      <c r="D34" s="1476"/>
      <c r="E34" s="1035">
        <f t="shared" ref="E34:E39" ca="1" si="7">ROUND(C34*D34/10000,0)</f>
        <v>0</v>
      </c>
      <c r="F34" s="1035">
        <f>SUMIF(修正!A45:A56,G2,修正!C45:C56)</f>
        <v>0.5</v>
      </c>
      <c r="G34" s="1035">
        <f ca="1">ROUND(IF(E2="工业",C34*$M$39,C34*$M$38),0)</f>
        <v>4581</v>
      </c>
      <c r="H34" s="1035">
        <f t="shared" ref="H34:H39" si="8">D34</f>
        <v>0</v>
      </c>
      <c r="I34" s="1035">
        <f t="shared" ref="I34:I39" ca="1" si="9">ROUND(G34*H34/10000,0)</f>
        <v>0</v>
      </c>
      <c r="J34" s="358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80"/>
      <c r="B35" s="1393" t="s">
        <v>992</v>
      </c>
      <c r="C35" s="1046">
        <f ca="1">ROUND(D5*C19*C20*C24*F35,0)</f>
        <v>13192</v>
      </c>
      <c r="D35" s="1476"/>
      <c r="E35" s="1035">
        <f t="shared" ca="1" si="7"/>
        <v>0</v>
      </c>
      <c r="F35" s="1035">
        <f>SUMIF(修正!A45:A56,G2,修正!D45:D56)</f>
        <v>0.36</v>
      </c>
      <c r="G35" s="1035">
        <f ca="1">ROUND(IF(E2="工业",C35*$M$39,C35*$M$38),0)</f>
        <v>3298</v>
      </c>
      <c r="H35" s="1035">
        <f t="shared" si="8"/>
        <v>0</v>
      </c>
      <c r="I35" s="1035">
        <f t="shared" ca="1" si="9"/>
        <v>0</v>
      </c>
      <c r="J35" s="358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81"/>
      <c r="B36" s="1393" t="s">
        <v>993</v>
      </c>
      <c r="C36" s="1046">
        <f ca="1">ROUND(D5*C19*C20*C24*F36,0)</f>
        <v>10993</v>
      </c>
      <c r="D36" s="1476"/>
      <c r="E36" s="1035">
        <f t="shared" ca="1" si="7"/>
        <v>0</v>
      </c>
      <c r="F36" s="1035">
        <f>SUMIF(修正!A45:A56,G2,修正!E45:E56)</f>
        <v>0.3</v>
      </c>
      <c r="G36" s="1035">
        <f ca="1">ROUND(IF(E2="工业",C36*$M$39,C36*$M$38),0)</f>
        <v>2748</v>
      </c>
      <c r="H36" s="1035">
        <f t="shared" si="8"/>
        <v>0</v>
      </c>
      <c r="I36" s="1035">
        <f t="shared" ca="1" si="9"/>
        <v>0</v>
      </c>
      <c r="J36" s="358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f ca="1">ROUND(D5*C19*C20*C24*F37,0)</f>
        <v>10993</v>
      </c>
      <c r="D37" s="1476"/>
      <c r="E37" s="1035">
        <f t="shared" ca="1" si="7"/>
        <v>0</v>
      </c>
      <c r="F37" s="1046">
        <f>SUMIF(修正!A45:A56,G2,修正!F45:F56)</f>
        <v>0.3</v>
      </c>
      <c r="G37" s="1035">
        <f ca="1">ROUND(IF(E2="工业",C37*$M$39,C37*$M$38),0)</f>
        <v>2748</v>
      </c>
      <c r="H37" s="1035">
        <f t="shared" si="8"/>
        <v>0</v>
      </c>
      <c r="I37" s="1035">
        <f t="shared" ca="1" si="9"/>
        <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f ca="1">ROUND(D5*C19*C41*C24*F38,0)</f>
        <v>11925</v>
      </c>
      <c r="D38" s="1476"/>
      <c r="E38" s="1035">
        <f t="shared" ca="1" si="7"/>
        <v>0</v>
      </c>
      <c r="F38" s="1046">
        <f>SUMIF(修正!A45:A56,G2,修正!G45:G56)</f>
        <v>0.3</v>
      </c>
      <c r="G38" s="1035">
        <f ca="1">ROUND(IF(E2="工业",C38*$M$39,C38*$M$38),0)</f>
        <v>2981</v>
      </c>
      <c r="H38" s="1035">
        <f t="shared" si="8"/>
        <v>0</v>
      </c>
      <c r="I38" s="1035">
        <f t="shared" ca="1" si="9"/>
        <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f ca="1">ROUND(D5*C19*C41*C24*F39,0)</f>
        <v>9938</v>
      </c>
      <c r="D39" s="1477"/>
      <c r="E39" s="1038">
        <f t="shared" ca="1" si="7"/>
        <v>0</v>
      </c>
      <c r="F39" s="1048">
        <f>SUMIF(修正!A45:A56,G2,修正!H45:H56)</f>
        <v>0.25</v>
      </c>
      <c r="G39" s="1038">
        <f ca="1">ROUND(IF(E2="工业",C39*$M$39,C39*$M$38),0)</f>
        <v>2485</v>
      </c>
      <c r="H39" s="1038">
        <f t="shared" si="8"/>
        <v>0</v>
      </c>
      <c r="I39" s="1038">
        <f t="shared" ca="1" si="9"/>
        <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2943</v>
      </c>
      <c r="C41" s="828">
        <f ca="1">ROUND(POWER(1+E41,H41-G41)*(POWER(1+E41,G41)-1)/(POWER(1+E41,H41)-1),4)</f>
        <v>0.90980000000000005</v>
      </c>
      <c r="D41" s="372" t="s">
        <v>2941</v>
      </c>
      <c r="E41" s="2832">
        <f ca="1">G20</f>
        <v>5.3999999999999999E-2</v>
      </c>
      <c r="F41" s="372" t="s">
        <v>2942</v>
      </c>
      <c r="G41" s="390">
        <f>项目基本情况!G19</f>
        <v>35.35</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1.0499000000000001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2237</v>
      </c>
      <c r="G46" s="2286" t="s">
        <v>1005</v>
      </c>
      <c r="H46" s="2269" t="s">
        <v>2401</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t="s">
        <v>3215</v>
      </c>
      <c r="D47" s="2272">
        <f t="shared" ref="D47:D55" si="10">SUMIF($J$46:$N$46,C47,J47:N47)</f>
        <v>1.6299999999999999E-2</v>
      </c>
      <c r="E47" s="2291">
        <f>ROUND(SUM(D47:D55),4)</f>
        <v>4.99E-2</v>
      </c>
      <c r="F47" s="2292">
        <f>IF(E2="商业",SUMIF(L1:L12,G2,N1:N12),"——")</f>
        <v>9.9000000000000005E-2</v>
      </c>
      <c r="G47" s="2270">
        <f>H47</f>
        <v>1.6299999999999999E-2</v>
      </c>
      <c r="H47" s="2315">
        <f t="shared" ref="H47:H55" si="11">IFERROR(ROUNDDOWN(($F$47*I47/2),4),"——")</f>
        <v>1.6299999999999999E-2</v>
      </c>
      <c r="I47" s="2290">
        <v>0.33</v>
      </c>
      <c r="J47" s="2293">
        <f t="shared" ref="J47:J55" si="12">K47+$G47</f>
        <v>3.2599999999999997E-2</v>
      </c>
      <c r="K47" s="2293">
        <f t="shared" ref="K47:K55" si="13">$L47+$G47</f>
        <v>1.6299999999999999E-2</v>
      </c>
      <c r="L47" s="2293">
        <v>0</v>
      </c>
      <c r="M47" s="2293">
        <f t="shared" ref="M47:N55" si="14">L47-$G47</f>
        <v>-1.6299999999999999E-2</v>
      </c>
      <c r="N47" s="2293">
        <f t="shared" si="14"/>
        <v>-3.2599999999999997E-2</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t="s">
        <v>3215</v>
      </c>
      <c r="D48" s="2272">
        <f t="shared" si="10"/>
        <v>1.23E-2</v>
      </c>
      <c r="E48" s="2294"/>
      <c r="F48" s="2292"/>
      <c r="G48" s="2270">
        <f t="shared" ref="G48:G55" si="15">H48</f>
        <v>1.23E-2</v>
      </c>
      <c r="H48" s="2315">
        <f t="shared" si="11"/>
        <v>1.23E-2</v>
      </c>
      <c r="I48" s="2290">
        <v>0.25</v>
      </c>
      <c r="J48" s="2293">
        <f t="shared" si="12"/>
        <v>2.46E-2</v>
      </c>
      <c r="K48" s="2293">
        <f t="shared" si="13"/>
        <v>1.23E-2</v>
      </c>
      <c r="L48" s="2293">
        <v>0</v>
      </c>
      <c r="M48" s="2293">
        <f t="shared" si="14"/>
        <v>-1.23E-2</v>
      </c>
      <c r="N48" s="2293">
        <f t="shared" si="14"/>
        <v>-2.46E-2</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t="s">
        <v>3215</v>
      </c>
      <c r="D49" s="2272">
        <f t="shared" si="10"/>
        <v>2.3999999999999998E-3</v>
      </c>
      <c r="E49" s="2294"/>
      <c r="F49" s="2292"/>
      <c r="G49" s="2270">
        <f t="shared" si="15"/>
        <v>2.3999999999999998E-3</v>
      </c>
      <c r="H49" s="2315">
        <f t="shared" si="11"/>
        <v>2.3999999999999998E-3</v>
      </c>
      <c r="I49" s="2290">
        <v>0.05</v>
      </c>
      <c r="J49" s="2293">
        <f t="shared" si="12"/>
        <v>4.7999999999999996E-3</v>
      </c>
      <c r="K49" s="2293">
        <f t="shared" si="13"/>
        <v>2.3999999999999998E-3</v>
      </c>
      <c r="L49" s="2293">
        <v>0</v>
      </c>
      <c r="M49" s="2293">
        <f t="shared" si="14"/>
        <v>-2.3999999999999998E-3</v>
      </c>
      <c r="N49" s="2293">
        <f t="shared" si="14"/>
        <v>-4.7999999999999996E-3</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5" t="s">
        <v>2899</v>
      </c>
      <c r="C50" s="1037" t="s">
        <v>3215</v>
      </c>
      <c r="D50" s="2272">
        <f t="shared" si="10"/>
        <v>2.3999999999999998E-3</v>
      </c>
      <c r="E50" s="2294"/>
      <c r="F50" s="2292"/>
      <c r="G50" s="2270">
        <f t="shared" si="15"/>
        <v>2.3999999999999998E-3</v>
      </c>
      <c r="H50" s="2315">
        <f t="shared" si="11"/>
        <v>2.3999999999999998E-3</v>
      </c>
      <c r="I50" s="2290">
        <v>0.05</v>
      </c>
      <c r="J50" s="2293">
        <f t="shared" si="12"/>
        <v>4.7999999999999996E-3</v>
      </c>
      <c r="K50" s="2293">
        <f t="shared" si="13"/>
        <v>2.3999999999999998E-3</v>
      </c>
      <c r="L50" s="2293">
        <v>0</v>
      </c>
      <c r="M50" s="2293">
        <f t="shared" si="14"/>
        <v>-2.3999999999999998E-3</v>
      </c>
      <c r="N50" s="2293">
        <f t="shared" si="14"/>
        <v>-4.7999999999999996E-3</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t="s">
        <v>3214</v>
      </c>
      <c r="D51" s="2272">
        <f t="shared" si="10"/>
        <v>0</v>
      </c>
      <c r="E51" s="2294"/>
      <c r="F51" s="2292"/>
      <c r="G51" s="2270">
        <f t="shared" si="15"/>
        <v>3.8999999999999998E-3</v>
      </c>
      <c r="H51" s="2315">
        <f t="shared" si="11"/>
        <v>3.8999999999999998E-3</v>
      </c>
      <c r="I51" s="2290">
        <v>0.08</v>
      </c>
      <c r="J51" s="2293">
        <f t="shared" si="12"/>
        <v>7.7999999999999996E-3</v>
      </c>
      <c r="K51" s="2293">
        <f t="shared" si="13"/>
        <v>3.8999999999999998E-3</v>
      </c>
      <c r="L51" s="2293">
        <v>0</v>
      </c>
      <c r="M51" s="2293">
        <f t="shared" si="14"/>
        <v>-3.8999999999999998E-3</v>
      </c>
      <c r="N51" s="2293">
        <f t="shared" si="14"/>
        <v>-7.7999999999999996E-3</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4" t="s">
        <v>2898</v>
      </c>
      <c r="C52" s="1037" t="s">
        <v>3215</v>
      </c>
      <c r="D52" s="2272">
        <f t="shared" si="10"/>
        <v>1.4E-3</v>
      </c>
      <c r="E52" s="2294"/>
      <c r="F52" s="2292"/>
      <c r="G52" s="2270">
        <f t="shared" si="15"/>
        <v>1.4E-3</v>
      </c>
      <c r="H52" s="2315">
        <f t="shared" si="11"/>
        <v>1.4E-3</v>
      </c>
      <c r="I52" s="2290">
        <v>0.03</v>
      </c>
      <c r="J52" s="2293">
        <f t="shared" si="12"/>
        <v>2.8E-3</v>
      </c>
      <c r="K52" s="2293">
        <f t="shared" si="13"/>
        <v>1.4E-3</v>
      </c>
      <c r="L52" s="2293">
        <v>0</v>
      </c>
      <c r="M52" s="2293">
        <f t="shared" si="14"/>
        <v>-1.4E-3</v>
      </c>
      <c r="N52" s="2293">
        <f t="shared" si="14"/>
        <v>-2.8E-3</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t="s">
        <v>3215</v>
      </c>
      <c r="D53" s="2272">
        <f t="shared" si="10"/>
        <v>2.3999999999999998E-3</v>
      </c>
      <c r="E53" s="2294"/>
      <c r="F53" s="2292"/>
      <c r="G53" s="2270">
        <f t="shared" si="15"/>
        <v>2.3999999999999998E-3</v>
      </c>
      <c r="H53" s="2315">
        <f t="shared" si="11"/>
        <v>2.3999999999999998E-3</v>
      </c>
      <c r="I53" s="2290">
        <v>0.05</v>
      </c>
      <c r="J53" s="2293">
        <f t="shared" si="12"/>
        <v>4.7999999999999996E-3</v>
      </c>
      <c r="K53" s="2293">
        <f t="shared" si="13"/>
        <v>2.3999999999999998E-3</v>
      </c>
      <c r="L53" s="2293">
        <v>0</v>
      </c>
      <c r="M53" s="2293">
        <f t="shared" si="14"/>
        <v>-2.3999999999999998E-3</v>
      </c>
      <c r="N53" s="2293">
        <f t="shared" si="14"/>
        <v>-4.7999999999999996E-3</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t="s">
        <v>3213</v>
      </c>
      <c r="D54" s="2272">
        <f t="shared" si="10"/>
        <v>9.7999999999999997E-3</v>
      </c>
      <c r="E54" s="2294"/>
      <c r="F54" s="2292"/>
      <c r="G54" s="2270">
        <f t="shared" si="15"/>
        <v>4.8999999999999998E-3</v>
      </c>
      <c r="H54" s="2315">
        <f t="shared" si="11"/>
        <v>4.8999999999999998E-3</v>
      </c>
      <c r="I54" s="2290">
        <v>0.1</v>
      </c>
      <c r="J54" s="2293">
        <f t="shared" si="12"/>
        <v>9.7999999999999997E-3</v>
      </c>
      <c r="K54" s="2293">
        <f t="shared" si="13"/>
        <v>4.8999999999999998E-3</v>
      </c>
      <c r="L54" s="2293">
        <v>0</v>
      </c>
      <c r="M54" s="2293">
        <f t="shared" si="14"/>
        <v>-4.8999999999999998E-3</v>
      </c>
      <c r="N54" s="2293">
        <f t="shared" si="14"/>
        <v>-9.7999999999999997E-3</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t="s">
        <v>3215</v>
      </c>
      <c r="D55" s="2272">
        <f t="shared" si="10"/>
        <v>2.8999999999999998E-3</v>
      </c>
      <c r="E55" s="2298"/>
      <c r="F55" s="2292"/>
      <c r="G55" s="2270">
        <f t="shared" si="15"/>
        <v>2.8999999999999998E-3</v>
      </c>
      <c r="H55" s="2315">
        <f t="shared" si="11"/>
        <v>2.8999999999999998E-3</v>
      </c>
      <c r="I55" s="2297">
        <v>0.06</v>
      </c>
      <c r="J55" s="2293">
        <f t="shared" si="12"/>
        <v>5.7999999999999996E-3</v>
      </c>
      <c r="K55" s="2293">
        <f t="shared" si="13"/>
        <v>2.8999999999999998E-3</v>
      </c>
      <c r="L55" s="2293">
        <v>0</v>
      </c>
      <c r="M55" s="2293">
        <f t="shared" si="14"/>
        <v>-2.8999999999999998E-3</v>
      </c>
      <c r="N55" s="2293">
        <f t="shared" si="14"/>
        <v>-5.7999999999999996E-3</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2238</v>
      </c>
      <c r="G57" s="2286" t="s">
        <v>1005</v>
      </c>
      <c r="H57" s="2269" t="s">
        <v>2401</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6">SUMIF($J$57:$N$57,C58,J58:N58)</f>
        <v>0</v>
      </c>
      <c r="E58" s="2291">
        <f>ROUND(SUM(D58:D66),4)</f>
        <v>0</v>
      </c>
      <c r="F58" s="2292" t="str">
        <f>IF(E2="办公",SUMIF(L1:L12,G2,N1:N12),"——")</f>
        <v>——</v>
      </c>
      <c r="G58" s="2270"/>
      <c r="H58" s="2315" t="str">
        <f>IFERROR(ROUNDDOWN($F$58*I58/2,4),"——")</f>
        <v>——</v>
      </c>
      <c r="I58" s="2290">
        <v>0.24</v>
      </c>
      <c r="J58" s="2293">
        <f t="shared" ref="J58:J66" si="17">K58+$G58</f>
        <v>0</v>
      </c>
      <c r="K58" s="2293">
        <f t="shared" ref="K58:K66" si="18">$L58+$G58</f>
        <v>0</v>
      </c>
      <c r="L58" s="2293">
        <v>0</v>
      </c>
      <c r="M58" s="2293">
        <f t="shared" ref="M58:N66" si="19">L58-$G58</f>
        <v>0</v>
      </c>
      <c r="N58" s="2293">
        <f t="shared" si="19"/>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6"/>
        <v>0</v>
      </c>
      <c r="E59" s="2294"/>
      <c r="F59" s="2292"/>
      <c r="G59" s="2270"/>
      <c r="H59" s="2271" t="str">
        <f t="shared" ref="H59:H66" si="20">IFERROR($F$58*I59/2,"——")</f>
        <v>——</v>
      </c>
      <c r="I59" s="2290">
        <v>0.3</v>
      </c>
      <c r="J59" s="2293">
        <f t="shared" si="17"/>
        <v>0</v>
      </c>
      <c r="K59" s="2293">
        <f t="shared" si="18"/>
        <v>0</v>
      </c>
      <c r="L59" s="2293">
        <v>0</v>
      </c>
      <c r="M59" s="2293">
        <f t="shared" si="19"/>
        <v>0</v>
      </c>
      <c r="N59" s="2293">
        <f t="shared" si="19"/>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6"/>
        <v>0</v>
      </c>
      <c r="E60" s="2294"/>
      <c r="F60" s="2292"/>
      <c r="G60" s="2270"/>
      <c r="H60" s="2271" t="str">
        <f t="shared" si="20"/>
        <v>——</v>
      </c>
      <c r="I60" s="2290">
        <v>0.08</v>
      </c>
      <c r="J60" s="2293">
        <f t="shared" si="17"/>
        <v>0</v>
      </c>
      <c r="K60" s="2293">
        <f t="shared" si="18"/>
        <v>0</v>
      </c>
      <c r="L60" s="2293">
        <v>0</v>
      </c>
      <c r="M60" s="2293">
        <f t="shared" si="19"/>
        <v>0</v>
      </c>
      <c r="N60" s="2293">
        <f t="shared" si="19"/>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5" t="s">
        <v>2900</v>
      </c>
      <c r="C61" s="1037"/>
      <c r="D61" s="2272">
        <f t="shared" si="16"/>
        <v>0</v>
      </c>
      <c r="E61" s="2294"/>
      <c r="F61" s="2292"/>
      <c r="G61" s="2270"/>
      <c r="H61" s="2271" t="str">
        <f t="shared" si="20"/>
        <v>——</v>
      </c>
      <c r="I61" s="2290">
        <v>0.04</v>
      </c>
      <c r="J61" s="2293">
        <f t="shared" si="17"/>
        <v>0</v>
      </c>
      <c r="K61" s="2293">
        <f t="shared" si="18"/>
        <v>0</v>
      </c>
      <c r="L61" s="2293">
        <v>0</v>
      </c>
      <c r="M61" s="2293">
        <f t="shared" si="19"/>
        <v>0</v>
      </c>
      <c r="N61" s="2293">
        <f t="shared" si="19"/>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6"/>
        <v>0</v>
      </c>
      <c r="E62" s="2294"/>
      <c r="F62" s="2292"/>
      <c r="G62" s="2270"/>
      <c r="H62" s="2271" t="str">
        <f t="shared" si="20"/>
        <v>——</v>
      </c>
      <c r="I62" s="2290">
        <v>0.05</v>
      </c>
      <c r="J62" s="2293">
        <f t="shared" si="17"/>
        <v>0</v>
      </c>
      <c r="K62" s="2293">
        <f t="shared" si="18"/>
        <v>0</v>
      </c>
      <c r="L62" s="2293">
        <v>0</v>
      </c>
      <c r="M62" s="2293">
        <f t="shared" si="19"/>
        <v>0</v>
      </c>
      <c r="N62" s="2293">
        <f t="shared" si="19"/>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4" t="s">
        <v>2898</v>
      </c>
      <c r="C63" s="1037"/>
      <c r="D63" s="2272">
        <f t="shared" si="16"/>
        <v>0</v>
      </c>
      <c r="E63" s="2294"/>
      <c r="F63" s="2292"/>
      <c r="G63" s="2270"/>
      <c r="H63" s="2271" t="str">
        <f t="shared" si="20"/>
        <v>——</v>
      </c>
      <c r="I63" s="2290">
        <v>0.05</v>
      </c>
      <c r="J63" s="2293">
        <f t="shared" si="17"/>
        <v>0</v>
      </c>
      <c r="K63" s="2293">
        <f t="shared" si="18"/>
        <v>0</v>
      </c>
      <c r="L63" s="2293">
        <v>0</v>
      </c>
      <c r="M63" s="2293">
        <f t="shared" si="19"/>
        <v>0</v>
      </c>
      <c r="N63" s="2293">
        <f t="shared" si="19"/>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6"/>
        <v>0</v>
      </c>
      <c r="E64" s="2294"/>
      <c r="F64" s="2292"/>
      <c r="G64" s="2270"/>
      <c r="H64" s="2271" t="str">
        <f t="shared" si="20"/>
        <v>——</v>
      </c>
      <c r="I64" s="2290">
        <v>0.06</v>
      </c>
      <c r="J64" s="2293">
        <f t="shared" si="17"/>
        <v>0</v>
      </c>
      <c r="K64" s="2293">
        <f t="shared" si="18"/>
        <v>0</v>
      </c>
      <c r="L64" s="2293">
        <v>0</v>
      </c>
      <c r="M64" s="2293">
        <f t="shared" si="19"/>
        <v>0</v>
      </c>
      <c r="N64" s="2293">
        <f t="shared" si="19"/>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6"/>
        <v>0</v>
      </c>
      <c r="E65" s="2294"/>
      <c r="F65" s="2292"/>
      <c r="G65" s="2270"/>
      <c r="H65" s="2271" t="str">
        <f t="shared" si="20"/>
        <v>——</v>
      </c>
      <c r="I65" s="2290">
        <v>0.12</v>
      </c>
      <c r="J65" s="2293">
        <f t="shared" si="17"/>
        <v>0</v>
      </c>
      <c r="K65" s="2293">
        <f t="shared" si="18"/>
        <v>0</v>
      </c>
      <c r="L65" s="2293">
        <v>0</v>
      </c>
      <c r="M65" s="2293">
        <f t="shared" si="19"/>
        <v>0</v>
      </c>
      <c r="N65" s="2293">
        <f t="shared" si="19"/>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6"/>
        <v>0</v>
      </c>
      <c r="E66" s="2298"/>
      <c r="F66" s="2292"/>
      <c r="G66" s="2270"/>
      <c r="H66" s="2271" t="str">
        <f t="shared" si="20"/>
        <v>——</v>
      </c>
      <c r="I66" s="2297">
        <v>0.06</v>
      </c>
      <c r="J66" s="2293">
        <f t="shared" si="17"/>
        <v>0</v>
      </c>
      <c r="K66" s="2293">
        <f t="shared" si="18"/>
        <v>0</v>
      </c>
      <c r="L66" s="2293">
        <v>0</v>
      </c>
      <c r="M66" s="2293">
        <f t="shared" si="19"/>
        <v>0</v>
      </c>
      <c r="N66" s="2293">
        <f t="shared" si="19"/>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2239</v>
      </c>
      <c r="G68" s="2286" t="s">
        <v>1005</v>
      </c>
      <c r="H68" s="2269" t="s">
        <v>2401</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c r="D69" s="2272">
        <f t="shared" ref="D69:D77" si="21">SUMIF($J$68:$N$68,C69,J69:N69)</f>
        <v>0</v>
      </c>
      <c r="E69" s="2291">
        <f>ROUND(SUM(D69:D77),4)</f>
        <v>0</v>
      </c>
      <c r="F69" s="2292" t="str">
        <f>IF(E2="住宅",SUMIF(L1:L12,G2,N1:N12),"——")</f>
        <v>——</v>
      </c>
      <c r="G69" s="2273"/>
      <c r="H69" s="2316" t="str">
        <f t="shared" ref="H69:H77" si="22">IFERROR(ROUNDDOWN($F$69*I69/2,4),"——")</f>
        <v>——</v>
      </c>
      <c r="I69" s="2290">
        <v>0.14000000000000001</v>
      </c>
      <c r="J69" s="2293">
        <f t="shared" ref="J69:J77" si="23">K69+$G69</f>
        <v>0</v>
      </c>
      <c r="K69" s="2293">
        <f t="shared" ref="K69:K77" si="24">$L69+$G69</f>
        <v>0</v>
      </c>
      <c r="L69" s="2293">
        <v>0</v>
      </c>
      <c r="M69" s="2293">
        <f t="shared" ref="M69:N77" si="25">L69-$G69</f>
        <v>0</v>
      </c>
      <c r="N69" s="2293">
        <f t="shared" si="25"/>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1024</v>
      </c>
      <c r="B70" s="2263" t="str">
        <f>估价对象房地状况!C18</f>
        <v>估价对象周边道路状况、公共交通通达情况、停车便捷程度，综合评价交通便捷度较好</v>
      </c>
      <c r="C70" s="1142"/>
      <c r="D70" s="2272">
        <f t="shared" si="21"/>
        <v>0</v>
      </c>
      <c r="E70" s="2300"/>
      <c r="F70" s="2301"/>
      <c r="G70" s="2273"/>
      <c r="H70" s="2316" t="str">
        <f t="shared" si="22"/>
        <v>——</v>
      </c>
      <c r="I70" s="2290">
        <v>0.3</v>
      </c>
      <c r="J70" s="2293">
        <f t="shared" si="23"/>
        <v>0</v>
      </c>
      <c r="K70" s="2293">
        <f t="shared" si="24"/>
        <v>0</v>
      </c>
      <c r="L70" s="2293">
        <v>0</v>
      </c>
      <c r="M70" s="2293">
        <f t="shared" si="25"/>
        <v>0</v>
      </c>
      <c r="N70" s="2293">
        <f t="shared" si="25"/>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1"/>
        <v>0</v>
      </c>
      <c r="E71" s="2300"/>
      <c r="F71" s="2301"/>
      <c r="G71" s="2273"/>
      <c r="H71" s="2316" t="str">
        <f t="shared" si="22"/>
        <v>——</v>
      </c>
      <c r="I71" s="2290">
        <v>0.08</v>
      </c>
      <c r="J71" s="2293">
        <f t="shared" si="23"/>
        <v>0</v>
      </c>
      <c r="K71" s="2293">
        <f t="shared" si="24"/>
        <v>0</v>
      </c>
      <c r="L71" s="2293">
        <v>0</v>
      </c>
      <c r="M71" s="2293">
        <f t="shared" si="25"/>
        <v>0</v>
      </c>
      <c r="N71" s="2293">
        <f t="shared" si="25"/>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1"/>
        <v>0</v>
      </c>
      <c r="E72" s="2300"/>
      <c r="F72" s="2301"/>
      <c r="G72" s="2273"/>
      <c r="H72" s="2316" t="str">
        <f t="shared" si="22"/>
        <v>——</v>
      </c>
      <c r="I72" s="2290">
        <v>0.04</v>
      </c>
      <c r="J72" s="2293">
        <f t="shared" si="23"/>
        <v>0</v>
      </c>
      <c r="K72" s="2293">
        <f t="shared" si="24"/>
        <v>0</v>
      </c>
      <c r="L72" s="2293">
        <v>0</v>
      </c>
      <c r="M72" s="2293">
        <f t="shared" si="25"/>
        <v>0</v>
      </c>
      <c r="N72" s="2293">
        <f t="shared" si="25"/>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c r="D73" s="2272">
        <f t="shared" si="21"/>
        <v>0</v>
      </c>
      <c r="E73" s="2300"/>
      <c r="F73" s="2301"/>
      <c r="G73" s="2273"/>
      <c r="H73" s="2316" t="str">
        <f t="shared" si="22"/>
        <v>——</v>
      </c>
      <c r="I73" s="2290">
        <v>0.08</v>
      </c>
      <c r="J73" s="2293">
        <f t="shared" si="23"/>
        <v>0</v>
      </c>
      <c r="K73" s="2293">
        <f t="shared" si="24"/>
        <v>0</v>
      </c>
      <c r="L73" s="2293">
        <v>0</v>
      </c>
      <c r="M73" s="2293">
        <f t="shared" si="25"/>
        <v>0</v>
      </c>
      <c r="N73" s="2293">
        <f t="shared" si="25"/>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c r="D74" s="2272">
        <f t="shared" si="21"/>
        <v>0</v>
      </c>
      <c r="E74" s="2300"/>
      <c r="F74" s="2301"/>
      <c r="G74" s="2273"/>
      <c r="H74" s="2316" t="str">
        <f t="shared" si="22"/>
        <v>——</v>
      </c>
      <c r="I74" s="2290">
        <v>0.12</v>
      </c>
      <c r="J74" s="2293">
        <f t="shared" si="23"/>
        <v>0</v>
      </c>
      <c r="K74" s="2293">
        <f t="shared" si="24"/>
        <v>0</v>
      </c>
      <c r="L74" s="2293">
        <v>0</v>
      </c>
      <c r="M74" s="2293">
        <f t="shared" si="25"/>
        <v>0</v>
      </c>
      <c r="N74" s="2293">
        <f t="shared" si="25"/>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4" t="s">
        <v>2898</v>
      </c>
      <c r="C75" s="1142"/>
      <c r="D75" s="2272">
        <f t="shared" si="21"/>
        <v>0</v>
      </c>
      <c r="E75" s="2300"/>
      <c r="F75" s="2301"/>
      <c r="G75" s="2273"/>
      <c r="H75" s="2316" t="str">
        <f t="shared" si="22"/>
        <v>——</v>
      </c>
      <c r="I75" s="2290">
        <v>0.05</v>
      </c>
      <c r="J75" s="2293">
        <f t="shared" si="23"/>
        <v>0</v>
      </c>
      <c r="K75" s="2293">
        <f t="shared" si="24"/>
        <v>0</v>
      </c>
      <c r="L75" s="2293">
        <v>0</v>
      </c>
      <c r="M75" s="2293">
        <f t="shared" si="25"/>
        <v>0</v>
      </c>
      <c r="N75" s="2293">
        <f t="shared" si="25"/>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c r="D76" s="2272">
        <f t="shared" si="21"/>
        <v>0</v>
      </c>
      <c r="E76" s="2300"/>
      <c r="F76" s="2301"/>
      <c r="G76" s="2273"/>
      <c r="H76" s="2316" t="str">
        <f t="shared" si="22"/>
        <v>——</v>
      </c>
      <c r="I76" s="2290">
        <v>0.15</v>
      </c>
      <c r="J76" s="2293">
        <f t="shared" si="23"/>
        <v>0</v>
      </c>
      <c r="K76" s="2293">
        <f t="shared" si="24"/>
        <v>0</v>
      </c>
      <c r="L76" s="2293">
        <v>0</v>
      </c>
      <c r="M76" s="2293">
        <f t="shared" si="25"/>
        <v>0</v>
      </c>
      <c r="N76" s="2293">
        <f t="shared" si="25"/>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1"/>
        <v>0</v>
      </c>
      <c r="E77" s="2302"/>
      <c r="F77" s="2301"/>
      <c r="G77" s="2273"/>
      <c r="H77" s="2316" t="str">
        <f t="shared" si="22"/>
        <v>——</v>
      </c>
      <c r="I77" s="2297">
        <v>0.04</v>
      </c>
      <c r="J77" s="2293">
        <f t="shared" si="23"/>
        <v>0</v>
      </c>
      <c r="K77" s="2293">
        <f t="shared" si="24"/>
        <v>0</v>
      </c>
      <c r="L77" s="2293">
        <v>0</v>
      </c>
      <c r="M77" s="2293">
        <f t="shared" si="25"/>
        <v>0</v>
      </c>
      <c r="N77" s="2293">
        <f t="shared" si="25"/>
        <v>0</v>
      </c>
      <c r="AC77" s="1353"/>
      <c r="AD77" s="1352"/>
      <c r="AJ77" s="1351"/>
      <c r="AN77" s="1352"/>
    </row>
    <row r="78" spans="1:40" ht="15">
      <c r="A78" s="2279" t="s">
        <v>1027</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2240</v>
      </c>
      <c r="G79" s="2286" t="s">
        <v>1005</v>
      </c>
      <c r="H79" s="2269" t="s">
        <v>2401</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6">SUMIF($J$79:$N$79,C80,J80:N80)</f>
        <v>0</v>
      </c>
      <c r="E80" s="2291">
        <f>ROUND(SUM(D80:D87),4)</f>
        <v>0</v>
      </c>
      <c r="F80" s="2292" t="str">
        <f>IF(E2="工业",SUMIF(L1:L12,G2,N1:N12),"——")</f>
        <v>——</v>
      </c>
      <c r="G80" s="2270"/>
      <c r="H80" s="2315" t="str">
        <f t="shared" ref="H80:H87" si="27">IFERROR(ROUNDDOWN($F$80*I80/2,4),"——")</f>
        <v>——</v>
      </c>
      <c r="I80" s="2290">
        <v>0.26</v>
      </c>
      <c r="J80" s="2293">
        <f t="shared" ref="J80:J87" si="28">K80+$G80</f>
        <v>0</v>
      </c>
      <c r="K80" s="2293">
        <f t="shared" ref="K80:K87" si="29">$L80+$G80</f>
        <v>0</v>
      </c>
      <c r="L80" s="2293">
        <v>0</v>
      </c>
      <c r="M80" s="2293">
        <f t="shared" ref="M80:N87" si="30">L80-$G80</f>
        <v>0</v>
      </c>
      <c r="N80" s="2293">
        <f t="shared" si="30"/>
        <v>0</v>
      </c>
      <c r="AC80" s="1353"/>
      <c r="AD80" s="1352"/>
      <c r="AJ80" s="1351"/>
      <c r="AN80" s="1352"/>
    </row>
    <row r="81" spans="1:40" ht="48">
      <c r="A81" s="1050" t="s">
        <v>1024</v>
      </c>
      <c r="B81" s="2263" t="str">
        <f>估价对象房地状况!G16</f>
        <v>估价对象周边道路状况、公共交通通达情况、停车便捷程度，综合评价交通便捷度较好</v>
      </c>
      <c r="C81" s="1037"/>
      <c r="D81" s="2272">
        <f t="shared" si="26"/>
        <v>0</v>
      </c>
      <c r="E81" s="2300"/>
      <c r="F81" s="2301"/>
      <c r="G81" s="2270"/>
      <c r="H81" s="2315" t="str">
        <f t="shared" si="27"/>
        <v>——</v>
      </c>
      <c r="I81" s="2290">
        <v>0.33</v>
      </c>
      <c r="J81" s="2293">
        <f t="shared" si="28"/>
        <v>0</v>
      </c>
      <c r="K81" s="2293">
        <f t="shared" si="29"/>
        <v>0</v>
      </c>
      <c r="L81" s="2293">
        <v>0</v>
      </c>
      <c r="M81" s="2293">
        <f t="shared" si="30"/>
        <v>0</v>
      </c>
      <c r="N81" s="2293">
        <f t="shared" si="30"/>
        <v>0</v>
      </c>
      <c r="AC81" s="1353"/>
      <c r="AD81" s="1352"/>
      <c r="AJ81" s="1351"/>
      <c r="AN81" s="1352"/>
    </row>
    <row r="82" spans="1:40" ht="24">
      <c r="A82" s="1050" t="s">
        <v>1013</v>
      </c>
      <c r="B82" s="2263">
        <f>估价对象房地状况!G17</f>
        <v>0</v>
      </c>
      <c r="C82" s="1037"/>
      <c r="D82" s="2272">
        <f t="shared" si="26"/>
        <v>0</v>
      </c>
      <c r="E82" s="2300"/>
      <c r="F82" s="2301"/>
      <c r="G82" s="2270"/>
      <c r="H82" s="2315" t="str">
        <f t="shared" si="27"/>
        <v>——</v>
      </c>
      <c r="I82" s="2290">
        <v>0.05</v>
      </c>
      <c r="J82" s="2293">
        <f t="shared" si="28"/>
        <v>0</v>
      </c>
      <c r="K82" s="2293">
        <f t="shared" si="29"/>
        <v>0</v>
      </c>
      <c r="L82" s="2293">
        <v>0</v>
      </c>
      <c r="M82" s="2293">
        <f t="shared" si="30"/>
        <v>0</v>
      </c>
      <c r="N82" s="2293">
        <f t="shared" si="30"/>
        <v>0</v>
      </c>
      <c r="AC82" s="1353"/>
      <c r="AD82" s="1352"/>
      <c r="AJ82" s="1351"/>
      <c r="AN82" s="1352"/>
    </row>
    <row r="83" spans="1:40" ht="14.25">
      <c r="A83" s="1050" t="s">
        <v>1025</v>
      </c>
      <c r="B83" s="2263">
        <f>估价对象房地状况!G22</f>
        <v>0</v>
      </c>
      <c r="C83" s="1037"/>
      <c r="D83" s="2272">
        <f t="shared" si="26"/>
        <v>0</v>
      </c>
      <c r="E83" s="2300"/>
      <c r="F83" s="2301"/>
      <c r="G83" s="2270"/>
      <c r="H83" s="2315" t="str">
        <f t="shared" si="27"/>
        <v>——</v>
      </c>
      <c r="I83" s="2290">
        <v>0.04</v>
      </c>
      <c r="J83" s="2293">
        <f t="shared" si="28"/>
        <v>0</v>
      </c>
      <c r="K83" s="2293">
        <f t="shared" si="29"/>
        <v>0</v>
      </c>
      <c r="L83" s="2293">
        <v>0</v>
      </c>
      <c r="M83" s="2293">
        <f t="shared" si="30"/>
        <v>0</v>
      </c>
      <c r="N83" s="2293">
        <f t="shared" si="30"/>
        <v>0</v>
      </c>
      <c r="AC83" s="1353"/>
      <c r="AD83" s="1352"/>
      <c r="AJ83" s="1351"/>
      <c r="AN83" s="1352"/>
    </row>
    <row r="84" spans="1:40" ht="24">
      <c r="A84" s="1050" t="s">
        <v>1017</v>
      </c>
      <c r="B84" s="2264" t="str">
        <f>估价对象房地状况!G19</f>
        <v>估价对象所在区域公共配套设施齐备情况</v>
      </c>
      <c r="C84" s="1037"/>
      <c r="D84" s="2272">
        <f t="shared" si="26"/>
        <v>0</v>
      </c>
      <c r="E84" s="2300"/>
      <c r="F84" s="2301"/>
      <c r="G84" s="2270"/>
      <c r="H84" s="2315" t="str">
        <f t="shared" si="27"/>
        <v>——</v>
      </c>
      <c r="I84" s="2290">
        <v>0.06</v>
      </c>
      <c r="J84" s="2293">
        <f t="shared" si="28"/>
        <v>0</v>
      </c>
      <c r="K84" s="2293">
        <f t="shared" si="29"/>
        <v>0</v>
      </c>
      <c r="L84" s="2293">
        <v>0</v>
      </c>
      <c r="M84" s="2293">
        <f t="shared" si="30"/>
        <v>0</v>
      </c>
      <c r="N84" s="2293">
        <f t="shared" si="30"/>
        <v>0</v>
      </c>
      <c r="AC84" s="1353"/>
      <c r="AD84" s="1352"/>
      <c r="AJ84" s="1351"/>
      <c r="AN84" s="1352"/>
    </row>
    <row r="85" spans="1:40" ht="24">
      <c r="A85" s="1050" t="s">
        <v>1018</v>
      </c>
      <c r="B85" s="2264" t="str">
        <f>估价对象房地状况!G20</f>
        <v>估价对象所在区域基础设施水平</v>
      </c>
      <c r="C85" s="1037"/>
      <c r="D85" s="2272">
        <f t="shared" si="26"/>
        <v>0</v>
      </c>
      <c r="E85" s="2300"/>
      <c r="F85" s="2301"/>
      <c r="G85" s="2270"/>
      <c r="H85" s="2315" t="str">
        <f t="shared" si="27"/>
        <v>——</v>
      </c>
      <c r="I85" s="2290">
        <v>0.15</v>
      </c>
      <c r="J85" s="2293">
        <f t="shared" si="28"/>
        <v>0</v>
      </c>
      <c r="K85" s="2293">
        <f t="shared" si="29"/>
        <v>0</v>
      </c>
      <c r="L85" s="2293">
        <v>0</v>
      </c>
      <c r="M85" s="2293">
        <f t="shared" si="30"/>
        <v>0</v>
      </c>
      <c r="N85" s="2293">
        <f t="shared" si="30"/>
        <v>0</v>
      </c>
      <c r="AC85" s="1353"/>
      <c r="AD85" s="1352"/>
      <c r="AJ85" s="1351"/>
      <c r="AN85" s="1352"/>
    </row>
    <row r="86" spans="1:40" ht="24">
      <c r="A86" s="1050" t="s">
        <v>1016</v>
      </c>
      <c r="B86" s="2784" t="s">
        <v>2898</v>
      </c>
      <c r="C86" s="1037"/>
      <c r="D86" s="2272">
        <f t="shared" si="26"/>
        <v>0</v>
      </c>
      <c r="E86" s="2300"/>
      <c r="F86" s="2301"/>
      <c r="G86" s="2270"/>
      <c r="H86" s="2315" t="str">
        <f t="shared" si="27"/>
        <v>——</v>
      </c>
      <c r="I86" s="2290">
        <v>0.05</v>
      </c>
      <c r="J86" s="2293">
        <f t="shared" si="28"/>
        <v>0</v>
      </c>
      <c r="K86" s="2293">
        <f t="shared" si="29"/>
        <v>0</v>
      </c>
      <c r="L86" s="2293">
        <v>0</v>
      </c>
      <c r="M86" s="2293">
        <f t="shared" si="30"/>
        <v>0</v>
      </c>
      <c r="N86" s="2293">
        <f t="shared" si="30"/>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6"/>
        <v>0</v>
      </c>
      <c r="E87" s="2302"/>
      <c r="F87" s="2301"/>
      <c r="G87" s="2270"/>
      <c r="H87" s="2315" t="str">
        <f t="shared" si="27"/>
        <v>——</v>
      </c>
      <c r="I87" s="2297">
        <v>0.06</v>
      </c>
      <c r="J87" s="2293">
        <f t="shared" si="28"/>
        <v>0</v>
      </c>
      <c r="K87" s="2293">
        <f t="shared" si="29"/>
        <v>0</v>
      </c>
      <c r="L87" s="2293">
        <v>0</v>
      </c>
      <c r="M87" s="2293">
        <f t="shared" si="30"/>
        <v>0</v>
      </c>
      <c r="N87" s="2293">
        <f t="shared" si="30"/>
        <v>0</v>
      </c>
      <c r="AC87" s="1353"/>
      <c r="AD87" s="1352"/>
      <c r="AJ87" s="1351"/>
      <c r="AN87" s="1352"/>
    </row>
    <row r="90" spans="1:40">
      <c r="A90" s="3577" t="s">
        <v>1624</v>
      </c>
      <c r="B90" s="3577"/>
      <c r="C90" s="3577"/>
      <c r="D90" s="3577"/>
      <c r="E90" s="3577"/>
      <c r="F90" s="3577"/>
      <c r="G90" s="3577"/>
      <c r="H90" s="3577"/>
      <c r="I90" s="3577"/>
      <c r="J90" s="3577"/>
      <c r="K90" s="2305"/>
      <c r="L90" s="2305"/>
      <c r="M90" s="2305"/>
      <c r="N90" s="2305"/>
    </row>
    <row r="91" spans="1:40">
      <c r="A91" s="3578" t="s">
        <v>1434</v>
      </c>
      <c r="B91" s="3578" t="s">
        <v>1625</v>
      </c>
      <c r="C91" s="1123" t="s">
        <v>1626</v>
      </c>
      <c r="D91" s="1124"/>
      <c r="E91" s="1124"/>
      <c r="F91" s="1124"/>
      <c r="G91" s="1124"/>
      <c r="H91" s="1124"/>
      <c r="I91" s="1124"/>
      <c r="J91" s="1125"/>
      <c r="K91" s="1117"/>
      <c r="L91" s="1117"/>
      <c r="M91" s="1117"/>
      <c r="N91" s="1117"/>
    </row>
    <row r="92" spans="1:40">
      <c r="A92" s="3578"/>
      <c r="B92" s="357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85" t="s">
        <v>2741</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8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8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8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8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8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86"/>
      <c r="B99" s="1126" t="s">
        <v>1627</v>
      </c>
      <c r="C99" s="1128">
        <f>$I$3</f>
        <v>1</v>
      </c>
      <c r="D99" s="1128">
        <f t="shared" ref="D99:N99" si="31">$I$3</f>
        <v>1</v>
      </c>
      <c r="E99" s="1128">
        <f t="shared" si="31"/>
        <v>1</v>
      </c>
      <c r="F99" s="1128">
        <f t="shared" si="31"/>
        <v>1</v>
      </c>
      <c r="G99" s="1128">
        <f t="shared" si="31"/>
        <v>1</v>
      </c>
      <c r="H99" s="1128">
        <f t="shared" si="31"/>
        <v>1</v>
      </c>
      <c r="I99" s="1128">
        <f t="shared" si="31"/>
        <v>1</v>
      </c>
      <c r="J99" s="1128">
        <f t="shared" si="31"/>
        <v>1</v>
      </c>
      <c r="K99" s="1128">
        <f t="shared" si="31"/>
        <v>1</v>
      </c>
      <c r="L99" s="1128">
        <f t="shared" si="31"/>
        <v>1</v>
      </c>
      <c r="M99" s="1128">
        <f t="shared" si="31"/>
        <v>1</v>
      </c>
      <c r="N99" s="1128">
        <f t="shared" si="31"/>
        <v>1</v>
      </c>
    </row>
    <row r="100" spans="1:14">
      <c r="A100" s="3587"/>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85" t="s">
        <v>1628</v>
      </c>
      <c r="B101" s="1130" t="s">
        <v>897</v>
      </c>
      <c r="C101" s="1131">
        <f>$G$3</f>
        <v>10.1</v>
      </c>
      <c r="D101" s="1131">
        <f t="shared" ref="D101:N101" si="32">$G$3</f>
        <v>10.1</v>
      </c>
      <c r="E101" s="1131">
        <f t="shared" si="32"/>
        <v>10.1</v>
      </c>
      <c r="F101" s="1131">
        <f t="shared" si="32"/>
        <v>10.1</v>
      </c>
      <c r="G101" s="1131">
        <f t="shared" si="32"/>
        <v>10.1</v>
      </c>
      <c r="H101" s="1131">
        <f t="shared" si="32"/>
        <v>10.1</v>
      </c>
      <c r="I101" s="1131">
        <f t="shared" si="32"/>
        <v>10.1</v>
      </c>
      <c r="J101" s="1131">
        <f t="shared" si="32"/>
        <v>10.1</v>
      </c>
      <c r="K101" s="1131">
        <f t="shared" si="32"/>
        <v>10.1</v>
      </c>
      <c r="L101" s="1131">
        <f t="shared" si="32"/>
        <v>10.1</v>
      </c>
      <c r="M101" s="1131">
        <f t="shared" si="32"/>
        <v>10.1</v>
      </c>
      <c r="N101" s="1131">
        <f t="shared" si="32"/>
        <v>10.1</v>
      </c>
    </row>
    <row r="102" spans="1:14">
      <c r="A102" s="3586"/>
      <c r="B102" s="1126">
        <v>1</v>
      </c>
      <c r="C102" s="1127">
        <f>1.9362/C101</f>
        <v>0.19170297029702971</v>
      </c>
      <c r="D102" s="1127">
        <f>1.9362/D101</f>
        <v>0.19170297029702971</v>
      </c>
      <c r="E102" s="1127">
        <f>1.8629/E101</f>
        <v>0.18444554455445544</v>
      </c>
      <c r="F102" s="1127">
        <f>1.8629/F101</f>
        <v>0.18444554455445544</v>
      </c>
      <c r="G102" s="1127">
        <f>1.8629/G101</f>
        <v>0.18444554455445544</v>
      </c>
      <c r="H102" s="1127">
        <f>1.8629/H101</f>
        <v>0.18444554455445544</v>
      </c>
      <c r="I102" s="1127">
        <f>1.8629/I101</f>
        <v>0.18444554455445544</v>
      </c>
      <c r="J102" s="1127">
        <f>1.942/J101</f>
        <v>0.19227722772277228</v>
      </c>
      <c r="K102" s="1127">
        <f>1.942/K101</f>
        <v>0.19227722772277228</v>
      </c>
      <c r="L102" s="1127">
        <f>1.942/L101</f>
        <v>0.19227722772277228</v>
      </c>
      <c r="M102" s="1127">
        <f>1.942/M101</f>
        <v>0.19227722772277228</v>
      </c>
      <c r="N102" s="1127">
        <f>1.942/N101</f>
        <v>0.19227722772277228</v>
      </c>
    </row>
    <row r="103" spans="1:14">
      <c r="A103" s="3586"/>
      <c r="B103" s="1126">
        <v>2</v>
      </c>
      <c r="C103" s="1127">
        <f>1.4198/C101</f>
        <v>0.14057425742574259</v>
      </c>
      <c r="D103" s="1127">
        <f>1.4198/D101</f>
        <v>0.14057425742574259</v>
      </c>
      <c r="E103" s="1127">
        <f>1.3372/E101</f>
        <v>0.1323960396039604</v>
      </c>
      <c r="F103" s="1127">
        <f>1.3372/F101</f>
        <v>0.1323960396039604</v>
      </c>
      <c r="G103" s="1127">
        <f>1.3372/G101</f>
        <v>0.1323960396039604</v>
      </c>
      <c r="H103" s="1127">
        <f>1.3372/H101</f>
        <v>0.1323960396039604</v>
      </c>
      <c r="I103" s="1127">
        <f>1.3372/I101</f>
        <v>0.1323960396039604</v>
      </c>
      <c r="J103" s="1127">
        <f>1.2799/J101</f>
        <v>0.12672277227722772</v>
      </c>
      <c r="K103" s="1127">
        <f>1.2799/K101</f>
        <v>0.12672277227722772</v>
      </c>
      <c r="L103" s="1127">
        <f>1.2799/L101</f>
        <v>0.12672277227722772</v>
      </c>
      <c r="M103" s="1127">
        <f>1.2799/M101</f>
        <v>0.12672277227722772</v>
      </c>
      <c r="N103" s="1127">
        <f>1.2799/N101</f>
        <v>0.12672277227722772</v>
      </c>
    </row>
    <row r="104" spans="1:14">
      <c r="A104" s="3586"/>
      <c r="B104" s="1126">
        <v>3</v>
      </c>
      <c r="C104" s="1127">
        <f>1.1594/C101</f>
        <v>0.1147920792079208</v>
      </c>
      <c r="D104" s="1127">
        <f>1.1594/D101</f>
        <v>0.1147920792079208</v>
      </c>
      <c r="E104" s="1127">
        <f>1.0788/E101</f>
        <v>0.10681188118811881</v>
      </c>
      <c r="F104" s="1127">
        <f>1.0788/F101</f>
        <v>0.10681188118811881</v>
      </c>
      <c r="G104" s="1127">
        <f>1.0788/G101</f>
        <v>0.10681188118811881</v>
      </c>
      <c r="H104" s="1127">
        <f>1.0788/H101</f>
        <v>0.10681188118811881</v>
      </c>
      <c r="I104" s="1127">
        <f>1.0788/I101</f>
        <v>0.10681188118811881</v>
      </c>
      <c r="J104" s="1127">
        <f>1.0072/J101</f>
        <v>9.9722772277227742E-2</v>
      </c>
      <c r="K104" s="1127">
        <f>1.0072/K101</f>
        <v>9.9722772277227742E-2</v>
      </c>
      <c r="L104" s="1127">
        <f>1.0072/L101</f>
        <v>9.9722772277227742E-2</v>
      </c>
      <c r="M104" s="1127">
        <f>1.0072/M101</f>
        <v>9.9722772277227742E-2</v>
      </c>
      <c r="N104" s="1127">
        <f>1.0072/N101</f>
        <v>9.9722772277227742E-2</v>
      </c>
    </row>
    <row r="105" spans="1:14">
      <c r="A105" s="3586"/>
      <c r="B105" s="1126">
        <v>4</v>
      </c>
      <c r="C105" s="1127">
        <f>0.9622/C101</f>
        <v>9.5267326732673283E-2</v>
      </c>
      <c r="D105" s="1127">
        <f>0.9622/D101</f>
        <v>9.5267326732673283E-2</v>
      </c>
      <c r="E105" s="1127">
        <f>0.8656/E101</f>
        <v>8.570297029702971E-2</v>
      </c>
      <c r="F105" s="1127">
        <f>0.8656/F101</f>
        <v>8.570297029702971E-2</v>
      </c>
      <c r="G105" s="1127">
        <f>0.8656/G101</f>
        <v>8.570297029702971E-2</v>
      </c>
      <c r="H105" s="1127">
        <f>0.8656/H101</f>
        <v>8.570297029702971E-2</v>
      </c>
      <c r="I105" s="1127">
        <f>0.8656/I101</f>
        <v>8.570297029702971E-2</v>
      </c>
      <c r="J105" s="1127">
        <f>0.7525/J101</f>
        <v>7.4504950495049502E-2</v>
      </c>
      <c r="K105" s="1127">
        <f>0.7525/K101</f>
        <v>7.4504950495049502E-2</v>
      </c>
      <c r="L105" s="1127">
        <f>0.7525/L101</f>
        <v>7.4504950495049502E-2</v>
      </c>
      <c r="M105" s="1127">
        <f>0.7525/M101</f>
        <v>7.4504950495049502E-2</v>
      </c>
      <c r="N105" s="1127">
        <f>0.7525/N101</f>
        <v>7.4504950495049502E-2</v>
      </c>
    </row>
    <row r="106" spans="1:14">
      <c r="A106" s="3586"/>
      <c r="B106" s="1126">
        <v>5</v>
      </c>
      <c r="C106" s="1127">
        <f>0.8417/C101</f>
        <v>8.3336633663366341E-2</v>
      </c>
      <c r="D106" s="1127">
        <f>0.8417/D101</f>
        <v>8.3336633663366341E-2</v>
      </c>
      <c r="E106" s="1127">
        <f>0.7371/E101</f>
        <v>7.2980198019801976E-2</v>
      </c>
      <c r="F106" s="1127">
        <f>0.7371/F101</f>
        <v>7.2980198019801976E-2</v>
      </c>
      <c r="G106" s="1127">
        <f>0.7371/G101</f>
        <v>7.2980198019801976E-2</v>
      </c>
      <c r="H106" s="1127">
        <f>0.7371/H101</f>
        <v>7.2980198019801976E-2</v>
      </c>
      <c r="I106" s="1127">
        <f>0.7371/I101</f>
        <v>7.2980198019801976E-2</v>
      </c>
      <c r="J106" s="1127">
        <f>0.5659/J101</f>
        <v>5.6029702970297031E-2</v>
      </c>
      <c r="K106" s="1127">
        <f>0.5659/K101</f>
        <v>5.6029702970297031E-2</v>
      </c>
      <c r="L106" s="1127">
        <f>0.5659/L101</f>
        <v>5.6029702970297031E-2</v>
      </c>
      <c r="M106" s="1127">
        <f>0.5659/M101</f>
        <v>5.6029702970297031E-2</v>
      </c>
      <c r="N106" s="1127">
        <f>0.5659/N101</f>
        <v>5.6029702970297031E-2</v>
      </c>
    </row>
    <row r="107" spans="1:14">
      <c r="A107" s="3586"/>
      <c r="B107" s="1126">
        <v>6</v>
      </c>
      <c r="C107" s="1127">
        <f>0.7608/C101</f>
        <v>7.5326732673267338E-2</v>
      </c>
      <c r="D107" s="1127">
        <f>0.7608/D101</f>
        <v>7.5326732673267338E-2</v>
      </c>
      <c r="E107" s="1127">
        <f>0.6482/E101</f>
        <v>6.417821782178218E-2</v>
      </c>
      <c r="F107" s="1127">
        <f>0.6482/F101</f>
        <v>6.417821782178218E-2</v>
      </c>
      <c r="G107" s="1127">
        <f>0.6482/G101</f>
        <v>6.417821782178218E-2</v>
      </c>
      <c r="H107" s="1127">
        <f>0.6482/H101</f>
        <v>6.417821782178218E-2</v>
      </c>
      <c r="I107" s="1127">
        <f>0.6482/I101</f>
        <v>6.417821782178218E-2</v>
      </c>
      <c r="J107" s="1127">
        <f>0.4525/J101</f>
        <v>4.4801980198019807E-2</v>
      </c>
      <c r="K107" s="1127">
        <f>0.4525/K101</f>
        <v>4.4801980198019807E-2</v>
      </c>
      <c r="L107" s="1127">
        <f>0.4525/L101</f>
        <v>4.4801980198019807E-2</v>
      </c>
      <c r="M107" s="1127">
        <f>0.4525/M101</f>
        <v>4.4801980198019807E-2</v>
      </c>
      <c r="N107" s="1127">
        <f>0.4525/N101</f>
        <v>4.4801980198019807E-2</v>
      </c>
    </row>
    <row r="108" spans="1:14">
      <c r="A108" s="3586"/>
      <c r="B108" s="3588" t="s">
        <v>1629</v>
      </c>
      <c r="C108" s="1128">
        <f>C99</f>
        <v>1</v>
      </c>
      <c r="D108" s="1128">
        <f t="shared" ref="D108:N108" si="33">D99</f>
        <v>1</v>
      </c>
      <c r="E108" s="1128">
        <f t="shared" si="33"/>
        <v>1</v>
      </c>
      <c r="F108" s="1128">
        <f t="shared" si="33"/>
        <v>1</v>
      </c>
      <c r="G108" s="1128">
        <f t="shared" si="33"/>
        <v>1</v>
      </c>
      <c r="H108" s="1128">
        <f t="shared" si="33"/>
        <v>1</v>
      </c>
      <c r="I108" s="1128">
        <f t="shared" si="33"/>
        <v>1</v>
      </c>
      <c r="J108" s="1128">
        <f t="shared" si="33"/>
        <v>1</v>
      </c>
      <c r="K108" s="1128">
        <f t="shared" si="33"/>
        <v>1</v>
      </c>
      <c r="L108" s="1128">
        <f t="shared" si="33"/>
        <v>1</v>
      </c>
      <c r="M108" s="1128">
        <f t="shared" si="33"/>
        <v>1</v>
      </c>
      <c r="N108" s="1128">
        <f t="shared" si="33"/>
        <v>1</v>
      </c>
    </row>
    <row r="109" spans="1:14">
      <c r="A109" s="3587"/>
      <c r="B109" s="3589"/>
      <c r="C109" s="1129">
        <f>(-0.163*(C108^2)-0.59*C108+7617)*(10^(-4))/C101</f>
        <v>7.5408386138613864E-2</v>
      </c>
      <c r="D109" s="1129">
        <f>(-0.163*(D108^2)-0.59*D108+7617)*(10^(-4))/D101</f>
        <v>7.5408386138613864E-2</v>
      </c>
      <c r="E109" s="1129">
        <f>(-0.161*(E108^2)-7.509*E108+6533)*(10^(-4))/E101</f>
        <v>6.4607227722772276E-2</v>
      </c>
      <c r="F109" s="1129">
        <f>(-0.161*(F108^2)-7.509*F108+6533)*(10^(-4))/F101</f>
        <v>6.4607227722772276E-2</v>
      </c>
      <c r="G109" s="1129">
        <f>(-0.161*(G108^2)-7.509*G108+6533)*(10^(-4))/G101</f>
        <v>6.4607227722772276E-2</v>
      </c>
      <c r="H109" s="1129">
        <f>(-0.161*(H108^2)-7.509*H108+6533)*(10^(-4))/H101</f>
        <v>6.4607227722772276E-2</v>
      </c>
      <c r="I109" s="1129">
        <f>(-0.161*(I108^2)-7.509*I108+6533)*(10^(-4))/I101</f>
        <v>6.4607227722772276E-2</v>
      </c>
      <c r="J109" s="1129">
        <f>(-0.214*(J108^2)-21.991*J108+4665)*(10^(-4))/J101</f>
        <v>4.5968267326732676E-2</v>
      </c>
      <c r="K109" s="1129">
        <f>(-0.214*(K108^2)-21.991*K108+4665)*(10^(-4))/K101</f>
        <v>4.5968267326732676E-2</v>
      </c>
      <c r="L109" s="1129">
        <f>(-0.214*(L108^2)-21.991*L108+4665)*(10^(-4))/L101</f>
        <v>4.5968267326732676E-2</v>
      </c>
      <c r="M109" s="1129">
        <f>(-0.214*(M108^2)-21.991*M108+4665)*(10^(-4))/M101</f>
        <v>4.5968267326732676E-2</v>
      </c>
      <c r="N109" s="1129">
        <f>(-0.214*(N108^2)-21.991*N108+4665)*(10^(-4))/N101</f>
        <v>4.5968267326732676E-2</v>
      </c>
    </row>
    <row r="110" spans="1:14">
      <c r="A110" s="3571" t="s">
        <v>1630</v>
      </c>
      <c r="B110" s="3571"/>
      <c r="C110" s="3571"/>
      <c r="D110" s="3571"/>
      <c r="E110" s="3571"/>
      <c r="F110" s="3571"/>
      <c r="G110" s="3571"/>
      <c r="H110" s="3571"/>
      <c r="I110" s="3571"/>
      <c r="J110" s="3571"/>
      <c r="K110" s="2303"/>
      <c r="L110" s="2303"/>
      <c r="M110" s="2303"/>
      <c r="N110" s="2303"/>
    </row>
    <row r="112" spans="1:14" ht="12.75" thickBot="1"/>
    <row r="113" spans="1:13" ht="25.5" thickBot="1">
      <c r="A113" s="1003" t="s">
        <v>887</v>
      </c>
      <c r="B113" s="2306">
        <f>G3</f>
        <v>10.1</v>
      </c>
      <c r="C113" s="1004" t="s">
        <v>888</v>
      </c>
      <c r="D113" s="1005">
        <f>SUMPRODUCT((A115:A118=F113)*(B114:M114=H113)*B115:M118)</f>
        <v>0.83860000000000001</v>
      </c>
      <c r="E113" s="1006" t="s">
        <v>889</v>
      </c>
      <c r="F113" s="1007" t="str">
        <f>E2</f>
        <v>商业</v>
      </c>
      <c r="G113" s="1006" t="s">
        <v>890</v>
      </c>
      <c r="H113" s="1007" t="str">
        <f>G2</f>
        <v>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0.83860000000000001</v>
      </c>
      <c r="C115" s="1017">
        <f>B115</f>
        <v>0.83860000000000001</v>
      </c>
      <c r="D115" s="1017">
        <f>ROUND(0.8331-0.0109*B113,4)</f>
        <v>0.72299999999999998</v>
      </c>
      <c r="E115" s="1017">
        <f>D115</f>
        <v>0.72299999999999998</v>
      </c>
      <c r="F115" s="1017">
        <f>E115</f>
        <v>0.72299999999999998</v>
      </c>
      <c r="G115" s="1017">
        <f>F115</f>
        <v>0.72299999999999998</v>
      </c>
      <c r="H115" s="1017">
        <f>G115</f>
        <v>0.72299999999999998</v>
      </c>
      <c r="I115" s="1017">
        <f>ROUND(0.689-0.0155*B113,4)</f>
        <v>0.53249999999999997</v>
      </c>
      <c r="J115" s="1017">
        <f t="shared" ref="J115:M118" si="34">I115</f>
        <v>0.53249999999999997</v>
      </c>
      <c r="K115" s="1017">
        <f t="shared" si="34"/>
        <v>0.53249999999999997</v>
      </c>
      <c r="L115" s="1017">
        <f t="shared" si="34"/>
        <v>0.53249999999999997</v>
      </c>
      <c r="M115" s="1018">
        <f t="shared" si="34"/>
        <v>0.53249999999999997</v>
      </c>
    </row>
    <row r="116" spans="1:13" ht="12.75">
      <c r="A116" s="1016" t="s">
        <v>892</v>
      </c>
      <c r="B116" s="1017">
        <f>ROUND(0.949-0.012*B113,4)</f>
        <v>0.82779999999999998</v>
      </c>
      <c r="C116" s="1017">
        <f>B116</f>
        <v>0.82779999999999998</v>
      </c>
      <c r="D116" s="1017">
        <f>ROUND(0.8567-0.013*B113,4)</f>
        <v>0.72540000000000004</v>
      </c>
      <c r="E116" s="1017">
        <f t="shared" ref="E116:H117" si="35">D116</f>
        <v>0.72540000000000004</v>
      </c>
      <c r="F116" s="1017">
        <f t="shared" si="35"/>
        <v>0.72540000000000004</v>
      </c>
      <c r="G116" s="1017">
        <f t="shared" si="35"/>
        <v>0.72540000000000004</v>
      </c>
      <c r="H116" s="1017">
        <f t="shared" si="35"/>
        <v>0.72540000000000004</v>
      </c>
      <c r="I116" s="1017">
        <f>ROUND(0.7694-0.014*B113,4)</f>
        <v>0.628</v>
      </c>
      <c r="J116" s="1017">
        <f t="shared" si="34"/>
        <v>0.628</v>
      </c>
      <c r="K116" s="1017">
        <f t="shared" si="34"/>
        <v>0.628</v>
      </c>
      <c r="L116" s="1017">
        <f t="shared" si="34"/>
        <v>0.628</v>
      </c>
      <c r="M116" s="1018">
        <f t="shared" si="34"/>
        <v>0.628</v>
      </c>
    </row>
    <row r="117" spans="1:13" ht="12.75">
      <c r="A117" s="1019" t="s">
        <v>893</v>
      </c>
      <c r="B117" s="1017">
        <f>ROUND(0.8808-0.006*B113,4)</f>
        <v>0.82020000000000004</v>
      </c>
      <c r="C117" s="1017">
        <f>B117</f>
        <v>0.82020000000000004</v>
      </c>
      <c r="D117" s="1017">
        <f>ROUND(0.8748-0.008*B113,4)</f>
        <v>0.79400000000000004</v>
      </c>
      <c r="E117" s="1017">
        <f t="shared" si="35"/>
        <v>0.79400000000000004</v>
      </c>
      <c r="F117" s="1017">
        <f t="shared" si="35"/>
        <v>0.79400000000000004</v>
      </c>
      <c r="G117" s="1017">
        <f t="shared" si="35"/>
        <v>0.79400000000000004</v>
      </c>
      <c r="H117" s="1017">
        <f t="shared" si="35"/>
        <v>0.79400000000000004</v>
      </c>
      <c r="I117" s="1017">
        <f>ROUND(0.7412-0.0095*B113,4)</f>
        <v>0.64529999999999998</v>
      </c>
      <c r="J117" s="1017">
        <f t="shared" si="34"/>
        <v>0.64529999999999998</v>
      </c>
      <c r="K117" s="1017">
        <f t="shared" si="34"/>
        <v>0.64529999999999998</v>
      </c>
      <c r="L117" s="1017">
        <f t="shared" si="34"/>
        <v>0.64529999999999998</v>
      </c>
      <c r="M117" s="1018">
        <f t="shared" si="34"/>
        <v>0.64529999999999998</v>
      </c>
    </row>
    <row r="118" spans="1:13" ht="13.5" thickBot="1">
      <c r="A118" s="1020" t="s">
        <v>894</v>
      </c>
      <c r="B118" s="1021">
        <f>ROUND(0.7275-0.01*B113,4)</f>
        <v>0.62649999999999995</v>
      </c>
      <c r="C118" s="1021">
        <f>B118</f>
        <v>0.62649999999999995</v>
      </c>
      <c r="D118" s="1021">
        <f>ROUND(0.7043-0.012*B113,4)</f>
        <v>0.58309999999999995</v>
      </c>
      <c r="E118" s="1021">
        <f>D118</f>
        <v>0.58309999999999995</v>
      </c>
      <c r="F118" s="1021">
        <f>E118</f>
        <v>0.58309999999999995</v>
      </c>
      <c r="G118" s="1021">
        <f>ROUND(0.6299-0.0122*B113,4)</f>
        <v>0.50670000000000004</v>
      </c>
      <c r="H118" s="1021">
        <f>G118</f>
        <v>0.50670000000000004</v>
      </c>
      <c r="I118" s="1021">
        <f>ROUND(0.5667-0.0136*B113,4)</f>
        <v>0.42930000000000001</v>
      </c>
      <c r="J118" s="1021">
        <f t="shared" si="34"/>
        <v>0.42930000000000001</v>
      </c>
      <c r="K118" s="1021">
        <f t="shared" si="34"/>
        <v>0.42930000000000001</v>
      </c>
      <c r="L118" s="1021">
        <f t="shared" si="34"/>
        <v>0.42930000000000001</v>
      </c>
      <c r="M118" s="1022">
        <f t="shared" si="34"/>
        <v>0.42930000000000001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2946</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29" customFormat="1" ht="19.5" customHeight="1">
      <c r="A18" s="3578" t="s">
        <v>998</v>
      </c>
      <c r="B18" s="1137" t="s">
        <v>1437</v>
      </c>
      <c r="C18" s="1114" t="s">
        <v>1438</v>
      </c>
      <c r="D18" s="1115"/>
      <c r="E18" s="1137">
        <v>1</v>
      </c>
      <c r="F18" s="1116" t="s">
        <v>1439</v>
      </c>
      <c r="G18" s="1117"/>
      <c r="H18" s="1088"/>
      <c r="I18" s="1088"/>
    </row>
    <row r="19" spans="1:9" s="1529" customFormat="1" ht="19.5" customHeight="1">
      <c r="A19" s="3578"/>
      <c r="B19" s="3578" t="s">
        <v>1440</v>
      </c>
      <c r="C19" s="1114" t="s">
        <v>1441</v>
      </c>
      <c r="D19" s="1115"/>
      <c r="E19" s="1137">
        <v>0.9</v>
      </c>
      <c r="F19" s="1116" t="s">
        <v>1442</v>
      </c>
      <c r="G19" s="1117"/>
      <c r="H19" s="1088"/>
      <c r="I19" s="1088"/>
    </row>
    <row r="20" spans="1:9" s="1529" customFormat="1" ht="19.5" customHeight="1">
      <c r="A20" s="3578"/>
      <c r="B20" s="3578"/>
      <c r="C20" s="1114" t="s">
        <v>1443</v>
      </c>
      <c r="D20" s="1115"/>
      <c r="E20" s="1137">
        <v>1.1000000000000001</v>
      </c>
      <c r="F20" s="1116" t="s">
        <v>1444</v>
      </c>
      <c r="G20" s="1117"/>
      <c r="H20" s="1088"/>
      <c r="I20" s="1088"/>
    </row>
    <row r="21" spans="1:9" s="1529" customFormat="1" ht="19.5" customHeight="1">
      <c r="A21" s="3578"/>
      <c r="B21" s="3578"/>
      <c r="C21" s="1114" t="s">
        <v>1445</v>
      </c>
      <c r="D21" s="1115"/>
      <c r="E21" s="1137">
        <v>0.8</v>
      </c>
      <c r="F21" s="1116" t="s">
        <v>1446</v>
      </c>
      <c r="G21" s="1117"/>
      <c r="H21" s="1088"/>
      <c r="I21" s="1088"/>
    </row>
    <row r="22" spans="1:9" s="1529" customFormat="1" ht="19.5" customHeight="1">
      <c r="A22" s="3578"/>
      <c r="B22" s="3578"/>
      <c r="C22" s="1114" t="s">
        <v>1447</v>
      </c>
      <c r="D22" s="1115"/>
      <c r="E22" s="1137">
        <v>0.5</v>
      </c>
      <c r="F22" s="1116"/>
      <c r="G22" s="1117"/>
      <c r="H22" s="1088"/>
      <c r="I22" s="1088"/>
    </row>
    <row r="23" spans="1:9" s="1529" customFormat="1" ht="19.5" customHeight="1">
      <c r="A23" s="3578" t="s">
        <v>1020</v>
      </c>
      <c r="B23" s="1137" t="s">
        <v>1437</v>
      </c>
      <c r="C23" s="1114" t="s">
        <v>1448</v>
      </c>
      <c r="D23" s="1115"/>
      <c r="E23" s="1137">
        <v>1</v>
      </c>
      <c r="F23" s="1116" t="s">
        <v>1449</v>
      </c>
      <c r="G23" s="1117"/>
      <c r="H23" s="1088"/>
      <c r="I23" s="1088"/>
    </row>
    <row r="24" spans="1:9" s="1529" customFormat="1" ht="19.5" customHeight="1">
      <c r="A24" s="3578"/>
      <c r="B24" s="3578" t="s">
        <v>1440</v>
      </c>
      <c r="C24" s="1114" t="s">
        <v>1450</v>
      </c>
      <c r="D24" s="1115"/>
      <c r="E24" s="1137">
        <v>0.5</v>
      </c>
      <c r="F24" s="1116"/>
      <c r="G24" s="1117"/>
      <c r="H24" s="1088"/>
      <c r="I24" s="1088"/>
    </row>
    <row r="25" spans="1:9" s="1529" customFormat="1" ht="19.5" customHeight="1">
      <c r="A25" s="3578"/>
      <c r="B25" s="3578"/>
      <c r="C25" s="1114" t="s">
        <v>1451</v>
      </c>
      <c r="D25" s="1115"/>
      <c r="E25" s="1137">
        <v>1.1000000000000001</v>
      </c>
      <c r="F25" s="1116"/>
      <c r="G25" s="1117"/>
      <c r="H25" s="1088"/>
      <c r="I25" s="1088"/>
    </row>
    <row r="26" spans="1:9" s="1529" customFormat="1" ht="19.5" customHeight="1">
      <c r="A26" s="3578"/>
      <c r="B26" s="3578"/>
      <c r="C26" s="1114" t="s">
        <v>1452</v>
      </c>
      <c r="D26" s="1115"/>
      <c r="E26" s="1137">
        <v>1.1000000000000001</v>
      </c>
      <c r="F26" s="1116"/>
      <c r="G26" s="1117"/>
      <c r="H26" s="1088"/>
      <c r="I26" s="1088"/>
    </row>
    <row r="27" spans="1:9" s="1529" customFormat="1" ht="19.5" customHeight="1">
      <c r="A27" s="3578"/>
      <c r="B27" s="3578"/>
      <c r="C27" s="1114" t="s">
        <v>1453</v>
      </c>
      <c r="D27" s="1115"/>
      <c r="E27" s="1137">
        <v>0.9</v>
      </c>
      <c r="F27" s="1116" t="s">
        <v>1454</v>
      </c>
      <c r="G27" s="1117"/>
      <c r="H27" s="1088"/>
      <c r="I27" s="1088"/>
    </row>
    <row r="28" spans="1:9" s="1529" customFormat="1" ht="19.5" customHeight="1">
      <c r="A28" s="3578"/>
      <c r="B28" s="3578"/>
      <c r="C28" s="1114" t="s">
        <v>1455</v>
      </c>
      <c r="D28" s="1115"/>
      <c r="E28" s="1137">
        <v>0.9</v>
      </c>
      <c r="F28" s="1116" t="s">
        <v>1456</v>
      </c>
      <c r="G28" s="1117"/>
      <c r="H28" s="1088"/>
      <c r="I28" s="1088"/>
    </row>
    <row r="29" spans="1:9" s="1529" customFormat="1" ht="19.5" customHeight="1">
      <c r="A29" s="3578"/>
      <c r="B29" s="3578"/>
      <c r="C29" s="1114" t="s">
        <v>1457</v>
      </c>
      <c r="D29" s="1115"/>
      <c r="E29" s="1137">
        <v>0.9</v>
      </c>
      <c r="F29" s="1116" t="s">
        <v>1458</v>
      </c>
      <c r="G29" s="1117"/>
      <c r="H29" s="1088"/>
      <c r="I29" s="1088"/>
    </row>
    <row r="30" spans="1:9" s="1529" customFormat="1" ht="19.5" customHeight="1">
      <c r="A30" s="3578"/>
      <c r="B30" s="3578"/>
      <c r="C30" s="1114" t="s">
        <v>1459</v>
      </c>
      <c r="D30" s="1115"/>
      <c r="E30" s="1137">
        <v>0.9</v>
      </c>
      <c r="F30" s="1116" t="s">
        <v>1460</v>
      </c>
      <c r="G30" s="1117"/>
      <c r="H30" s="1088"/>
      <c r="I30" s="1088"/>
    </row>
    <row r="31" spans="1:9" s="1529" customFormat="1" ht="19.5" customHeight="1">
      <c r="A31" s="3578"/>
      <c r="B31" s="3578"/>
      <c r="C31" s="1114" t="s">
        <v>1461</v>
      </c>
      <c r="D31" s="1115"/>
      <c r="E31" s="1137">
        <v>0.8</v>
      </c>
      <c r="F31" s="1116" t="s">
        <v>1462</v>
      </c>
      <c r="G31" s="1117"/>
      <c r="H31" s="1088"/>
      <c r="I31" s="1088"/>
    </row>
    <row r="32" spans="1:9" s="1529" customFormat="1" ht="19.5" customHeight="1">
      <c r="A32" s="3578"/>
      <c r="B32" s="3578"/>
      <c r="C32" s="1114" t="s">
        <v>1463</v>
      </c>
      <c r="D32" s="1115"/>
      <c r="E32" s="1137">
        <v>0.8</v>
      </c>
      <c r="F32" s="1116" t="s">
        <v>1464</v>
      </c>
      <c r="G32" s="1117"/>
      <c r="H32" s="1088"/>
      <c r="I32" s="1088"/>
    </row>
    <row r="33" spans="1:9" s="1529" customFormat="1" ht="19.5" customHeight="1">
      <c r="A33" s="3578" t="s">
        <v>1465</v>
      </c>
      <c r="B33" s="1137" t="s">
        <v>1437</v>
      </c>
      <c r="C33" s="1114" t="s">
        <v>1466</v>
      </c>
      <c r="D33" s="1115"/>
      <c r="E33" s="1137">
        <v>1</v>
      </c>
      <c r="F33" s="1116" t="s">
        <v>1467</v>
      </c>
      <c r="G33" s="1117"/>
      <c r="H33" s="1088"/>
      <c r="I33" s="1088"/>
    </row>
    <row r="34" spans="1:9" s="1529" customFormat="1" ht="19.5" customHeight="1">
      <c r="A34" s="3578"/>
      <c r="B34" s="1137" t="s">
        <v>1440</v>
      </c>
      <c r="C34" s="1114" t="s">
        <v>1468</v>
      </c>
      <c r="D34" s="1115"/>
      <c r="E34" s="1137">
        <v>1.5</v>
      </c>
      <c r="F34" s="1116" t="s">
        <v>1469</v>
      </c>
      <c r="G34" s="1117"/>
      <c r="H34" s="1088"/>
      <c r="I34" s="1088"/>
    </row>
    <row r="35" spans="1:9" s="1529" customFormat="1" ht="19.5" customHeight="1">
      <c r="A35" s="3578" t="s">
        <v>1423</v>
      </c>
      <c r="B35" s="1137" t="s">
        <v>1437</v>
      </c>
      <c r="C35" s="1114" t="s">
        <v>1470</v>
      </c>
      <c r="D35" s="1115"/>
      <c r="E35" s="1137">
        <v>1</v>
      </c>
      <c r="F35" s="1116" t="s">
        <v>1471</v>
      </c>
      <c r="G35" s="1117"/>
      <c r="H35" s="1088"/>
      <c r="I35" s="1088"/>
    </row>
    <row r="36" spans="1:9" s="1529" customFormat="1" ht="19.5" customHeight="1">
      <c r="A36" s="3578"/>
      <c r="B36" s="3578" t="s">
        <v>1440</v>
      </c>
      <c r="C36" s="1114" t="s">
        <v>1472</v>
      </c>
      <c r="D36" s="1115"/>
      <c r="E36" s="1137">
        <v>1</v>
      </c>
      <c r="F36" s="1116" t="s">
        <v>1473</v>
      </c>
      <c r="G36" s="1117"/>
      <c r="H36" s="1088"/>
      <c r="I36" s="1088"/>
    </row>
    <row r="37" spans="1:9" s="1529" customFormat="1" ht="19.5" customHeight="1">
      <c r="A37" s="3578"/>
      <c r="B37" s="3578"/>
      <c r="C37" s="1114" t="s">
        <v>1474</v>
      </c>
      <c r="D37" s="1115"/>
      <c r="E37" s="1137">
        <v>1.5</v>
      </c>
      <c r="F37" s="1116" t="s">
        <v>1475</v>
      </c>
      <c r="G37" s="1117"/>
      <c r="H37" s="1088"/>
      <c r="I37" s="1088"/>
    </row>
    <row r="38" spans="1:9" s="1529" customFormat="1" ht="19.5" customHeight="1">
      <c r="A38" s="3578"/>
      <c r="B38" s="3578"/>
      <c r="C38" s="1114" t="s">
        <v>1476</v>
      </c>
      <c r="D38" s="1115"/>
      <c r="E38" s="1137">
        <v>1</v>
      </c>
      <c r="F38" s="1116" t="s">
        <v>1477</v>
      </c>
      <c r="G38" s="1117"/>
      <c r="H38" s="1088"/>
      <c r="I38" s="1088"/>
    </row>
    <row r="39" spans="1:9" s="1529" customFormat="1" ht="19.5" customHeight="1">
      <c r="A39" s="3578"/>
      <c r="B39" s="3578"/>
      <c r="C39" s="1114" t="s">
        <v>1478</v>
      </c>
      <c r="D39" s="1115"/>
      <c r="E39" s="1137">
        <v>1</v>
      </c>
      <c r="F39" s="1116" t="s">
        <v>1479</v>
      </c>
      <c r="G39" s="1117"/>
      <c r="H39" s="1088"/>
      <c r="I39" s="1088"/>
    </row>
    <row r="40" spans="1:9" s="1529" customFormat="1" ht="19.5" customHeight="1">
      <c r="A40" s="1530" t="s">
        <v>1480</v>
      </c>
      <c r="B40" s="1530"/>
      <c r="C40" s="1530"/>
      <c r="D40" s="1530"/>
      <c r="E40" s="1530"/>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78" t="s">
        <v>1492</v>
      </c>
      <c r="C61" s="1051" t="s">
        <v>1493</v>
      </c>
      <c r="D61" s="1051" t="s">
        <v>1494</v>
      </c>
      <c r="E61" s="1122">
        <v>0.5</v>
      </c>
      <c r="F61" s="1137">
        <v>80</v>
      </c>
      <c r="H61" s="1088">
        <f>SUMIF(C59:C119,基准地价商业!C8,E59:E119)</f>
        <v>0.2</v>
      </c>
    </row>
    <row r="62" spans="1:8" s="1088" customFormat="1" ht="24">
      <c r="A62" s="1137">
        <v>2</v>
      </c>
      <c r="B62" s="3578"/>
      <c r="C62" s="1051" t="s">
        <v>1495</v>
      </c>
      <c r="D62" s="1051" t="s">
        <v>1496</v>
      </c>
      <c r="E62" s="1122">
        <v>0.5</v>
      </c>
      <c r="F62" s="1137">
        <v>80</v>
      </c>
    </row>
    <row r="63" spans="1:8" s="1088" customFormat="1" ht="36">
      <c r="A63" s="1137">
        <v>3</v>
      </c>
      <c r="B63" s="3578"/>
      <c r="C63" s="1051" t="s">
        <v>1497</v>
      </c>
      <c r="D63" s="1051" t="s">
        <v>1498</v>
      </c>
      <c r="E63" s="1122">
        <v>0.5</v>
      </c>
      <c r="F63" s="1137">
        <v>80</v>
      </c>
    </row>
    <row r="64" spans="1:8" s="1088" customFormat="1" ht="36">
      <c r="A64" s="1137">
        <v>4</v>
      </c>
      <c r="B64" s="3578"/>
      <c r="C64" s="1051" t="s">
        <v>1499</v>
      </c>
      <c r="D64" s="1051" t="s">
        <v>1500</v>
      </c>
      <c r="E64" s="1122">
        <v>0.4</v>
      </c>
      <c r="F64" s="1137">
        <v>60</v>
      </c>
    </row>
    <row r="65" spans="1:6" s="1088" customFormat="1" ht="36">
      <c r="A65" s="1137">
        <v>5</v>
      </c>
      <c r="B65" s="3578"/>
      <c r="C65" s="1051" t="s">
        <v>1501</v>
      </c>
      <c r="D65" s="1051" t="s">
        <v>1502</v>
      </c>
      <c r="E65" s="1122">
        <v>0.2</v>
      </c>
      <c r="F65" s="1137">
        <v>30</v>
      </c>
    </row>
    <row r="66" spans="1:6" s="1088" customFormat="1" ht="36">
      <c r="A66" s="1137">
        <v>6</v>
      </c>
      <c r="B66" s="3578"/>
      <c r="C66" s="1051" t="s">
        <v>1503</v>
      </c>
      <c r="D66" s="1051" t="s">
        <v>1504</v>
      </c>
      <c r="E66" s="1122">
        <v>0.3</v>
      </c>
      <c r="F66" s="1137">
        <v>50</v>
      </c>
    </row>
    <row r="67" spans="1:6" s="1088" customFormat="1" ht="36">
      <c r="A67" s="1137">
        <v>7</v>
      </c>
      <c r="B67" s="3578"/>
      <c r="C67" s="1051" t="s">
        <v>1505</v>
      </c>
      <c r="D67" s="1051" t="s">
        <v>1506</v>
      </c>
      <c r="E67" s="1122">
        <v>0.2</v>
      </c>
      <c r="F67" s="1137">
        <v>30</v>
      </c>
    </row>
    <row r="68" spans="1:6" s="1088" customFormat="1" ht="36">
      <c r="A68" s="1137">
        <v>8</v>
      </c>
      <c r="B68" s="3578"/>
      <c r="C68" s="1051" t="s">
        <v>1507</v>
      </c>
      <c r="D68" s="1051" t="s">
        <v>1508</v>
      </c>
      <c r="E68" s="1122">
        <v>0.2</v>
      </c>
      <c r="F68" s="1137">
        <v>30</v>
      </c>
    </row>
    <row r="69" spans="1:6" s="1088" customFormat="1" ht="36">
      <c r="A69" s="1137">
        <v>9</v>
      </c>
      <c r="B69" s="3578"/>
      <c r="C69" s="1051" t="s">
        <v>1509</v>
      </c>
      <c r="D69" s="1051" t="s">
        <v>1510</v>
      </c>
      <c r="E69" s="1122">
        <v>0.2</v>
      </c>
      <c r="F69" s="1137">
        <v>30</v>
      </c>
    </row>
    <row r="70" spans="1:6" s="1088" customFormat="1" ht="48">
      <c r="A70" s="1137">
        <v>10</v>
      </c>
      <c r="B70" s="3578"/>
      <c r="C70" s="1051" t="s">
        <v>1511</v>
      </c>
      <c r="D70" s="1051" t="s">
        <v>1512</v>
      </c>
      <c r="E70" s="1122">
        <v>0.2</v>
      </c>
      <c r="F70" s="1137">
        <v>30</v>
      </c>
    </row>
    <row r="71" spans="1:6" s="1088" customFormat="1" ht="48">
      <c r="A71" s="1137">
        <v>11</v>
      </c>
      <c r="B71" s="3578"/>
      <c r="C71" s="1051" t="s">
        <v>1513</v>
      </c>
      <c r="D71" s="1051" t="s">
        <v>1514</v>
      </c>
      <c r="E71" s="1122">
        <v>0.2</v>
      </c>
      <c r="F71" s="1137">
        <v>30</v>
      </c>
    </row>
    <row r="72" spans="1:6" s="1088" customFormat="1" ht="36">
      <c r="A72" s="1137">
        <v>12</v>
      </c>
      <c r="B72" s="3578"/>
      <c r="C72" s="1051" t="s">
        <v>1515</v>
      </c>
      <c r="D72" s="1051" t="s">
        <v>1516</v>
      </c>
      <c r="E72" s="1122">
        <v>0.5</v>
      </c>
      <c r="F72" s="1137">
        <v>80</v>
      </c>
    </row>
    <row r="73" spans="1:6" s="1088" customFormat="1" ht="24">
      <c r="A73" s="1137">
        <v>13</v>
      </c>
      <c r="B73" s="3578"/>
      <c r="C73" s="1051" t="s">
        <v>1517</v>
      </c>
      <c r="D73" s="1051" t="s">
        <v>1518</v>
      </c>
      <c r="E73" s="1122">
        <v>0.4</v>
      </c>
      <c r="F73" s="1137">
        <v>60</v>
      </c>
    </row>
    <row r="74" spans="1:6" s="1088" customFormat="1" ht="24">
      <c r="A74" s="1137">
        <v>14</v>
      </c>
      <c r="B74" s="3578"/>
      <c r="C74" s="1051" t="s">
        <v>1519</v>
      </c>
      <c r="D74" s="1051" t="s">
        <v>1520</v>
      </c>
      <c r="E74" s="1122">
        <v>0.2</v>
      </c>
      <c r="F74" s="1137">
        <v>30</v>
      </c>
    </row>
    <row r="75" spans="1:6" s="1088" customFormat="1" ht="24">
      <c r="A75" s="1137">
        <v>15</v>
      </c>
      <c r="B75" s="3578"/>
      <c r="C75" s="1051" t="s">
        <v>1521</v>
      </c>
      <c r="D75" s="1051" t="s">
        <v>1522</v>
      </c>
      <c r="E75" s="1122">
        <v>0.2</v>
      </c>
      <c r="F75" s="1137">
        <v>30</v>
      </c>
    </row>
    <row r="76" spans="1:6" s="1088" customFormat="1" ht="24">
      <c r="A76" s="1137">
        <v>16</v>
      </c>
      <c r="B76" s="3578" t="s">
        <v>1523</v>
      </c>
      <c r="C76" s="1051" t="s">
        <v>1524</v>
      </c>
      <c r="D76" s="1051" t="s">
        <v>1525</v>
      </c>
      <c r="E76" s="1122">
        <v>0.5</v>
      </c>
      <c r="F76" s="1137">
        <v>80</v>
      </c>
    </row>
    <row r="77" spans="1:6" s="1088" customFormat="1" ht="24">
      <c r="A77" s="1137">
        <v>17</v>
      </c>
      <c r="B77" s="3578"/>
      <c r="C77" s="1051" t="s">
        <v>1526</v>
      </c>
      <c r="D77" s="1051" t="s">
        <v>1527</v>
      </c>
      <c r="E77" s="1122">
        <v>0.5</v>
      </c>
      <c r="F77" s="1137">
        <v>80</v>
      </c>
    </row>
    <row r="78" spans="1:6" s="1088" customFormat="1" ht="24">
      <c r="A78" s="1137">
        <v>18</v>
      </c>
      <c r="B78" s="3578"/>
      <c r="C78" s="1051" t="s">
        <v>1528</v>
      </c>
      <c r="D78" s="1051" t="s">
        <v>1529</v>
      </c>
      <c r="E78" s="1122">
        <v>0.2</v>
      </c>
      <c r="F78" s="1137">
        <v>30</v>
      </c>
    </row>
    <row r="79" spans="1:6" s="1088" customFormat="1" ht="24">
      <c r="A79" s="1137">
        <v>19</v>
      </c>
      <c r="B79" s="3578"/>
      <c r="C79" s="1051" t="s">
        <v>1530</v>
      </c>
      <c r="D79" s="1051" t="s">
        <v>1531</v>
      </c>
      <c r="E79" s="1122">
        <v>0.5</v>
      </c>
      <c r="F79" s="1137">
        <v>80</v>
      </c>
    </row>
    <row r="80" spans="1:6" s="1088" customFormat="1" ht="36">
      <c r="A80" s="1137">
        <v>20</v>
      </c>
      <c r="B80" s="3578"/>
      <c r="C80" s="1051" t="s">
        <v>1532</v>
      </c>
      <c r="D80" s="1051" t="s">
        <v>1533</v>
      </c>
      <c r="E80" s="1122">
        <v>0.2</v>
      </c>
      <c r="F80" s="1137">
        <v>30</v>
      </c>
    </row>
    <row r="81" spans="1:6" s="1088" customFormat="1" ht="36">
      <c r="A81" s="1137">
        <v>21</v>
      </c>
      <c r="B81" s="3578"/>
      <c r="C81" s="1051" t="s">
        <v>1534</v>
      </c>
      <c r="D81" s="1051" t="s">
        <v>1535</v>
      </c>
      <c r="E81" s="1122">
        <v>0.2</v>
      </c>
      <c r="F81" s="1137">
        <v>30</v>
      </c>
    </row>
    <row r="82" spans="1:6" s="1088" customFormat="1" ht="48">
      <c r="A82" s="1137">
        <v>22</v>
      </c>
      <c r="B82" s="3578"/>
      <c r="C82" s="1051" t="s">
        <v>1536</v>
      </c>
      <c r="D82" s="1051" t="s">
        <v>1537</v>
      </c>
      <c r="E82" s="1122">
        <v>0.2</v>
      </c>
      <c r="F82" s="1137">
        <v>30</v>
      </c>
    </row>
    <row r="83" spans="1:6" s="1088" customFormat="1" ht="48">
      <c r="A83" s="1137">
        <v>23</v>
      </c>
      <c r="B83" s="3578"/>
      <c r="C83" s="1051" t="s">
        <v>1538</v>
      </c>
      <c r="D83" s="1051" t="s">
        <v>1539</v>
      </c>
      <c r="E83" s="1122">
        <v>0.2</v>
      </c>
      <c r="F83" s="1137">
        <v>30</v>
      </c>
    </row>
    <row r="84" spans="1:6" s="1088" customFormat="1" ht="36">
      <c r="A84" s="1137">
        <v>24</v>
      </c>
      <c r="B84" s="3578"/>
      <c r="C84" s="1051" t="s">
        <v>1540</v>
      </c>
      <c r="D84" s="1051" t="s">
        <v>1541</v>
      </c>
      <c r="E84" s="1122">
        <v>0.2</v>
      </c>
      <c r="F84" s="1137">
        <v>30</v>
      </c>
    </row>
    <row r="85" spans="1:6" s="1088" customFormat="1" ht="36">
      <c r="A85" s="1137">
        <v>25</v>
      </c>
      <c r="B85" s="3578"/>
      <c r="C85" s="1051" t="s">
        <v>1542</v>
      </c>
      <c r="D85" s="1051" t="s">
        <v>1543</v>
      </c>
      <c r="E85" s="1122">
        <v>0.5</v>
      </c>
      <c r="F85" s="1137">
        <v>80</v>
      </c>
    </row>
    <row r="86" spans="1:6" s="1088" customFormat="1" ht="36">
      <c r="A86" s="1137">
        <v>26</v>
      </c>
      <c r="B86" s="3578"/>
      <c r="C86" s="1051" t="s">
        <v>1544</v>
      </c>
      <c r="D86" s="1051" t="s">
        <v>1545</v>
      </c>
      <c r="E86" s="1122">
        <v>0.2</v>
      </c>
      <c r="F86" s="1137">
        <v>30</v>
      </c>
    </row>
    <row r="87" spans="1:6" s="1088" customFormat="1" ht="36">
      <c r="A87" s="1137">
        <v>27</v>
      </c>
      <c r="B87" s="3578"/>
      <c r="C87" s="1051" t="s">
        <v>1546</v>
      </c>
      <c r="D87" s="1051" t="s">
        <v>1547</v>
      </c>
      <c r="E87" s="1122">
        <v>0.2</v>
      </c>
      <c r="F87" s="1137">
        <v>30</v>
      </c>
    </row>
    <row r="88" spans="1:6" s="1088" customFormat="1" ht="36">
      <c r="A88" s="1137">
        <v>28</v>
      </c>
      <c r="B88" s="3578"/>
      <c r="C88" s="1051" t="s">
        <v>1548</v>
      </c>
      <c r="D88" s="1051" t="s">
        <v>1549</v>
      </c>
      <c r="E88" s="1122">
        <v>0.2</v>
      </c>
      <c r="F88" s="1137">
        <v>30</v>
      </c>
    </row>
    <row r="89" spans="1:6" s="1088" customFormat="1" ht="24">
      <c r="A89" s="1137">
        <v>29</v>
      </c>
      <c r="B89" s="3578"/>
      <c r="C89" s="1051" t="s">
        <v>1550</v>
      </c>
      <c r="D89" s="1051" t="s">
        <v>1551</v>
      </c>
      <c r="E89" s="1122">
        <v>0.2</v>
      </c>
      <c r="F89" s="1137">
        <v>30</v>
      </c>
    </row>
    <row r="90" spans="1:6" s="1088" customFormat="1" ht="24">
      <c r="A90" s="1137">
        <v>30</v>
      </c>
      <c r="B90" s="3578"/>
      <c r="C90" s="1051" t="s">
        <v>1552</v>
      </c>
      <c r="D90" s="1051" t="s">
        <v>1553</v>
      </c>
      <c r="E90" s="1122">
        <v>0.2</v>
      </c>
      <c r="F90" s="1137">
        <v>30</v>
      </c>
    </row>
    <row r="91" spans="1:6" s="1088" customFormat="1" ht="36">
      <c r="A91" s="1137">
        <v>31</v>
      </c>
      <c r="B91" s="3578"/>
      <c r="C91" s="1051" t="s">
        <v>1554</v>
      </c>
      <c r="D91" s="1051" t="s">
        <v>1555</v>
      </c>
      <c r="E91" s="1122">
        <v>0.2</v>
      </c>
      <c r="F91" s="1137">
        <v>30</v>
      </c>
    </row>
    <row r="92" spans="1:6" s="1088" customFormat="1" ht="24">
      <c r="A92" s="1137">
        <v>32</v>
      </c>
      <c r="B92" s="3578" t="s">
        <v>1556</v>
      </c>
      <c r="C92" s="1137" t="s">
        <v>1557</v>
      </c>
      <c r="D92" s="1051" t="s">
        <v>1558</v>
      </c>
      <c r="E92" s="1122">
        <v>0.2</v>
      </c>
      <c r="F92" s="1137">
        <v>30</v>
      </c>
    </row>
    <row r="93" spans="1:6" s="1088" customFormat="1" ht="36">
      <c r="A93" s="1137">
        <v>33</v>
      </c>
      <c r="B93" s="3578"/>
      <c r="C93" s="1137" t="s">
        <v>1559</v>
      </c>
      <c r="D93" s="1051" t="s">
        <v>1560</v>
      </c>
      <c r="E93" s="1122">
        <v>0.2</v>
      </c>
      <c r="F93" s="1137">
        <v>30</v>
      </c>
    </row>
    <row r="94" spans="1:6" s="1088" customFormat="1" ht="48">
      <c r="A94" s="1137">
        <v>34</v>
      </c>
      <c r="B94" s="3578"/>
      <c r="C94" s="1137" t="s">
        <v>1561</v>
      </c>
      <c r="D94" s="1051" t="s">
        <v>1562</v>
      </c>
      <c r="E94" s="1122">
        <v>0.2</v>
      </c>
      <c r="F94" s="1137">
        <v>30</v>
      </c>
    </row>
    <row r="95" spans="1:6" s="1088" customFormat="1" ht="36">
      <c r="A95" s="1137">
        <v>35</v>
      </c>
      <c r="B95" s="3578"/>
      <c r="C95" s="1137" t="s">
        <v>1563</v>
      </c>
      <c r="D95" s="1051" t="s">
        <v>1564</v>
      </c>
      <c r="E95" s="1122">
        <v>0.2</v>
      </c>
      <c r="F95" s="1137">
        <v>30</v>
      </c>
    </row>
    <row r="96" spans="1:6" s="1088" customFormat="1" ht="48">
      <c r="A96" s="1137">
        <v>36</v>
      </c>
      <c r="B96" s="3578"/>
      <c r="C96" s="1051" t="s">
        <v>1565</v>
      </c>
      <c r="D96" s="1051" t="s">
        <v>1566</v>
      </c>
      <c r="E96" s="1122">
        <v>0.2</v>
      </c>
      <c r="F96" s="1137">
        <v>30</v>
      </c>
    </row>
    <row r="97" spans="1:6" s="1088" customFormat="1" ht="36">
      <c r="A97" s="1137">
        <v>37</v>
      </c>
      <c r="B97" s="3578"/>
      <c r="C97" s="1137" t="s">
        <v>1567</v>
      </c>
      <c r="D97" s="1051" t="s">
        <v>1568</v>
      </c>
      <c r="E97" s="1122">
        <v>0.2</v>
      </c>
      <c r="F97" s="1137">
        <v>30</v>
      </c>
    </row>
    <row r="98" spans="1:6" s="1088" customFormat="1" ht="36">
      <c r="A98" s="1137">
        <v>38</v>
      </c>
      <c r="B98" s="3578"/>
      <c r="C98" s="1137" t="s">
        <v>1569</v>
      </c>
      <c r="D98" s="1051" t="s">
        <v>1570</v>
      </c>
      <c r="E98" s="1122">
        <v>0.2</v>
      </c>
      <c r="F98" s="1137">
        <v>30</v>
      </c>
    </row>
    <row r="99" spans="1:6" s="1088" customFormat="1" ht="36">
      <c r="A99" s="1137">
        <v>39</v>
      </c>
      <c r="B99" s="3578" t="s">
        <v>1571</v>
      </c>
      <c r="C99" s="1137" t="s">
        <v>1572</v>
      </c>
      <c r="D99" s="1051" t="s">
        <v>1573</v>
      </c>
      <c r="E99" s="1122">
        <v>0.3</v>
      </c>
      <c r="F99" s="1137">
        <v>50</v>
      </c>
    </row>
    <row r="100" spans="1:6" s="1088" customFormat="1" ht="24">
      <c r="A100" s="1137">
        <v>40</v>
      </c>
      <c r="B100" s="3578"/>
      <c r="C100" s="1137" t="s">
        <v>1574</v>
      </c>
      <c r="D100" s="1051" t="s">
        <v>1575</v>
      </c>
      <c r="E100" s="1122">
        <v>0.2</v>
      </c>
      <c r="F100" s="1137">
        <v>30</v>
      </c>
    </row>
    <row r="101" spans="1:6" s="1088" customFormat="1" ht="36">
      <c r="A101" s="1137">
        <v>41</v>
      </c>
      <c r="B101" s="357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78" t="s">
        <v>1586</v>
      </c>
      <c r="C105" s="1137" t="s">
        <v>1587</v>
      </c>
      <c r="D105" s="1051" t="s">
        <v>1588</v>
      </c>
      <c r="E105" s="1122">
        <v>0.2</v>
      </c>
      <c r="F105" s="1137">
        <v>30</v>
      </c>
    </row>
    <row r="106" spans="1:6" s="1088" customFormat="1" ht="36">
      <c r="A106" s="1137">
        <v>46</v>
      </c>
      <c r="B106" s="3578"/>
      <c r="C106" s="1137" t="s">
        <v>1589</v>
      </c>
      <c r="D106" s="1051" t="s">
        <v>1590</v>
      </c>
      <c r="E106" s="1122">
        <v>0.2</v>
      </c>
      <c r="F106" s="1137">
        <v>30</v>
      </c>
    </row>
    <row r="107" spans="1:6" s="1088" customFormat="1" ht="36">
      <c r="A107" s="1137">
        <v>47</v>
      </c>
      <c r="B107" s="3578" t="s">
        <v>1591</v>
      </c>
      <c r="C107" s="1137" t="s">
        <v>1592</v>
      </c>
      <c r="D107" s="1051" t="s">
        <v>1593</v>
      </c>
      <c r="E107" s="1122">
        <v>0.3</v>
      </c>
      <c r="F107" s="1137">
        <v>50</v>
      </c>
    </row>
    <row r="108" spans="1:6" s="1088" customFormat="1" ht="36">
      <c r="A108" s="1137">
        <v>48</v>
      </c>
      <c r="B108" s="357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78" t="s">
        <v>1602</v>
      </c>
      <c r="C111" s="1137" t="s">
        <v>1603</v>
      </c>
      <c r="D111" s="1051" t="s">
        <v>1604</v>
      </c>
      <c r="E111" s="1122">
        <v>0.2</v>
      </c>
      <c r="F111" s="1137">
        <v>30</v>
      </c>
    </row>
    <row r="112" spans="1:6" s="1088" customFormat="1" ht="24">
      <c r="A112" s="1137">
        <v>52</v>
      </c>
      <c r="B112" s="3578"/>
      <c r="C112" s="1137" t="s">
        <v>1605</v>
      </c>
      <c r="D112" s="1051" t="s">
        <v>1606</v>
      </c>
      <c r="E112" s="1122">
        <v>0.2</v>
      </c>
      <c r="F112" s="1137">
        <v>30</v>
      </c>
    </row>
    <row r="113" spans="1:14" s="1088" customFormat="1" ht="24">
      <c r="A113" s="1137">
        <v>53</v>
      </c>
      <c r="B113" s="357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78" t="s">
        <v>1615</v>
      </c>
      <c r="C116" s="1137" t="s">
        <v>1616</v>
      </c>
      <c r="D116" s="1051" t="s">
        <v>1617</v>
      </c>
      <c r="E116" s="1122">
        <v>0.2</v>
      </c>
      <c r="F116" s="1137">
        <v>30</v>
      </c>
    </row>
    <row r="117" spans="1:14" ht="36">
      <c r="A117" s="1137">
        <v>57</v>
      </c>
      <c r="B117" s="357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77" t="s">
        <v>1624</v>
      </c>
      <c r="B121" s="3577"/>
      <c r="C121" s="3577"/>
      <c r="D121" s="3577"/>
      <c r="E121" s="3577"/>
      <c r="F121" s="3577"/>
      <c r="G121" s="3577"/>
      <c r="H121" s="3577"/>
      <c r="I121" s="3577"/>
      <c r="J121" s="357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92" t="s">
        <v>1030</v>
      </c>
      <c r="B1" s="3592"/>
      <c r="C1" s="3592"/>
      <c r="D1" s="3592"/>
      <c r="E1" s="3592"/>
      <c r="F1" s="359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93" t="s">
        <v>1043</v>
      </c>
      <c r="B2" s="3593"/>
      <c r="C2" s="3593"/>
      <c r="D2" s="3593"/>
      <c r="E2" s="3593"/>
      <c r="F2" s="359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9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9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SUMPRODUCT((B5:B9=基准地价商业!I2)*(C3:F3=基准地价商业!E2)*(C5:F9))</f>
        <v>30890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SUMPRODUCT((B10:B28=基准地价商业!I2)*(C3:F3=基准地价商业!E2)*(C10:F28))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SUMPRODUCT((B29:B48=基准地价商业!I2)*(C3:F3=基准地价商业!E2)*(C29:F48))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SUMPRODUCT((B49:B75=基准地价商业!I2)*(C3:F3=基准地价商业!E2)*(C49:F75))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SUMPRODUCT((B76:B109=基准地价商业!I2)*(C3:F3=基准地价商业!E2)*(C76:F109))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SUMPRODUCT((B110:B157=基准地价商业!I2)*(C3:F3=基准地价商业!E2)*(C110:F157))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SUMPRODUCT((B158:B205=基准地价商业!I2)*(C3:F3=基准地价商业!E2)*(C158:F205))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SUMPRODUCT((B206:B244=基准地价商业!I2)*(C3:F3=基准地价商业!E2)*(C206:F244))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SUMPRODUCT((B245:B289=基准地价商业!I2)*(C3:F3=基准地价商业!E2)*(C245:F289))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SUMPRODUCT((B290:B316=基准地价商业!I2)*(C3:F3=基准地价商业!E2)*(C290:F316))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SUMPRODUCT((B317:B337=基准地价商业!I2)*(C3:F3=基准地价商业!E2)*(C317:F337))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SUMPRODUCT((B338:B344=基准地价商业!I2)*(C3:F3=基准地价商业!E2)*(C338:F344))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2405</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2406</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SUMPRODUCT((A105:A204=ROUNDDOWN(基准地价商业!G3,1))*(B104:M104=基准地价商业!G2)*(B105:M204))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96" t="s">
        <v>2066</v>
      </c>
      <c r="B1" s="3596"/>
    </row>
    <row r="2" spans="1:6" ht="14.25" thickBot="1">
      <c r="A2" s="1765"/>
      <c r="B2" s="1765"/>
    </row>
    <row r="3" spans="1:6" ht="14.25" thickBot="1">
      <c r="A3" s="1765"/>
      <c r="B3" s="1765"/>
      <c r="C3" s="1766" t="s">
        <v>2067</v>
      </c>
      <c r="D3" s="1766" t="s">
        <v>2068</v>
      </c>
      <c r="E3" s="1766" t="s">
        <v>2069</v>
      </c>
      <c r="F3" s="1766" t="s">
        <v>2070</v>
      </c>
    </row>
    <row r="4" spans="1:6" ht="14.25" thickBot="1">
      <c r="A4" s="1767" t="s">
        <v>2071</v>
      </c>
      <c r="B4" s="1768" t="s">
        <v>2072</v>
      </c>
      <c r="C4" s="1766"/>
      <c r="D4" s="1766"/>
      <c r="E4" s="1766"/>
      <c r="F4" s="1766"/>
    </row>
    <row r="5" spans="1:6" ht="14.25" thickBot="1">
      <c r="A5" s="1769" t="s">
        <v>2073</v>
      </c>
      <c r="B5" s="1770" t="s">
        <v>2074</v>
      </c>
      <c r="C5" s="1771">
        <v>8.8999999999999996E-2</v>
      </c>
      <c r="D5" s="1771">
        <v>7.3999999999999996E-2</v>
      </c>
      <c r="E5" s="1771">
        <v>7.4999999999999997E-2</v>
      </c>
      <c r="F5" s="1772">
        <v>0.1</v>
      </c>
    </row>
    <row r="6" spans="1:6" ht="14.25" thickBot="1">
      <c r="A6" s="1769" t="s">
        <v>1087</v>
      </c>
      <c r="B6" s="1773" t="s">
        <v>2075</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2076</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2077</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2078</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2079</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2080</v>
      </c>
      <c r="C72" s="1783"/>
      <c r="D72" s="1783"/>
      <c r="E72" s="1783"/>
      <c r="F72" s="1775">
        <v>0.05</v>
      </c>
    </row>
    <row r="73" spans="1:6" ht="14.25" thickBot="1">
      <c r="A73" s="1769" t="s">
        <v>916</v>
      </c>
      <c r="B73" s="1773" t="s">
        <v>2081</v>
      </c>
      <c r="C73" s="1783"/>
      <c r="D73" s="1783"/>
      <c r="E73" s="1783"/>
      <c r="F73" s="1775">
        <v>0.05</v>
      </c>
    </row>
    <row r="74" spans="1:6" ht="14.25" thickBot="1">
      <c r="A74" s="1769" t="s">
        <v>916</v>
      </c>
      <c r="B74" s="1773" t="s">
        <v>2082</v>
      </c>
      <c r="C74" s="1783"/>
      <c r="D74" s="1783"/>
      <c r="E74" s="1783"/>
      <c r="F74" s="1775">
        <v>0.05</v>
      </c>
    </row>
    <row r="75" spans="1:6" ht="14.25" thickBot="1">
      <c r="A75" s="1777" t="s">
        <v>916</v>
      </c>
      <c r="B75" s="1784" t="s">
        <v>2083</v>
      </c>
      <c r="C75" s="1780"/>
      <c r="D75" s="1780"/>
      <c r="E75" s="1780"/>
      <c r="F75" s="1785">
        <v>0.05</v>
      </c>
    </row>
    <row r="76" spans="1:6" ht="14.25" thickBot="1">
      <c r="A76" s="1769" t="s">
        <v>1398</v>
      </c>
      <c r="B76" s="1770" t="s">
        <v>2084</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2085</v>
      </c>
      <c r="C102" s="1783"/>
      <c r="D102" s="1783"/>
      <c r="E102" s="1783"/>
      <c r="F102" s="1775">
        <v>0.05</v>
      </c>
    </row>
    <row r="103" spans="1:6" ht="24.75" thickBot="1">
      <c r="A103" s="1769" t="s">
        <v>1398</v>
      </c>
      <c r="B103" s="1773" t="s">
        <v>2086</v>
      </c>
      <c r="C103" s="1783"/>
      <c r="D103" s="1783"/>
      <c r="E103" s="1783"/>
      <c r="F103" s="1775">
        <v>0.05</v>
      </c>
    </row>
    <row r="104" spans="1:6" ht="14.25" thickBot="1">
      <c r="A104" s="1769" t="s">
        <v>1398</v>
      </c>
      <c r="B104" s="1773" t="s">
        <v>2087</v>
      </c>
      <c r="C104" s="1783"/>
      <c r="D104" s="1783"/>
      <c r="E104" s="1783"/>
      <c r="F104" s="1775">
        <v>0.05</v>
      </c>
    </row>
    <row r="105" spans="1:6" ht="14.25" thickBot="1">
      <c r="A105" s="1769" t="s">
        <v>1398</v>
      </c>
      <c r="B105" s="1773" t="s">
        <v>2088</v>
      </c>
      <c r="C105" s="1783"/>
      <c r="D105" s="1783"/>
      <c r="E105" s="1783"/>
      <c r="F105" s="1775">
        <v>0.05</v>
      </c>
    </row>
    <row r="106" spans="1:6" ht="14.25" thickBot="1">
      <c r="A106" s="1769" t="s">
        <v>1398</v>
      </c>
      <c r="B106" s="1773" t="s">
        <v>2089</v>
      </c>
      <c r="C106" s="1783"/>
      <c r="D106" s="1783"/>
      <c r="E106" s="1783"/>
      <c r="F106" s="1775">
        <v>0.05</v>
      </c>
    </row>
    <row r="107" spans="1:6" ht="24.75" thickBot="1">
      <c r="A107" s="1769" t="s">
        <v>1398</v>
      </c>
      <c r="B107" s="1773" t="s">
        <v>2090</v>
      </c>
      <c r="C107" s="1783"/>
      <c r="D107" s="1783"/>
      <c r="E107" s="1783"/>
      <c r="F107" s="1775">
        <v>0.05</v>
      </c>
    </row>
    <row r="108" spans="1:6" ht="24.75" thickBot="1">
      <c r="A108" s="1769" t="s">
        <v>1398</v>
      </c>
      <c r="B108" s="1773" t="s">
        <v>2091</v>
      </c>
      <c r="C108" s="1783"/>
      <c r="D108" s="1783"/>
      <c r="E108" s="1783"/>
      <c r="F108" s="1775">
        <v>0.05</v>
      </c>
    </row>
    <row r="109" spans="1:6" ht="24.75" thickBot="1">
      <c r="A109" s="1777" t="s">
        <v>1398</v>
      </c>
      <c r="B109" s="1784" t="s">
        <v>2092</v>
      </c>
      <c r="C109" s="1780"/>
      <c r="D109" s="1780"/>
      <c r="E109" s="1780"/>
      <c r="F109" s="1785">
        <v>0.05</v>
      </c>
    </row>
    <row r="110" spans="1:6" ht="14.25" thickBot="1">
      <c r="A110" s="1769" t="s">
        <v>1400</v>
      </c>
      <c r="B110" s="1770" t="s">
        <v>2093</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2094</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2095</v>
      </c>
      <c r="C138" s="1774">
        <v>0.105</v>
      </c>
      <c r="D138" s="1774">
        <v>0.125</v>
      </c>
      <c r="E138" s="1774">
        <v>0.112</v>
      </c>
      <c r="F138" s="1782"/>
    </row>
    <row r="139" spans="1:6" ht="14.25" thickBot="1">
      <c r="A139" s="1769" t="s">
        <v>1400</v>
      </c>
      <c r="B139" s="1773" t="s">
        <v>2096</v>
      </c>
      <c r="C139" s="1774">
        <v>0.127</v>
      </c>
      <c r="D139" s="1774">
        <v>0.127</v>
      </c>
      <c r="E139" s="1774">
        <v>0.122</v>
      </c>
      <c r="F139" s="1775">
        <v>0.13</v>
      </c>
    </row>
    <row r="140" spans="1:6" ht="14.25" thickBot="1">
      <c r="A140" s="1769" t="s">
        <v>1400</v>
      </c>
      <c r="B140" s="1773" t="s">
        <v>2097</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2098</v>
      </c>
      <c r="C144" s="1787">
        <v>0.126</v>
      </c>
      <c r="D144" s="1787">
        <v>0.126</v>
      </c>
      <c r="E144" s="1787">
        <v>0.121</v>
      </c>
      <c r="F144" s="1782"/>
    </row>
    <row r="145" spans="1:6" ht="14.25" thickBot="1">
      <c r="A145" s="1777" t="s">
        <v>1400</v>
      </c>
      <c r="B145" s="1788" t="s">
        <v>2099</v>
      </c>
      <c r="C145" s="1789"/>
      <c r="D145" s="1789"/>
      <c r="E145" s="1789"/>
      <c r="F145" s="1790">
        <v>0.05</v>
      </c>
    </row>
    <row r="146" spans="1:6" ht="24.75" thickBot="1">
      <c r="A146" s="1791" t="s">
        <v>1400</v>
      </c>
      <c r="B146" s="1776" t="s">
        <v>2100</v>
      </c>
      <c r="C146" s="1783"/>
      <c r="D146" s="1783"/>
      <c r="E146" s="1783"/>
      <c r="F146" s="1792">
        <v>0.05</v>
      </c>
    </row>
    <row r="147" spans="1:6" ht="24.75" thickBot="1">
      <c r="A147" s="1769" t="s">
        <v>1400</v>
      </c>
      <c r="B147" s="1773" t="s">
        <v>2101</v>
      </c>
      <c r="C147" s="1783"/>
      <c r="D147" s="1783"/>
      <c r="E147" s="1783"/>
      <c r="F147" s="1775">
        <v>0.05</v>
      </c>
    </row>
    <row r="148" spans="1:6" ht="24.75" thickBot="1">
      <c r="A148" s="1769" t="s">
        <v>1400</v>
      </c>
      <c r="B148" s="1773" t="s">
        <v>2102</v>
      </c>
      <c r="C148" s="1783"/>
      <c r="D148" s="1783"/>
      <c r="E148" s="1783"/>
      <c r="F148" s="1775">
        <v>0.05</v>
      </c>
    </row>
    <row r="149" spans="1:6" ht="24.75" thickBot="1">
      <c r="A149" s="1769" t="s">
        <v>1400</v>
      </c>
      <c r="B149" s="1773" t="s">
        <v>2103</v>
      </c>
      <c r="C149" s="1783"/>
      <c r="D149" s="1783"/>
      <c r="E149" s="1783"/>
      <c r="F149" s="1775">
        <v>0.05</v>
      </c>
    </row>
    <row r="150" spans="1:6" ht="24.75" thickBot="1">
      <c r="A150" s="1769" t="s">
        <v>1400</v>
      </c>
      <c r="B150" s="1773" t="s">
        <v>2104</v>
      </c>
      <c r="C150" s="1783"/>
      <c r="D150" s="1783"/>
      <c r="E150" s="1783"/>
      <c r="F150" s="1775">
        <v>0.05</v>
      </c>
    </row>
    <row r="151" spans="1:6" ht="24.75" thickBot="1">
      <c r="A151" s="1769" t="s">
        <v>1400</v>
      </c>
      <c r="B151" s="1773" t="s">
        <v>2105</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2106</v>
      </c>
      <c r="C153" s="1783"/>
      <c r="D153" s="1783"/>
      <c r="E153" s="1783"/>
      <c r="F153" s="1775">
        <v>0.05</v>
      </c>
    </row>
    <row r="154" spans="1:6" ht="14.25" thickBot="1">
      <c r="A154" s="1769" t="s">
        <v>1400</v>
      </c>
      <c r="B154" s="1773" t="s">
        <v>2107</v>
      </c>
      <c r="C154" s="1783"/>
      <c r="D154" s="1783"/>
      <c r="E154" s="1783"/>
      <c r="F154" s="1775">
        <v>0.05</v>
      </c>
    </row>
    <row r="155" spans="1:6" ht="24.75" thickBot="1">
      <c r="A155" s="1769" t="s">
        <v>1400</v>
      </c>
      <c r="B155" s="1773" t="s">
        <v>2108</v>
      </c>
      <c r="C155" s="1783"/>
      <c r="D155" s="1783"/>
      <c r="E155" s="1783"/>
      <c r="F155" s="1775">
        <v>0.05</v>
      </c>
    </row>
    <row r="156" spans="1:6" ht="24.75" thickBot="1">
      <c r="A156" s="1769" t="s">
        <v>1400</v>
      </c>
      <c r="B156" s="1773" t="s">
        <v>2109</v>
      </c>
      <c r="C156" s="1783"/>
      <c r="D156" s="1783"/>
      <c r="E156" s="1783"/>
      <c r="F156" s="1775">
        <v>0.05</v>
      </c>
    </row>
    <row r="157" spans="1:6" ht="14.25" thickBot="1">
      <c r="A157" s="1777" t="s">
        <v>1400</v>
      </c>
      <c r="B157" s="1784" t="s">
        <v>2110</v>
      </c>
      <c r="C157" s="1780"/>
      <c r="D157" s="1780"/>
      <c r="E157" s="1780"/>
      <c r="F157" s="1785">
        <v>0.05</v>
      </c>
    </row>
    <row r="158" spans="1:6" ht="14.25" thickBot="1">
      <c r="A158" s="1769" t="s">
        <v>1402</v>
      </c>
      <c r="B158" s="1770" t="s">
        <v>2111</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2112</v>
      </c>
      <c r="C171" s="1774">
        <v>0.127</v>
      </c>
      <c r="D171" s="1774">
        <v>0.126</v>
      </c>
      <c r="E171" s="1774">
        <v>0.126</v>
      </c>
      <c r="F171" s="1775">
        <v>0.11799999999999999</v>
      </c>
    </row>
    <row r="172" spans="1:6" ht="14.25" thickBot="1">
      <c r="A172" s="1769" t="s">
        <v>1402</v>
      </c>
      <c r="B172" s="1773" t="s">
        <v>2113</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2114</v>
      </c>
      <c r="C174" s="1774">
        <v>0.13</v>
      </c>
      <c r="D174" s="1774">
        <v>0.13</v>
      </c>
      <c r="E174" s="1774">
        <v>0.13</v>
      </c>
      <c r="F174" s="1775">
        <v>0.13</v>
      </c>
    </row>
    <row r="175" spans="1:6" ht="14.25" thickBot="1">
      <c r="A175" s="1769" t="s">
        <v>1402</v>
      </c>
      <c r="B175" s="1773" t="s">
        <v>2115</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2116</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2117</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2118</v>
      </c>
      <c r="C185" s="1774">
        <v>0.127</v>
      </c>
      <c r="D185" s="1774">
        <v>0.127</v>
      </c>
      <c r="E185" s="1774">
        <v>0.128</v>
      </c>
      <c r="F185" s="1775">
        <v>0.13</v>
      </c>
    </row>
    <row r="186" spans="1:6" ht="24.75" thickBot="1">
      <c r="A186" s="1769" t="s">
        <v>1402</v>
      </c>
      <c r="B186" s="1773" t="s">
        <v>2119</v>
      </c>
      <c r="C186" s="1783"/>
      <c r="D186" s="1783"/>
      <c r="E186" s="1783"/>
      <c r="F186" s="1775">
        <v>0.05</v>
      </c>
    </row>
    <row r="187" spans="1:6" ht="14.25" thickBot="1">
      <c r="A187" s="1769" t="s">
        <v>1402</v>
      </c>
      <c r="B187" s="1773" t="s">
        <v>2120</v>
      </c>
      <c r="C187" s="1783"/>
      <c r="D187" s="1783"/>
      <c r="E187" s="1783"/>
      <c r="F187" s="1775">
        <v>0.05</v>
      </c>
    </row>
    <row r="188" spans="1:6" ht="14.25" thickBot="1">
      <c r="A188" s="1769" t="s">
        <v>1402</v>
      </c>
      <c r="B188" s="1773" t="s">
        <v>2121</v>
      </c>
      <c r="C188" s="1783"/>
      <c r="D188" s="1783"/>
      <c r="E188" s="1783"/>
      <c r="F188" s="1775">
        <v>0.05</v>
      </c>
    </row>
    <row r="189" spans="1:6" ht="24.75" thickBot="1">
      <c r="A189" s="1769" t="s">
        <v>1402</v>
      </c>
      <c r="B189" s="1773" t="s">
        <v>2122</v>
      </c>
      <c r="C189" s="1783"/>
      <c r="D189" s="1783"/>
      <c r="E189" s="1783"/>
      <c r="F189" s="1775">
        <v>0.05</v>
      </c>
    </row>
    <row r="190" spans="1:6" ht="24.75" thickBot="1">
      <c r="A190" s="1769" t="s">
        <v>1402</v>
      </c>
      <c r="B190" s="1773" t="s">
        <v>2123</v>
      </c>
      <c r="C190" s="1783"/>
      <c r="D190" s="1783"/>
      <c r="E190" s="1783"/>
      <c r="F190" s="1775">
        <v>0.05</v>
      </c>
    </row>
    <row r="191" spans="1:6" ht="24.75" thickBot="1">
      <c r="A191" s="1769" t="s">
        <v>1402</v>
      </c>
      <c r="B191" s="1773" t="s">
        <v>2124</v>
      </c>
      <c r="C191" s="1783"/>
      <c r="D191" s="1783"/>
      <c r="E191" s="1783"/>
      <c r="F191" s="1775">
        <v>0.05</v>
      </c>
    </row>
    <row r="192" spans="1:6" ht="24.75" thickBot="1">
      <c r="A192" s="1769" t="s">
        <v>1402</v>
      </c>
      <c r="B192" s="1773" t="s">
        <v>2125</v>
      </c>
      <c r="C192" s="1783"/>
      <c r="D192" s="1783"/>
      <c r="E192" s="1783"/>
      <c r="F192" s="1775">
        <v>0.05</v>
      </c>
    </row>
    <row r="193" spans="1:6" ht="24.75" thickBot="1">
      <c r="A193" s="1769" t="s">
        <v>1402</v>
      </c>
      <c r="B193" s="1773" t="s">
        <v>2126</v>
      </c>
      <c r="C193" s="1783"/>
      <c r="D193" s="1783"/>
      <c r="E193" s="1783"/>
      <c r="F193" s="1775">
        <v>0.05</v>
      </c>
    </row>
    <row r="194" spans="1:6" ht="24.75" thickBot="1">
      <c r="A194" s="1769" t="s">
        <v>1402</v>
      </c>
      <c r="B194" s="1773" t="s">
        <v>2127</v>
      </c>
      <c r="C194" s="1783"/>
      <c r="D194" s="1783"/>
      <c r="E194" s="1783"/>
      <c r="F194" s="1775">
        <v>0.05</v>
      </c>
    </row>
    <row r="195" spans="1:6" ht="14.25" thickBot="1">
      <c r="A195" s="1769" t="s">
        <v>1402</v>
      </c>
      <c r="B195" s="1773" t="s">
        <v>2128</v>
      </c>
      <c r="C195" s="1783"/>
      <c r="D195" s="1783"/>
      <c r="E195" s="1783"/>
      <c r="F195" s="1775">
        <v>0.05</v>
      </c>
    </row>
    <row r="196" spans="1:6" ht="24.75" thickBot="1">
      <c r="A196" s="1769" t="s">
        <v>1402</v>
      </c>
      <c r="B196" s="1773" t="s">
        <v>2129</v>
      </c>
      <c r="C196" s="1783"/>
      <c r="D196" s="1783"/>
      <c r="E196" s="1783"/>
      <c r="F196" s="1775">
        <v>0.05</v>
      </c>
    </row>
    <row r="197" spans="1:6" ht="24.75" thickBot="1">
      <c r="A197" s="1769" t="s">
        <v>1402</v>
      </c>
      <c r="B197" s="1773" t="s">
        <v>2130</v>
      </c>
      <c r="C197" s="1783"/>
      <c r="D197" s="1783"/>
      <c r="E197" s="1783"/>
      <c r="F197" s="1775">
        <v>0.05</v>
      </c>
    </row>
    <row r="198" spans="1:6" ht="24.75" thickBot="1">
      <c r="A198" s="1769" t="s">
        <v>1402</v>
      </c>
      <c r="B198" s="1773" t="s">
        <v>2131</v>
      </c>
      <c r="C198" s="1783"/>
      <c r="D198" s="1783"/>
      <c r="E198" s="1783"/>
      <c r="F198" s="1775">
        <v>0.05</v>
      </c>
    </row>
    <row r="199" spans="1:6" ht="24.75" thickBot="1">
      <c r="A199" s="1769" t="s">
        <v>1402</v>
      </c>
      <c r="B199" s="1773" t="s">
        <v>2132</v>
      </c>
      <c r="C199" s="1783"/>
      <c r="D199" s="1783"/>
      <c r="E199" s="1783"/>
      <c r="F199" s="1775">
        <v>0.05</v>
      </c>
    </row>
    <row r="200" spans="1:6" ht="24.75" thickBot="1">
      <c r="A200" s="1769" t="s">
        <v>1402</v>
      </c>
      <c r="B200" s="1773" t="s">
        <v>2133</v>
      </c>
      <c r="C200" s="1783"/>
      <c r="D200" s="1783"/>
      <c r="E200" s="1783"/>
      <c r="F200" s="1775">
        <v>0.05</v>
      </c>
    </row>
    <row r="201" spans="1:6" ht="24.75" thickBot="1">
      <c r="A201" s="1769" t="s">
        <v>1402</v>
      </c>
      <c r="B201" s="1773" t="s">
        <v>2134</v>
      </c>
      <c r="C201" s="1783"/>
      <c r="D201" s="1783"/>
      <c r="E201" s="1783"/>
      <c r="F201" s="1775">
        <v>0.05</v>
      </c>
    </row>
    <row r="202" spans="1:6" ht="24.75" thickBot="1">
      <c r="A202" s="1769" t="s">
        <v>1402</v>
      </c>
      <c r="B202" s="1773" t="s">
        <v>2135</v>
      </c>
      <c r="C202" s="1783"/>
      <c r="D202" s="1783"/>
      <c r="E202" s="1783"/>
      <c r="F202" s="1775">
        <v>0.05</v>
      </c>
    </row>
    <row r="203" spans="1:6" ht="24.75" thickBot="1">
      <c r="A203" s="1769" t="s">
        <v>1402</v>
      </c>
      <c r="B203" s="1773" t="s">
        <v>2136</v>
      </c>
      <c r="C203" s="1783"/>
      <c r="D203" s="1783"/>
      <c r="E203" s="1783"/>
      <c r="F203" s="1775">
        <v>0.05</v>
      </c>
    </row>
    <row r="204" spans="1:6" ht="14.25" thickBot="1">
      <c r="A204" s="1769" t="s">
        <v>1402</v>
      </c>
      <c r="B204" s="1773" t="s">
        <v>2137</v>
      </c>
      <c r="C204" s="1783"/>
      <c r="D204" s="1783"/>
      <c r="E204" s="1783"/>
      <c r="F204" s="1775">
        <v>0.05</v>
      </c>
    </row>
    <row r="205" spans="1:6" ht="14.25" thickBot="1">
      <c r="A205" s="1777" t="s">
        <v>1402</v>
      </c>
      <c r="B205" s="1784" t="s">
        <v>2138</v>
      </c>
      <c r="C205" s="1780"/>
      <c r="D205" s="1780"/>
      <c r="E205" s="1780"/>
      <c r="F205" s="1785">
        <v>0.05</v>
      </c>
    </row>
    <row r="206" spans="1:6" ht="14.25" thickBot="1">
      <c r="A206" s="1769" t="s">
        <v>1404</v>
      </c>
      <c r="B206" s="1770" t="s">
        <v>2139</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2140</v>
      </c>
      <c r="C210" s="1774">
        <v>0.15</v>
      </c>
      <c r="D210" s="1774">
        <v>0.15</v>
      </c>
      <c r="E210" s="1774">
        <v>0.15</v>
      </c>
      <c r="F210" s="1775">
        <v>0.13800000000000001</v>
      </c>
    </row>
    <row r="211" spans="1:6" ht="14.25" thickBot="1">
      <c r="A211" s="1769" t="s">
        <v>1404</v>
      </c>
      <c r="B211" s="1773" t="s">
        <v>2141</v>
      </c>
      <c r="C211" s="1774">
        <v>0.13700000000000001</v>
      </c>
      <c r="D211" s="1774">
        <v>0.13500000000000001</v>
      </c>
      <c r="E211" s="1774">
        <v>0.13600000000000001</v>
      </c>
      <c r="F211" s="1775">
        <v>0.1</v>
      </c>
    </row>
    <row r="212" spans="1:6" ht="14.25" thickBot="1">
      <c r="A212" s="1769" t="s">
        <v>1404</v>
      </c>
      <c r="B212" s="1773" t="s">
        <v>2142</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2143</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2144</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2145</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2146</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2147</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2148</v>
      </c>
      <c r="C231" s="1774">
        <v>0.128</v>
      </c>
      <c r="D231" s="1774">
        <v>0.125</v>
      </c>
      <c r="E231" s="1774">
        <v>0.13200000000000001</v>
      </c>
      <c r="F231" s="1782"/>
    </row>
    <row r="232" spans="1:6" ht="14.25" thickBot="1">
      <c r="A232" s="1769" t="s">
        <v>1404</v>
      </c>
      <c r="B232" s="1773" t="s">
        <v>2149</v>
      </c>
      <c r="C232" s="1774">
        <v>0.14499999999999999</v>
      </c>
      <c r="D232" s="1774">
        <v>0.14399999999999999</v>
      </c>
      <c r="E232" s="1774">
        <v>0.14599999999999999</v>
      </c>
      <c r="F232" s="1775">
        <v>0.13800000000000001</v>
      </c>
    </row>
    <row r="233" spans="1:6" ht="14.25" thickBot="1">
      <c r="A233" s="1769" t="s">
        <v>1404</v>
      </c>
      <c r="B233" s="1773" t="s">
        <v>2150</v>
      </c>
      <c r="C233" s="1774">
        <v>0.14499999999999999</v>
      </c>
      <c r="D233" s="1774">
        <v>0.14299999999999999</v>
      </c>
      <c r="E233" s="1774">
        <v>0.14199999999999999</v>
      </c>
      <c r="F233" s="1782"/>
    </row>
    <row r="234" spans="1:6" ht="14.25" thickBot="1">
      <c r="A234" s="1769" t="s">
        <v>1404</v>
      </c>
      <c r="B234" s="1773" t="s">
        <v>2151</v>
      </c>
      <c r="C234" s="1774">
        <v>0.14000000000000001</v>
      </c>
      <c r="D234" s="1774">
        <v>0.14000000000000001</v>
      </c>
      <c r="E234" s="1774">
        <v>0.14399999999999999</v>
      </c>
      <c r="F234" s="1782"/>
    </row>
    <row r="235" spans="1:6" ht="14.25" thickBot="1">
      <c r="A235" s="1769" t="s">
        <v>1404</v>
      </c>
      <c r="B235" s="1773" t="s">
        <v>2152</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2153</v>
      </c>
      <c r="C237" s="1783"/>
      <c r="D237" s="1783"/>
      <c r="E237" s="1783"/>
      <c r="F237" s="1775">
        <v>0.05</v>
      </c>
    </row>
    <row r="238" spans="1:6" ht="24.75" thickBot="1">
      <c r="A238" s="1769" t="s">
        <v>1404</v>
      </c>
      <c r="B238" s="1773" t="s">
        <v>2154</v>
      </c>
      <c r="C238" s="1783"/>
      <c r="D238" s="1783"/>
      <c r="E238" s="1783"/>
      <c r="F238" s="1775">
        <v>0.05</v>
      </c>
    </row>
    <row r="239" spans="1:6" ht="24.75" thickBot="1">
      <c r="A239" s="1769" t="s">
        <v>1404</v>
      </c>
      <c r="B239" s="1773" t="s">
        <v>2155</v>
      </c>
      <c r="C239" s="1783"/>
      <c r="D239" s="1783"/>
      <c r="E239" s="1783"/>
      <c r="F239" s="1775">
        <v>0.05</v>
      </c>
    </row>
    <row r="240" spans="1:6" ht="24.75" thickBot="1">
      <c r="A240" s="1769" t="s">
        <v>1404</v>
      </c>
      <c r="B240" s="1773" t="s">
        <v>2156</v>
      </c>
      <c r="C240" s="1783"/>
      <c r="D240" s="1783"/>
      <c r="E240" s="1783"/>
      <c r="F240" s="1775">
        <v>0.05</v>
      </c>
    </row>
    <row r="241" spans="1:6" ht="24.75" thickBot="1">
      <c r="A241" s="1769" t="s">
        <v>1404</v>
      </c>
      <c r="B241" s="1773" t="s">
        <v>2157</v>
      </c>
      <c r="C241" s="1783"/>
      <c r="D241" s="1783"/>
      <c r="E241" s="1783"/>
      <c r="F241" s="1775">
        <v>0.05</v>
      </c>
    </row>
    <row r="242" spans="1:6" ht="24.75" thickBot="1">
      <c r="A242" s="1769" t="s">
        <v>1404</v>
      </c>
      <c r="B242" s="1773" t="s">
        <v>2158</v>
      </c>
      <c r="C242" s="1783"/>
      <c r="D242" s="1783"/>
      <c r="E242" s="1783"/>
      <c r="F242" s="1775">
        <v>0.05</v>
      </c>
    </row>
    <row r="243" spans="1:6" ht="24.75" thickBot="1">
      <c r="A243" s="1769" t="s">
        <v>1404</v>
      </c>
      <c r="B243" s="1773" t="s">
        <v>2159</v>
      </c>
      <c r="C243" s="1783"/>
      <c r="D243" s="1783"/>
      <c r="E243" s="1783"/>
      <c r="F243" s="1775">
        <v>0.05</v>
      </c>
    </row>
    <row r="244" spans="1:6" ht="24.75" thickBot="1">
      <c r="A244" s="1777" t="s">
        <v>1404</v>
      </c>
      <c r="B244" s="1784" t="s">
        <v>2160</v>
      </c>
      <c r="C244" s="1780"/>
      <c r="D244" s="1780"/>
      <c r="E244" s="1780"/>
      <c r="F244" s="1785">
        <v>0.05</v>
      </c>
    </row>
    <row r="245" spans="1:6" ht="14.25" thickBot="1">
      <c r="A245" s="1769" t="s">
        <v>1406</v>
      </c>
      <c r="B245" s="1770" t="s">
        <v>2161</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2162</v>
      </c>
      <c r="C247" s="1774">
        <v>0.15</v>
      </c>
      <c r="D247" s="1774">
        <v>0.15</v>
      </c>
      <c r="E247" s="1774">
        <v>0.15</v>
      </c>
      <c r="F247" s="1775">
        <v>0.15</v>
      </c>
    </row>
    <row r="248" spans="1:6" ht="14.25" thickBot="1">
      <c r="A248" s="1769" t="s">
        <v>1406</v>
      </c>
      <c r="B248" s="1773" t="s">
        <v>2163</v>
      </c>
      <c r="C248" s="1774">
        <v>0.15</v>
      </c>
      <c r="D248" s="1774">
        <v>0.15</v>
      </c>
      <c r="E248" s="1774">
        <v>0.15</v>
      </c>
      <c r="F248" s="1775">
        <v>0.14000000000000001</v>
      </c>
    </row>
    <row r="249" spans="1:6" ht="14.25" thickBot="1">
      <c r="A249" s="1769" t="s">
        <v>1406</v>
      </c>
      <c r="B249" s="1773" t="s">
        <v>2164</v>
      </c>
      <c r="C249" s="1774">
        <v>0.15</v>
      </c>
      <c r="D249" s="1774">
        <v>0.14899999999999999</v>
      </c>
      <c r="E249" s="1774">
        <v>0.15</v>
      </c>
      <c r="F249" s="1775">
        <v>0.1</v>
      </c>
    </row>
    <row r="250" spans="1:6" ht="14.25" thickBot="1">
      <c r="A250" s="1769" t="s">
        <v>1406</v>
      </c>
      <c r="B250" s="1773" t="s">
        <v>2165</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2166</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2167</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2168</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2169</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2170</v>
      </c>
      <c r="C273" s="1774">
        <v>0.14199999999999999</v>
      </c>
      <c r="D273" s="1774">
        <v>0.14299999999999999</v>
      </c>
      <c r="E273" s="1774">
        <v>0.15</v>
      </c>
      <c r="F273" s="1775">
        <v>0.1</v>
      </c>
    </row>
    <row r="274" spans="1:6" ht="14.25" thickBot="1">
      <c r="A274" s="1769" t="s">
        <v>1406</v>
      </c>
      <c r="B274" s="1773" t="s">
        <v>2171</v>
      </c>
      <c r="C274" s="1774">
        <v>0.14799999999999999</v>
      </c>
      <c r="D274" s="1774">
        <v>0.14799999999999999</v>
      </c>
      <c r="E274" s="1774">
        <v>0.15</v>
      </c>
      <c r="F274" s="1775">
        <v>6.7000000000000004E-2</v>
      </c>
    </row>
    <row r="275" spans="1:6" ht="14.25" thickBot="1">
      <c r="A275" s="1769" t="s">
        <v>1406</v>
      </c>
      <c r="B275" s="1773" t="s">
        <v>2172</v>
      </c>
      <c r="C275" s="1774">
        <v>0.15</v>
      </c>
      <c r="D275" s="1774">
        <v>0.15</v>
      </c>
      <c r="E275" s="1774">
        <v>0.15</v>
      </c>
      <c r="F275" s="1775">
        <v>0.15</v>
      </c>
    </row>
    <row r="276" spans="1:6" ht="14.25" thickBot="1">
      <c r="A276" s="1769" t="s">
        <v>1406</v>
      </c>
      <c r="B276" s="1773" t="s">
        <v>2173</v>
      </c>
      <c r="C276" s="1774">
        <v>0.14499999999999999</v>
      </c>
      <c r="D276" s="1774">
        <v>0.14299999999999999</v>
      </c>
      <c r="E276" s="1774">
        <v>0.15</v>
      </c>
      <c r="F276" s="1775">
        <v>5.8999999999999997E-2</v>
      </c>
    </row>
    <row r="277" spans="1:6" ht="14.25" thickBot="1">
      <c r="A277" s="1769" t="s">
        <v>1406</v>
      </c>
      <c r="B277" s="1773" t="s">
        <v>2174</v>
      </c>
      <c r="C277" s="1774">
        <v>0.15</v>
      </c>
      <c r="D277" s="1774">
        <v>0.15</v>
      </c>
      <c r="E277" s="1774">
        <v>0.15</v>
      </c>
      <c r="F277" s="1775">
        <v>0.121</v>
      </c>
    </row>
    <row r="278" spans="1:6" ht="14.25" thickBot="1">
      <c r="A278" s="1769" t="s">
        <v>1406</v>
      </c>
      <c r="B278" s="1773" t="s">
        <v>2175</v>
      </c>
      <c r="C278" s="1774">
        <v>0.15</v>
      </c>
      <c r="D278" s="1774">
        <v>0.15</v>
      </c>
      <c r="E278" s="1774">
        <v>0.15</v>
      </c>
      <c r="F278" s="1775">
        <v>0.13800000000000001</v>
      </c>
    </row>
    <row r="279" spans="1:6" ht="24.75" thickBot="1">
      <c r="A279" s="1769" t="s">
        <v>1406</v>
      </c>
      <c r="B279" s="1773" t="s">
        <v>2176</v>
      </c>
      <c r="C279" s="1783"/>
      <c r="D279" s="1783"/>
      <c r="E279" s="1783"/>
      <c r="F279" s="1775">
        <v>0.05</v>
      </c>
    </row>
    <row r="280" spans="1:6" ht="24.75" thickBot="1">
      <c r="A280" s="1769" t="s">
        <v>1406</v>
      </c>
      <c r="B280" s="1773" t="s">
        <v>2177</v>
      </c>
      <c r="C280" s="1783"/>
      <c r="D280" s="1783"/>
      <c r="E280" s="1783"/>
      <c r="F280" s="1775">
        <v>0.05</v>
      </c>
    </row>
    <row r="281" spans="1:6" ht="24.75" thickBot="1">
      <c r="A281" s="1769" t="s">
        <v>1406</v>
      </c>
      <c r="B281" s="1773" t="s">
        <v>2178</v>
      </c>
      <c r="C281" s="1783"/>
      <c r="D281" s="1783"/>
      <c r="E281" s="1783"/>
      <c r="F281" s="1775">
        <v>0.05</v>
      </c>
    </row>
    <row r="282" spans="1:6" ht="24.75" thickBot="1">
      <c r="A282" s="1769" t="s">
        <v>1406</v>
      </c>
      <c r="B282" s="1773" t="s">
        <v>2179</v>
      </c>
      <c r="C282" s="1783"/>
      <c r="D282" s="1783"/>
      <c r="E282" s="1783"/>
      <c r="F282" s="1775">
        <v>0.05</v>
      </c>
    </row>
    <row r="283" spans="1:6" ht="24.75" thickBot="1">
      <c r="A283" s="1769" t="s">
        <v>1406</v>
      </c>
      <c r="B283" s="1773" t="s">
        <v>2180</v>
      </c>
      <c r="C283" s="1783"/>
      <c r="D283" s="1783"/>
      <c r="E283" s="1783"/>
      <c r="F283" s="1775">
        <v>0.05</v>
      </c>
    </row>
    <row r="284" spans="1:6" ht="24.75" thickBot="1">
      <c r="A284" s="1769" t="s">
        <v>1406</v>
      </c>
      <c r="B284" s="1773" t="s">
        <v>2181</v>
      </c>
      <c r="C284" s="1783"/>
      <c r="D284" s="1783"/>
      <c r="E284" s="1783"/>
      <c r="F284" s="1775">
        <v>0.05</v>
      </c>
    </row>
    <row r="285" spans="1:6" ht="24.75" thickBot="1">
      <c r="A285" s="1769" t="s">
        <v>1406</v>
      </c>
      <c r="B285" s="1773" t="s">
        <v>2182</v>
      </c>
      <c r="C285" s="1783"/>
      <c r="D285" s="1783"/>
      <c r="E285" s="1783"/>
      <c r="F285" s="1775">
        <v>0.05</v>
      </c>
    </row>
    <row r="286" spans="1:6" ht="24.75" thickBot="1">
      <c r="A286" s="1769" t="s">
        <v>1406</v>
      </c>
      <c r="B286" s="1773" t="s">
        <v>2183</v>
      </c>
      <c r="C286" s="1783"/>
      <c r="D286" s="1783"/>
      <c r="E286" s="1783"/>
      <c r="F286" s="1775">
        <v>0.05</v>
      </c>
    </row>
    <row r="287" spans="1:6" ht="24.75" thickBot="1">
      <c r="A287" s="1769" t="s">
        <v>1406</v>
      </c>
      <c r="B287" s="1773" t="s">
        <v>2184</v>
      </c>
      <c r="C287" s="1783"/>
      <c r="D287" s="1783"/>
      <c r="E287" s="1783"/>
      <c r="F287" s="1775">
        <v>0.05</v>
      </c>
    </row>
    <row r="288" spans="1:6" ht="24.75" thickBot="1">
      <c r="A288" s="1769" t="s">
        <v>1406</v>
      </c>
      <c r="B288" s="1773" t="s">
        <v>2185</v>
      </c>
      <c r="C288" s="1783"/>
      <c r="D288" s="1783"/>
      <c r="E288" s="1783"/>
      <c r="F288" s="1775">
        <v>0.05</v>
      </c>
    </row>
    <row r="289" spans="1:6" ht="24.75" thickBot="1">
      <c r="A289" s="1777" t="s">
        <v>1406</v>
      </c>
      <c r="B289" s="1784" t="s">
        <v>2186</v>
      </c>
      <c r="C289" s="1780"/>
      <c r="D289" s="1780"/>
      <c r="E289" s="1780"/>
      <c r="F289" s="1785">
        <v>0.05</v>
      </c>
    </row>
    <row r="290" spans="1:6" ht="14.25" thickBot="1">
      <c r="A290" s="1769" t="s">
        <v>1410</v>
      </c>
      <c r="B290" s="1770" t="s">
        <v>2187</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2188</v>
      </c>
      <c r="C292" s="1774">
        <v>0.15</v>
      </c>
      <c r="D292" s="1774">
        <v>0.15</v>
      </c>
      <c r="E292" s="1774">
        <v>0.15</v>
      </c>
      <c r="F292" s="1775">
        <v>0.14699999999999999</v>
      </c>
    </row>
    <row r="293" spans="1:6" ht="14.25" thickBot="1">
      <c r="A293" s="1769" t="s">
        <v>1410</v>
      </c>
      <c r="B293" s="1773" t="s">
        <v>2189</v>
      </c>
      <c r="C293" s="1783"/>
      <c r="D293" s="1783"/>
      <c r="E293" s="1783"/>
      <c r="F293" s="1775">
        <v>0.1</v>
      </c>
    </row>
    <row r="294" spans="1:6" ht="14.25" thickBot="1">
      <c r="A294" s="1769" t="s">
        <v>1410</v>
      </c>
      <c r="B294" s="1773" t="s">
        <v>2190</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2191</v>
      </c>
      <c r="C296" s="1774">
        <v>0.15</v>
      </c>
      <c r="D296" s="1774">
        <v>0.15</v>
      </c>
      <c r="E296" s="1774">
        <v>0.15</v>
      </c>
      <c r="F296" s="1775">
        <v>0.15</v>
      </c>
    </row>
    <row r="297" spans="1:6" ht="14.25" thickBot="1">
      <c r="A297" s="1769" t="s">
        <v>1410</v>
      </c>
      <c r="B297" s="1773" t="s">
        <v>2192</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2193</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2194</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2195</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2196</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2197</v>
      </c>
      <c r="C310" s="1774">
        <v>0.15</v>
      </c>
      <c r="D310" s="1774">
        <v>0.15</v>
      </c>
      <c r="E310" s="1774">
        <v>0.15</v>
      </c>
      <c r="F310" s="1775">
        <v>0.13700000000000001</v>
      </c>
    </row>
    <row r="311" spans="1:6" ht="14.25" thickBot="1">
      <c r="A311" s="1769" t="s">
        <v>1410</v>
      </c>
      <c r="B311" s="1773" t="s">
        <v>2198</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2199</v>
      </c>
      <c r="C313" s="1774">
        <v>0.15</v>
      </c>
      <c r="D313" s="1774">
        <v>0.15</v>
      </c>
      <c r="E313" s="1774">
        <v>0.15</v>
      </c>
      <c r="F313" s="1775">
        <v>0.15</v>
      </c>
    </row>
    <row r="314" spans="1:6" ht="24.75" thickBot="1">
      <c r="A314" s="1769" t="s">
        <v>1410</v>
      </c>
      <c r="B314" s="1773" t="s">
        <v>2200</v>
      </c>
      <c r="C314" s="1783"/>
      <c r="D314" s="1783"/>
      <c r="E314" s="1783"/>
      <c r="F314" s="1775">
        <v>0.05</v>
      </c>
    </row>
    <row r="315" spans="1:6" ht="24.75" thickBot="1">
      <c r="A315" s="1769" t="s">
        <v>1410</v>
      </c>
      <c r="B315" s="1773" t="s">
        <v>2201</v>
      </c>
      <c r="C315" s="1783"/>
      <c r="D315" s="1783"/>
      <c r="E315" s="1783"/>
      <c r="F315" s="1775">
        <v>0.05</v>
      </c>
    </row>
    <row r="316" spans="1:6" ht="24.75" thickBot="1">
      <c r="A316" s="1777" t="s">
        <v>1410</v>
      </c>
      <c r="B316" s="1784" t="s">
        <v>2202</v>
      </c>
      <c r="C316" s="1780"/>
      <c r="D316" s="1780"/>
      <c r="E316" s="1780"/>
      <c r="F316" s="1785">
        <v>0.05</v>
      </c>
    </row>
    <row r="317" spans="1:6" ht="14.25" thickBot="1">
      <c r="A317" s="1769" t="s">
        <v>2203</v>
      </c>
      <c r="B317" s="1770" t="s">
        <v>2204</v>
      </c>
      <c r="C317" s="1771">
        <v>0.15</v>
      </c>
      <c r="D317" s="1771">
        <v>0.15</v>
      </c>
      <c r="E317" s="1771">
        <v>0.15</v>
      </c>
      <c r="F317" s="1772">
        <v>0.15</v>
      </c>
    </row>
    <row r="318" spans="1:6" ht="14.25" thickBot="1">
      <c r="A318" s="1769" t="s">
        <v>2203</v>
      </c>
      <c r="B318" s="1773" t="s">
        <v>2205</v>
      </c>
      <c r="C318" s="1774">
        <v>0.107</v>
      </c>
      <c r="D318" s="1774">
        <v>0.11</v>
      </c>
      <c r="E318" s="1774">
        <v>0.112</v>
      </c>
      <c r="F318" s="1782"/>
    </row>
    <row r="319" spans="1:6" ht="14.25" thickBot="1">
      <c r="A319" s="1769" t="s">
        <v>2203</v>
      </c>
      <c r="B319" s="1773" t="s">
        <v>2206</v>
      </c>
      <c r="C319" s="1774">
        <v>0.15</v>
      </c>
      <c r="D319" s="1774">
        <v>0.15</v>
      </c>
      <c r="E319" s="1774">
        <v>0.15</v>
      </c>
      <c r="F319" s="1775">
        <v>0.15</v>
      </c>
    </row>
    <row r="320" spans="1:6" ht="14.25" thickBot="1">
      <c r="A320" s="1769" t="s">
        <v>2203</v>
      </c>
      <c r="B320" s="1773" t="s">
        <v>1098</v>
      </c>
      <c r="C320" s="1774">
        <v>0.15</v>
      </c>
      <c r="D320" s="1774">
        <v>0.15</v>
      </c>
      <c r="E320" s="1774">
        <v>0.15</v>
      </c>
      <c r="F320" s="1782"/>
    </row>
    <row r="321" spans="1:6" ht="14.25" thickBot="1">
      <c r="A321" s="1769" t="s">
        <v>2203</v>
      </c>
      <c r="B321" s="1773" t="s">
        <v>2207</v>
      </c>
      <c r="C321" s="1774">
        <v>0.15</v>
      </c>
      <c r="D321" s="1774">
        <v>0.15</v>
      </c>
      <c r="E321" s="1774">
        <v>0.15</v>
      </c>
      <c r="F321" s="1782"/>
    </row>
    <row r="322" spans="1:6" ht="14.25" thickBot="1">
      <c r="A322" s="1769" t="s">
        <v>2203</v>
      </c>
      <c r="B322" s="1773" t="s">
        <v>2208</v>
      </c>
      <c r="C322" s="1774">
        <v>0.15</v>
      </c>
      <c r="D322" s="1774">
        <v>0.15</v>
      </c>
      <c r="E322" s="1774">
        <v>0.15</v>
      </c>
      <c r="F322" s="1775">
        <v>0.15</v>
      </c>
    </row>
    <row r="323" spans="1:6" ht="14.25" thickBot="1">
      <c r="A323" s="1769" t="s">
        <v>2203</v>
      </c>
      <c r="B323" s="1773" t="s">
        <v>2209</v>
      </c>
      <c r="C323" s="1774">
        <v>0.15</v>
      </c>
      <c r="D323" s="1774">
        <v>0.15</v>
      </c>
      <c r="E323" s="1774">
        <v>0.15</v>
      </c>
      <c r="F323" s="1782"/>
    </row>
    <row r="324" spans="1:6" ht="14.25" thickBot="1">
      <c r="A324" s="1769" t="s">
        <v>2203</v>
      </c>
      <c r="B324" s="1773" t="s">
        <v>2210</v>
      </c>
      <c r="C324" s="1774">
        <v>0.15</v>
      </c>
      <c r="D324" s="1774">
        <v>0.15</v>
      </c>
      <c r="E324" s="1774">
        <v>0.15</v>
      </c>
      <c r="F324" s="1782"/>
    </row>
    <row r="325" spans="1:6" ht="14.25" thickBot="1">
      <c r="A325" s="1769" t="s">
        <v>2203</v>
      </c>
      <c r="B325" s="1773" t="s">
        <v>2211</v>
      </c>
      <c r="C325" s="1774">
        <v>0.15</v>
      </c>
      <c r="D325" s="1774">
        <v>0.15</v>
      </c>
      <c r="E325" s="1774">
        <v>0.15</v>
      </c>
      <c r="F325" s="1775">
        <v>0.14699999999999999</v>
      </c>
    </row>
    <row r="326" spans="1:6" ht="14.25" thickBot="1">
      <c r="A326" s="1769" t="s">
        <v>2203</v>
      </c>
      <c r="B326" s="1773" t="s">
        <v>1167</v>
      </c>
      <c r="C326" s="1774">
        <v>0.15</v>
      </c>
      <c r="D326" s="1774">
        <v>0.15</v>
      </c>
      <c r="E326" s="1774">
        <v>0.15</v>
      </c>
      <c r="F326" s="1782"/>
    </row>
    <row r="327" spans="1:6" ht="14.25" thickBot="1">
      <c r="A327" s="1769" t="s">
        <v>2203</v>
      </c>
      <c r="B327" s="1773" t="s">
        <v>2212</v>
      </c>
      <c r="C327" s="1774">
        <v>0.15</v>
      </c>
      <c r="D327" s="1774">
        <v>0.15</v>
      </c>
      <c r="E327" s="1774">
        <v>0.15</v>
      </c>
      <c r="F327" s="1775">
        <v>0.15</v>
      </c>
    </row>
    <row r="328" spans="1:6" ht="14.25" thickBot="1">
      <c r="A328" s="1769" t="s">
        <v>2203</v>
      </c>
      <c r="B328" s="1773" t="s">
        <v>1187</v>
      </c>
      <c r="C328" s="1774">
        <v>0.15</v>
      </c>
      <c r="D328" s="1774">
        <v>0.15</v>
      </c>
      <c r="E328" s="1774">
        <v>0.15</v>
      </c>
      <c r="F328" s="1775">
        <v>0.14099999999999999</v>
      </c>
    </row>
    <row r="329" spans="1:6" ht="14.25" thickBot="1">
      <c r="A329" s="1769" t="s">
        <v>2203</v>
      </c>
      <c r="B329" s="1773" t="s">
        <v>1197</v>
      </c>
      <c r="C329" s="1774">
        <v>0.15</v>
      </c>
      <c r="D329" s="1774">
        <v>0.15</v>
      </c>
      <c r="E329" s="1774">
        <v>0.15</v>
      </c>
      <c r="F329" s="1775">
        <v>0.15</v>
      </c>
    </row>
    <row r="330" spans="1:6" ht="14.25" thickBot="1">
      <c r="A330" s="1769" t="s">
        <v>2203</v>
      </c>
      <c r="B330" s="1773" t="s">
        <v>1207</v>
      </c>
      <c r="C330" s="1774">
        <v>0.15</v>
      </c>
      <c r="D330" s="1774">
        <v>0.15</v>
      </c>
      <c r="E330" s="1774">
        <v>0.15</v>
      </c>
      <c r="F330" s="1782"/>
    </row>
    <row r="331" spans="1:6" ht="14.25" thickBot="1">
      <c r="A331" s="1769" t="s">
        <v>2203</v>
      </c>
      <c r="B331" s="1773" t="s">
        <v>2213</v>
      </c>
      <c r="C331" s="1774">
        <v>0.15</v>
      </c>
      <c r="D331" s="1774">
        <v>0.15</v>
      </c>
      <c r="E331" s="1774">
        <v>0.15</v>
      </c>
      <c r="F331" s="1775">
        <v>0.15</v>
      </c>
    </row>
    <row r="332" spans="1:6" ht="14.25" thickBot="1">
      <c r="A332" s="1769" t="s">
        <v>2203</v>
      </c>
      <c r="B332" s="1773" t="s">
        <v>1227</v>
      </c>
      <c r="C332" s="1774">
        <v>0.15</v>
      </c>
      <c r="D332" s="1774">
        <v>0.15</v>
      </c>
      <c r="E332" s="1774">
        <v>0.15</v>
      </c>
      <c r="F332" s="1775">
        <v>0.15</v>
      </c>
    </row>
    <row r="333" spans="1:6" ht="14.25" thickBot="1">
      <c r="A333" s="1769" t="s">
        <v>2203</v>
      </c>
      <c r="B333" s="1773" t="s">
        <v>2214</v>
      </c>
      <c r="C333" s="1774">
        <v>0.15</v>
      </c>
      <c r="D333" s="1774">
        <v>0.15</v>
      </c>
      <c r="E333" s="1774">
        <v>0.15</v>
      </c>
      <c r="F333" s="1775">
        <v>0.14099999999999999</v>
      </c>
    </row>
    <row r="334" spans="1:6" ht="14.25" thickBot="1">
      <c r="A334" s="1769" t="s">
        <v>2203</v>
      </c>
      <c r="B334" s="1773" t="s">
        <v>1247</v>
      </c>
      <c r="C334" s="1774">
        <v>0.15</v>
      </c>
      <c r="D334" s="1774">
        <v>0.15</v>
      </c>
      <c r="E334" s="1774">
        <v>0.15</v>
      </c>
      <c r="F334" s="1775">
        <v>0.15</v>
      </c>
    </row>
    <row r="335" spans="1:6" ht="14.25" thickBot="1">
      <c r="A335" s="1769" t="s">
        <v>2203</v>
      </c>
      <c r="B335" s="1773" t="s">
        <v>1257</v>
      </c>
      <c r="C335" s="1774">
        <v>0.15</v>
      </c>
      <c r="D335" s="1774">
        <v>0.15</v>
      </c>
      <c r="E335" s="1774">
        <v>0.15</v>
      </c>
      <c r="F335" s="1782"/>
    </row>
    <row r="336" spans="1:6" ht="14.25" thickBot="1">
      <c r="A336" s="1769" t="s">
        <v>2203</v>
      </c>
      <c r="B336" s="1773" t="s">
        <v>2215</v>
      </c>
      <c r="C336" s="1774">
        <v>0.15</v>
      </c>
      <c r="D336" s="1774">
        <v>0.15</v>
      </c>
      <c r="E336" s="1774">
        <v>0.15</v>
      </c>
      <c r="F336" s="1775">
        <v>0.11799999999999999</v>
      </c>
    </row>
    <row r="337" spans="1:6" ht="14.25" thickBot="1">
      <c r="A337" s="1777" t="s">
        <v>2203</v>
      </c>
      <c r="B337" s="1784" t="s">
        <v>1275</v>
      </c>
      <c r="C337" s="1780"/>
      <c r="D337" s="1780"/>
      <c r="E337" s="1780"/>
      <c r="F337" s="1785">
        <v>0.14299999999999999</v>
      </c>
    </row>
    <row r="338" spans="1:6" ht="14.25" thickBot="1">
      <c r="A338" s="1769" t="s">
        <v>2216</v>
      </c>
      <c r="B338" s="1770" t="s">
        <v>2217</v>
      </c>
      <c r="C338" s="1771">
        <v>0.15</v>
      </c>
      <c r="D338" s="1771">
        <v>0.15</v>
      </c>
      <c r="E338" s="1771">
        <v>0.15</v>
      </c>
      <c r="F338" s="1793"/>
    </row>
    <row r="339" spans="1:6" ht="14.25" thickBot="1">
      <c r="A339" s="1769" t="s">
        <v>2216</v>
      </c>
      <c r="B339" s="1773" t="s">
        <v>2218</v>
      </c>
      <c r="C339" s="1774">
        <v>0.15</v>
      </c>
      <c r="D339" s="1774">
        <v>0.15</v>
      </c>
      <c r="E339" s="1774">
        <v>0.15</v>
      </c>
      <c r="F339" s="1782"/>
    </row>
    <row r="340" spans="1:6" ht="14.25" thickBot="1">
      <c r="A340" s="1769" t="s">
        <v>2216</v>
      </c>
      <c r="B340" s="1773" t="s">
        <v>2219</v>
      </c>
      <c r="C340" s="1774">
        <v>0.15</v>
      </c>
      <c r="D340" s="1774">
        <v>0.15</v>
      </c>
      <c r="E340" s="1774">
        <v>0.15</v>
      </c>
      <c r="F340" s="1782"/>
    </row>
    <row r="341" spans="1:6" ht="14.25" thickBot="1">
      <c r="A341" s="1769" t="s">
        <v>2220</v>
      </c>
      <c r="B341" s="1773" t="s">
        <v>2221</v>
      </c>
      <c r="C341" s="1774">
        <v>0.15</v>
      </c>
      <c r="D341" s="1774">
        <v>0.15</v>
      </c>
      <c r="E341" s="1774">
        <v>0.15</v>
      </c>
      <c r="F341" s="1775">
        <v>0.15</v>
      </c>
    </row>
    <row r="342" spans="1:6" ht="14.25" thickBot="1">
      <c r="A342" s="1769" t="s">
        <v>2216</v>
      </c>
      <c r="B342" s="1773" t="s">
        <v>2222</v>
      </c>
      <c r="C342" s="1774">
        <v>0.15</v>
      </c>
      <c r="D342" s="1774">
        <v>0.15</v>
      </c>
      <c r="E342" s="1774">
        <v>0.15</v>
      </c>
      <c r="F342" s="1775">
        <v>0.15</v>
      </c>
    </row>
    <row r="343" spans="1:6" ht="14.25" thickBot="1">
      <c r="A343" s="1769" t="s">
        <v>2216</v>
      </c>
      <c r="B343" s="1773" t="s">
        <v>2223</v>
      </c>
      <c r="C343" s="1774">
        <v>0.15</v>
      </c>
      <c r="D343" s="1774">
        <v>0.15</v>
      </c>
      <c r="E343" s="1774">
        <v>0.15</v>
      </c>
      <c r="F343" s="1775">
        <v>0.15</v>
      </c>
    </row>
    <row r="344" spans="1:6" ht="14.25" thickBot="1">
      <c r="A344" s="1777" t="s">
        <v>2216</v>
      </c>
      <c r="B344" s="1784" t="s">
        <v>2224</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9" zoomScale="80" zoomScaleNormal="60" zoomScaleSheetLayoutView="80" workbookViewId="0">
      <selection activeCell="B34" sqref="B34"/>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2409</v>
      </c>
      <c r="D1" s="1460">
        <f>SUM(D29:D30,D33:D39)</f>
        <v>205341.01</v>
      </c>
      <c r="E1" s="1354" t="s">
        <v>2410</v>
      </c>
      <c r="F1" s="2307"/>
      <c r="G1" s="1349"/>
      <c r="H1" s="1349"/>
      <c r="I1" s="1349"/>
      <c r="J1" s="1349"/>
      <c r="K1" s="2070"/>
      <c r="L1" s="1796" t="s">
        <v>2225</v>
      </c>
      <c r="M1" s="1797">
        <f>SUMPRODUCT((区片价!B5:B9=I2)*(区片价!C3:F3=E2)*(区片价!C5:F9))</f>
        <v>29780</v>
      </c>
      <c r="N1" s="1798">
        <f>SUMPRODUCT((因素修正幅度!B5:B9=I2)*(因素修正幅度!C3:F3=E2)*(因素修正幅度!C5:F9))</f>
        <v>9.8000000000000004E-2</v>
      </c>
      <c r="O1" s="2070"/>
      <c r="P1" s="2070"/>
      <c r="Q1" s="2070"/>
      <c r="R1" s="2653" t="s">
        <v>2739</v>
      </c>
      <c r="S1" s="2653" t="s">
        <v>2740</v>
      </c>
      <c r="T1" s="2653" t="s">
        <v>2761</v>
      </c>
      <c r="U1" s="2653" t="s">
        <v>2762</v>
      </c>
      <c r="V1" s="2653" t="s">
        <v>2763</v>
      </c>
      <c r="W1" s="2070"/>
      <c r="X1" s="2070"/>
      <c r="Y1" s="2070"/>
      <c r="Z1" s="2070"/>
      <c r="AA1" s="2070"/>
      <c r="AB1" s="2070"/>
      <c r="AC1" s="2071"/>
    </row>
    <row r="2" spans="1:39" ht="15.75">
      <c r="A2" s="1354" t="s">
        <v>911</v>
      </c>
      <c r="B2" s="1025">
        <f ca="1">C26</f>
        <v>530607</v>
      </c>
      <c r="C2" s="1355" t="s">
        <v>912</v>
      </c>
      <c r="D2" s="1356" t="s">
        <v>913</v>
      </c>
      <c r="E2" s="1357" t="s">
        <v>1668</v>
      </c>
      <c r="F2" s="1356" t="s">
        <v>915</v>
      </c>
      <c r="G2" s="1580" t="str">
        <f>IF(E2="商业",项目基本情况!B43,IF(E2="办公",项目基本情况!C43,IF(E2="住宅",项目基本情况!D43,项目基本情况!E43)))</f>
        <v>一级</v>
      </c>
      <c r="H2" s="1356" t="s">
        <v>917</v>
      </c>
      <c r="I2" s="1581" t="str">
        <f>IF(E2="商业",项目基本情况!B44,IF(E2="办公",项目基本情况!C44,IF(E2="住宅",项目基本情况!D44,项目基本情况!E44)))</f>
        <v>Ⅰ—04</v>
      </c>
      <c r="J2" s="1358"/>
      <c r="K2" s="3232"/>
      <c r="L2" s="1799" t="s">
        <v>2226</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1.9361999999999999</v>
      </c>
      <c r="T2" s="2654">
        <f ca="1">ROUND($C$5*$C$18*$C$19*$C$20*S2*$C$24,0)</f>
        <v>73992</v>
      </c>
      <c r="U2" s="2643"/>
      <c r="V2" s="2654">
        <f ca="1">ROUND(T2*U2/10000,0)</f>
        <v>0</v>
      </c>
      <c r="W2" s="2070"/>
      <c r="X2" s="2070"/>
      <c r="Y2" s="2070"/>
      <c r="Z2" s="2070"/>
      <c r="AA2" s="2070"/>
      <c r="AB2" s="2070"/>
      <c r="AC2" s="2071"/>
    </row>
    <row r="3" spans="1:39" ht="24">
      <c r="A3" s="1359" t="s">
        <v>1678</v>
      </c>
      <c r="B3" s="1025">
        <f ca="1">ROUND(B2*10000/D1,0)</f>
        <v>25840</v>
      </c>
      <c r="C3" s="1355" t="s">
        <v>918</v>
      </c>
      <c r="D3" s="1356" t="s">
        <v>919</v>
      </c>
      <c r="E3" s="1360" t="s">
        <v>3110</v>
      </c>
      <c r="F3" s="1361" t="s">
        <v>3060</v>
      </c>
      <c r="G3" s="1026">
        <f>IF(F3="宗地容积率",'数据-汇总表'!I4,IF(F3="估价对象容积率",'数据-汇总表'!I6,'数据-汇总表'!I7))</f>
        <v>10.1</v>
      </c>
      <c r="H3" s="1362" t="s">
        <v>920</v>
      </c>
      <c r="I3" s="1027">
        <v>1</v>
      </c>
      <c r="J3" s="1358" t="s">
        <v>921</v>
      </c>
      <c r="K3" s="3232"/>
      <c r="L3" s="1799" t="s">
        <v>2227</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1.4198</v>
      </c>
      <c r="T3" s="2654">
        <f t="shared" ref="T3:T16" ca="1" si="0">ROUND($C$5*$C$18*$C$19*$C$20*S3*$C$24,0)</f>
        <v>54258</v>
      </c>
      <c r="U3" s="2643"/>
      <c r="V3" s="2654">
        <f t="shared" ref="V3:V16" ca="1" si="1">ROUND(T3*U3/10000,0)</f>
        <v>0</v>
      </c>
      <c r="W3" s="2070"/>
      <c r="X3" s="2070"/>
      <c r="Y3" s="2070"/>
      <c r="Z3" s="2070"/>
      <c r="AA3" s="2070"/>
      <c r="AB3" s="2070"/>
      <c r="AC3" s="2071"/>
    </row>
    <row r="4" spans="1:39" ht="28.5">
      <c r="A4" s="1805" t="s">
        <v>2266</v>
      </c>
      <c r="B4" s="2308" t="e">
        <f ca="1">ROUND(B2*10000/F1,0)</f>
        <v>#DIV/0!</v>
      </c>
      <c r="C4" s="1808" t="s">
        <v>2241</v>
      </c>
      <c r="D4" s="1808" t="e">
        <f ca="1">ROUND(B2/(F1/666.67),0)</f>
        <v>#DIV/0!</v>
      </c>
      <c r="E4" s="1808" t="s">
        <v>2242</v>
      </c>
      <c r="F4" s="1806"/>
      <c r="G4" s="1806"/>
      <c r="H4" s="1806"/>
      <c r="I4" s="1806"/>
      <c r="J4" s="1807"/>
      <c r="K4" s="3233"/>
      <c r="L4" s="1799" t="s">
        <v>2228</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1.1594</v>
      </c>
      <c r="T4" s="2654">
        <f t="shared" ca="1" si="0"/>
        <v>44307</v>
      </c>
      <c r="U4" s="2643"/>
      <c r="V4" s="2654">
        <f t="shared" ca="1" si="1"/>
        <v>0</v>
      </c>
      <c r="W4" s="2070"/>
      <c r="X4" s="2070"/>
      <c r="Y4" s="2070"/>
      <c r="Z4" s="2070"/>
      <c r="AA4" s="2070"/>
      <c r="AB4" s="2070"/>
      <c r="AC4" s="2071"/>
    </row>
    <row r="5" spans="1:39" s="1369" customFormat="1" ht="15.75" thickBot="1">
      <c r="A5" s="1566" t="s">
        <v>1814</v>
      </c>
      <c r="B5" s="1363" t="s">
        <v>922</v>
      </c>
      <c r="C5" s="1028">
        <f>ROUND(IF(E2="商业",C6*C7+C16,(IF(E2="住宅",C6*C12+C16,C6+C16))),0)</f>
        <v>29780</v>
      </c>
      <c r="D5" s="2793">
        <f>ROUND(C6+C16,0)</f>
        <v>29780</v>
      </c>
      <c r="E5" s="2793"/>
      <c r="F5" s="1364"/>
      <c r="G5" s="1365"/>
      <c r="H5" s="1365"/>
      <c r="I5" s="1365"/>
      <c r="J5" s="1366"/>
      <c r="K5" s="3234"/>
      <c r="L5" s="1799" t="s">
        <v>2229</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0.96220000000000006</v>
      </c>
      <c r="T5" s="2654">
        <f t="shared" ca="1" si="0"/>
        <v>36770</v>
      </c>
      <c r="U5" s="2643"/>
      <c r="V5" s="2654">
        <f t="shared" ca="1"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9">
        <f>SUMIF(L1:L12,基准地价办公!G2,M1:M12)</f>
        <v>29780</v>
      </c>
      <c r="D6" s="1371" t="s">
        <v>1686</v>
      </c>
      <c r="E6" s="1372"/>
      <c r="F6" s="1372"/>
      <c r="G6" s="1373"/>
      <c r="H6" s="1373"/>
      <c r="I6" s="1373"/>
      <c r="J6" s="1374"/>
      <c r="K6" s="3235"/>
      <c r="L6" s="1799" t="s">
        <v>2230</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0.8417</v>
      </c>
      <c r="T6" s="2654">
        <f t="shared" ca="1" si="0"/>
        <v>32166</v>
      </c>
      <c r="U6" s="2643"/>
      <c r="V6" s="2654">
        <f t="shared" ca="1" si="1"/>
        <v>0</v>
      </c>
      <c r="W6" s="2070"/>
      <c r="X6" s="2070"/>
      <c r="Y6" s="2070"/>
      <c r="Z6" s="2070"/>
      <c r="AA6" s="2070"/>
      <c r="AB6" s="2070"/>
      <c r="AC6" s="2072"/>
      <c r="AD6" s="1367"/>
      <c r="AE6" s="1367"/>
      <c r="AF6" s="1367"/>
      <c r="AG6" s="1367"/>
      <c r="AH6" s="1367"/>
      <c r="AI6" s="1367"/>
      <c r="AJ6" s="1368"/>
    </row>
    <row r="7" spans="1:39" ht="24" hidden="1">
      <c r="A7" s="3572" t="str">
        <f>IF(E2="商业",IF(C8="不临58条商业街","",2),"")</f>
        <v/>
      </c>
      <c r="B7" s="1375" t="s">
        <v>923</v>
      </c>
      <c r="C7" s="1030">
        <f>IF(C8="不临58条商业街",1,ROUND(1+(1.6*E8+1.2*E9+0.8*E10+0.4*E11)*C9,4))</f>
        <v>1.1000000000000001</v>
      </c>
      <c r="D7" s="1376" t="s">
        <v>924</v>
      </c>
      <c r="E7" s="1031">
        <v>60</v>
      </c>
      <c r="F7" s="1377"/>
      <c r="G7" s="1378"/>
      <c r="H7" s="1378"/>
      <c r="I7" s="1378"/>
      <c r="J7" s="1379"/>
      <c r="K7" s="3235"/>
      <c r="L7" s="1799" t="s">
        <v>2231</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0.76080000000000003</v>
      </c>
      <c r="T7" s="2654">
        <f t="shared" ca="1" si="0"/>
        <v>29074</v>
      </c>
      <c r="U7" s="2643"/>
      <c r="V7" s="2654">
        <f t="shared" ca="1" si="1"/>
        <v>0</v>
      </c>
      <c r="W7" s="3286" t="s">
        <v>2742</v>
      </c>
      <c r="X7" s="2644" t="str">
        <f>G2</f>
        <v>一级</v>
      </c>
      <c r="Y7" s="2644" t="s">
        <v>2743</v>
      </c>
      <c r="Z7" s="2645">
        <f>G3</f>
        <v>10.1</v>
      </c>
      <c r="AA7" s="2073"/>
      <c r="AB7" s="2073"/>
      <c r="AC7" s="2074"/>
      <c r="AD7" s="2646"/>
      <c r="AE7" s="2646"/>
      <c r="AF7" s="2646"/>
      <c r="AG7" s="2646"/>
      <c r="AH7" s="2646"/>
      <c r="AI7" s="2646"/>
      <c r="AJ7" s="2647"/>
    </row>
    <row r="8" spans="1:39" ht="15" hidden="1">
      <c r="A8" s="3573"/>
      <c r="B8" s="1362" t="s">
        <v>925</v>
      </c>
      <c r="C8" s="1468" t="s">
        <v>3061</v>
      </c>
      <c r="D8" s="1032" t="s">
        <v>926</v>
      </c>
      <c r="E8" s="1033">
        <f>ROUND(C11/E7,4)</f>
        <v>0.125</v>
      </c>
      <c r="F8" s="1380" t="s">
        <v>927</v>
      </c>
      <c r="G8" s="1381"/>
      <c r="H8" s="1381"/>
      <c r="I8" s="1381"/>
      <c r="J8" s="1382"/>
      <c r="K8" s="3235"/>
      <c r="L8" s="1799" t="s">
        <v>2232</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83" t="s">
        <v>2760</v>
      </c>
      <c r="X8" s="3584"/>
      <c r="Y8" s="1763" t="s">
        <v>2744</v>
      </c>
      <c r="Z8" s="1763" t="s">
        <v>2745</v>
      </c>
      <c r="AA8" s="1763" t="s">
        <v>2746</v>
      </c>
      <c r="AB8" s="1763" t="s">
        <v>2747</v>
      </c>
      <c r="AC8" s="1763" t="s">
        <v>2748</v>
      </c>
      <c r="AD8" s="1763" t="s">
        <v>2749</v>
      </c>
      <c r="AE8" s="1763" t="s">
        <v>2750</v>
      </c>
      <c r="AF8" s="1763" t="s">
        <v>2751</v>
      </c>
      <c r="AG8" s="1763" t="s">
        <v>2752</v>
      </c>
      <c r="AH8" s="1763" t="s">
        <v>2753</v>
      </c>
      <c r="AI8" s="1763" t="s">
        <v>2754</v>
      </c>
      <c r="AJ8" s="1763" t="s">
        <v>2755</v>
      </c>
    </row>
    <row r="9" spans="1:39" ht="15" hidden="1">
      <c r="A9" s="3573"/>
      <c r="B9" s="1362" t="s">
        <v>928</v>
      </c>
      <c r="C9" s="1034">
        <f>SUMIF(修正!C59:C119,C8,修正!E59:E119)</f>
        <v>0.2</v>
      </c>
      <c r="D9" s="1035" t="s">
        <v>929</v>
      </c>
      <c r="E9" s="1035">
        <f>ROUND(C11/E7,4)</f>
        <v>0.125</v>
      </c>
      <c r="F9" s="1380" t="s">
        <v>930</v>
      </c>
      <c r="G9" s="1381"/>
      <c r="H9" s="1381"/>
      <c r="I9" s="1381"/>
      <c r="J9" s="1382"/>
      <c r="K9" s="3235"/>
      <c r="L9" s="1799" t="s">
        <v>2233</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82" t="s">
        <v>2756</v>
      </c>
      <c r="X9" s="2648" t="s">
        <v>2757</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hidden="1">
      <c r="A10" s="3573"/>
      <c r="B10" s="1362" t="s">
        <v>931</v>
      </c>
      <c r="C10" s="1035">
        <f>SUMIF(修正!C59:C119,C8,修正!F59:F119)</f>
        <v>30</v>
      </c>
      <c r="D10" s="1035" t="s">
        <v>932</v>
      </c>
      <c r="E10" s="1035">
        <f>ROUND(C11/E7,4)</f>
        <v>0.125</v>
      </c>
      <c r="F10" s="1380" t="s">
        <v>933</v>
      </c>
      <c r="G10" s="1381"/>
      <c r="H10" s="1381"/>
      <c r="I10" s="1381"/>
      <c r="J10" s="1382"/>
      <c r="K10" s="3235"/>
      <c r="L10" s="1799" t="s">
        <v>2234</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8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hidden="1" customHeight="1" thickBot="1">
      <c r="A11" s="3573"/>
      <c r="B11" s="1383" t="s">
        <v>934</v>
      </c>
      <c r="C11" s="1036">
        <f>C10/4</f>
        <v>7.5</v>
      </c>
      <c r="D11" s="1036" t="s">
        <v>935</v>
      </c>
      <c r="E11" s="1036">
        <f>ROUND(C11/E7,4)</f>
        <v>0.125</v>
      </c>
      <c r="F11" s="1384" t="s">
        <v>936</v>
      </c>
      <c r="G11" s="1385"/>
      <c r="H11" s="1385"/>
      <c r="I11" s="1385"/>
      <c r="J11" s="1386"/>
      <c r="K11" s="3235"/>
      <c r="L11" s="1799" t="s">
        <v>2235</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82" t="s">
        <v>2758</v>
      </c>
      <c r="X11" s="1035" t="s">
        <v>2743</v>
      </c>
      <c r="Y11" s="1581">
        <f>$G$3</f>
        <v>10.1</v>
      </c>
      <c r="Z11" s="1581">
        <f t="shared" ref="Z11:AJ11" si="3">$G$3</f>
        <v>10.1</v>
      </c>
      <c r="AA11" s="1581">
        <f t="shared" si="3"/>
        <v>10.1</v>
      </c>
      <c r="AB11" s="1581">
        <f t="shared" si="3"/>
        <v>10.1</v>
      </c>
      <c r="AC11" s="1581">
        <f t="shared" si="3"/>
        <v>10.1</v>
      </c>
      <c r="AD11" s="1581">
        <f t="shared" si="3"/>
        <v>10.1</v>
      </c>
      <c r="AE11" s="1581">
        <f t="shared" si="3"/>
        <v>10.1</v>
      </c>
      <c r="AF11" s="1581">
        <f t="shared" si="3"/>
        <v>10.1</v>
      </c>
      <c r="AG11" s="1581">
        <f t="shared" si="3"/>
        <v>10.1</v>
      </c>
      <c r="AH11" s="1581">
        <f t="shared" si="3"/>
        <v>10.1</v>
      </c>
      <c r="AI11" s="1581">
        <f t="shared" si="3"/>
        <v>10.1</v>
      </c>
      <c r="AJ11" s="1581">
        <f t="shared" si="3"/>
        <v>10.1</v>
      </c>
    </row>
    <row r="12" spans="1:39" ht="25.5" hidden="1" thickBot="1">
      <c r="A12" s="3572" t="s">
        <v>1862</v>
      </c>
      <c r="B12" s="1387" t="s">
        <v>937</v>
      </c>
      <c r="C12" s="1030">
        <f>ROUND(C15*D15*E15*F15*G15*H15*I15*J15,4)</f>
        <v>1</v>
      </c>
      <c r="D12" s="1388" t="s">
        <v>938</v>
      </c>
      <c r="E12" s="1389"/>
      <c r="F12" s="1389"/>
      <c r="G12" s="1390"/>
      <c r="H12" s="1390"/>
      <c r="I12" s="1390"/>
      <c r="J12" s="1391"/>
      <c r="K12" s="3235"/>
      <c r="L12" s="1802" t="s">
        <v>2236</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82"/>
      <c r="X12" s="2651" t="s">
        <v>2759</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75" hidden="1" thickBot="1">
      <c r="A13" s="3574"/>
      <c r="B13" s="1392" t="s">
        <v>1687</v>
      </c>
      <c r="C13" s="1393" t="s">
        <v>1688</v>
      </c>
      <c r="D13" s="1072" t="s">
        <v>1689</v>
      </c>
      <c r="E13" s="1072" t="s">
        <v>1690</v>
      </c>
      <c r="F13" s="1394" t="s">
        <v>939</v>
      </c>
      <c r="G13" s="1395" t="s">
        <v>1633</v>
      </c>
      <c r="H13" s="1396" t="s">
        <v>1633</v>
      </c>
      <c r="I13" s="1397" t="s">
        <v>1633</v>
      </c>
      <c r="J13" s="1398" t="s">
        <v>1633</v>
      </c>
      <c r="K13" s="2843"/>
      <c r="L13" s="2843"/>
      <c r="M13" s="2843"/>
      <c r="N13" s="2843"/>
      <c r="O13" s="2843"/>
      <c r="P13" s="2070"/>
      <c r="Q13" s="2070"/>
      <c r="R13" s="2654">
        <v>12</v>
      </c>
      <c r="S13" s="2643"/>
      <c r="T13" s="2654">
        <f t="shared" ca="1" si="0"/>
        <v>0</v>
      </c>
      <c r="U13" s="2643"/>
      <c r="V13" s="2654">
        <f t="shared" ca="1" si="1"/>
        <v>0</v>
      </c>
      <c r="W13" s="3582"/>
      <c r="X13" s="2651"/>
      <c r="Y13" s="2650">
        <f>(-0.163*(Y12^2)-0.59*Y12+7617)*(10^(-4))/Y11</f>
        <v>7.5415841584158427E-2</v>
      </c>
      <c r="Z13" s="2650">
        <f t="shared" ref="Z13:AJ13" si="5">(-0.163*(Z12^2)-0.59*Z12+7617)*(10^(-4))/Z11</f>
        <v>7.5415841584158427E-2</v>
      </c>
      <c r="AA13" s="2650">
        <f t="shared" si="5"/>
        <v>7.5415841584158427E-2</v>
      </c>
      <c r="AB13" s="2650">
        <f t="shared" si="5"/>
        <v>7.5415841584158427E-2</v>
      </c>
      <c r="AC13" s="2650">
        <f t="shared" si="5"/>
        <v>7.5415841584158427E-2</v>
      </c>
      <c r="AD13" s="2650">
        <f t="shared" si="5"/>
        <v>7.5415841584158427E-2</v>
      </c>
      <c r="AE13" s="2650">
        <f t="shared" si="5"/>
        <v>7.5415841584158427E-2</v>
      </c>
      <c r="AF13" s="2650">
        <f t="shared" si="5"/>
        <v>7.5415841584158427E-2</v>
      </c>
      <c r="AG13" s="2650">
        <f t="shared" si="5"/>
        <v>7.5415841584158427E-2</v>
      </c>
      <c r="AH13" s="2650">
        <f t="shared" si="5"/>
        <v>7.5415841584158427E-2</v>
      </c>
      <c r="AI13" s="2650">
        <f t="shared" si="5"/>
        <v>7.5415841584158427E-2</v>
      </c>
      <c r="AJ13" s="2650">
        <f t="shared" si="5"/>
        <v>7.5415841584158427E-2</v>
      </c>
    </row>
    <row r="14" spans="1:39" ht="12.75" hidden="1" customHeight="1">
      <c r="A14" s="3574"/>
      <c r="B14" s="1399"/>
      <c r="C14" s="1400"/>
      <c r="D14" s="1401"/>
      <c r="E14" s="1401"/>
      <c r="F14" s="1402"/>
      <c r="G14" s="1403" t="s">
        <v>940</v>
      </c>
      <c r="H14" s="1404"/>
      <c r="I14" s="1405"/>
      <c r="J14" s="1406"/>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hidden="1" customHeight="1" thickBot="1">
      <c r="A15" s="357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72" t="s">
        <v>1829</v>
      </c>
      <c r="B16" s="1375" t="s">
        <v>941</v>
      </c>
      <c r="C16" s="1039">
        <f>ROUND(IF(F17="与级别开发程度一致",0,(G17-E17)/C17),0)</f>
        <v>0</v>
      </c>
      <c r="D16" s="3590" t="s">
        <v>945</v>
      </c>
      <c r="E16" s="3591"/>
      <c r="F16" s="3590" t="s">
        <v>942</v>
      </c>
      <c r="G16" s="3591"/>
      <c r="H16" s="1407" t="s">
        <v>3005</v>
      </c>
      <c r="I16" s="1407" t="s">
        <v>3006</v>
      </c>
      <c r="J16" s="1407" t="s">
        <v>3008</v>
      </c>
      <c r="K16" s="1407" t="s">
        <v>3005</v>
      </c>
      <c r="L16" s="1407" t="s">
        <v>3009</v>
      </c>
      <c r="M16" s="1407" t="s">
        <v>3010</v>
      </c>
      <c r="N16" s="1407" t="s">
        <v>3011</v>
      </c>
      <c r="O16" s="2853" t="s">
        <v>3004</v>
      </c>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76"/>
      <c r="B17" s="2854" t="s">
        <v>944</v>
      </c>
      <c r="C17" s="2855">
        <f>SUMPRODUCT((修正!A2:A5=E2)*(修正!B1:M1=G2)*(修正!B2:M5))</f>
        <v>3.5</v>
      </c>
      <c r="D17" s="2856" t="str">
        <f>IF(OR(G2="八级",G2="九级",G2="十级",G2="十一级",G2="十二级"),"五通一平","七通一平")</f>
        <v>七通一平</v>
      </c>
      <c r="E17" s="2846">
        <f>SUMPRODUCT((修正!B1:M1=G2)*(修正!B15:M15))</f>
        <v>375</v>
      </c>
      <c r="F17" s="2847" t="s">
        <v>3248</v>
      </c>
      <c r="G17" s="2846">
        <f>SUM(H17:O17)</f>
        <v>435</v>
      </c>
      <c r="H17" s="1038">
        <f>SUMPRODUCT((七通一平=H16)*(修正!B1:M1=G2)*(修正!B6:M14))</f>
        <v>80</v>
      </c>
      <c r="I17" s="1038">
        <f>SUMPRODUCT((七通一平=I16)*(修正!B1:M1=G2)*(修正!B6:M14))</f>
        <v>70</v>
      </c>
      <c r="J17" s="1038">
        <f>SUMPRODUCT((七通一平=J16)*(修正!B1:M1=G2)*(修正!B6:M14))</f>
        <v>30</v>
      </c>
      <c r="K17" s="1038">
        <f>SUMPRODUCT((七通一平=K16)*(修正!B1:M1=G2)*(修正!B6:M14))</f>
        <v>80</v>
      </c>
      <c r="L17" s="1038">
        <f>SUMPRODUCT((七通一平=L16)*(修正!B1:M1=G2)*(修正!B6:M14))</f>
        <v>45</v>
      </c>
      <c r="M17" s="1038">
        <f>SUMPRODUCT((七通一平=M16)*(修正!B1:M1=G2)*(修正!B6:M14))</f>
        <v>60</v>
      </c>
      <c r="N17" s="1038">
        <f>SUMPRODUCT((七通一平=N16)*(修正!B1:M1=G2)*(修正!B6:M14))</f>
        <v>50</v>
      </c>
      <c r="O17" s="2857">
        <f>SUMPRODUCT((七通一平=O16)*(修正!B1:M1=G2)*(修正!B6:M14))</f>
        <v>20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40">
        <f>ROUND(IF(H19="按公示增长率计算",SUMPRODUCT((地价!A3:A32=YEAR(G19)&amp;"-"&amp;ROUNDUP(MONTH(G19)/3,0))*(地价!X2:AB2=E2)*(地价!X3:AB32)),IF(H19="地价指数",M20/M19,(1+I19)^O19)),4)</f>
        <v>1.3472</v>
      </c>
      <c r="D19" s="1414" t="s">
        <v>948</v>
      </c>
      <c r="E19" s="1041">
        <v>41640</v>
      </c>
      <c r="F19" s="1414" t="s">
        <v>949</v>
      </c>
      <c r="G19" s="1042">
        <f>'数据-取费表'!B2</f>
        <v>44127</v>
      </c>
      <c r="H19" s="1415" t="s">
        <v>2949</v>
      </c>
      <c r="I19" s="2503" t="str">
        <f>IF(H19="季度增幅（自定义）",SUMIF(N21:N24,E2,O21:O24),"")</f>
        <v/>
      </c>
      <c r="J19" s="1411"/>
      <c r="K19" s="3234"/>
      <c r="L19" s="2753" t="s">
        <v>2818</v>
      </c>
      <c r="M19" s="2754">
        <f>ROUND(SUMIF(地价!B2:F2,E2,地价!B32:F32),0)</f>
        <v>258</v>
      </c>
      <c r="N19" s="2505" t="s">
        <v>1667</v>
      </c>
      <c r="O19" s="2504">
        <f>ROUNDDOWN(DATEDIF(E19,G19,"M")/3,0)</f>
        <v>27</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f ca="1">ROUND(POWER(1+G20,J20-I20)*(POWER(1+G20,I20)-1)/(POWER(1+G20,J20)-1),4)</f>
        <v>0.90510000000000002</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35.35</v>
      </c>
      <c r="J20" s="2502">
        <f>IF(E2="住宅",70,IF(E2="商业",40,50))</f>
        <v>50</v>
      </c>
      <c r="K20" s="2844"/>
      <c r="L20" s="2755" t="s">
        <v>2819</v>
      </c>
      <c r="M20" s="2837">
        <f>ROUND(SUMPRODUCT((地价!A4:A32=YEAR(G19)&amp;"-"&amp;ROUNDUP(MONTH(G19)/3,0))*(地价!B2:F2=E2)*(地价!B4:F32)),0)</f>
        <v>347</v>
      </c>
      <c r="N20" s="2508" t="s">
        <v>2624</v>
      </c>
      <c r="O20" s="2506" t="s">
        <v>2623</v>
      </c>
      <c r="P20" s="2507" t="s">
        <v>2628</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2985</v>
      </c>
      <c r="C21" s="1141">
        <f>IF(B21="容积率修正",IF(G3&lt;=10,D22,J22),C23)</f>
        <v>0.82779999999999998</v>
      </c>
      <c r="D21" s="1421"/>
      <c r="E21" s="1421"/>
      <c r="F21" s="1421"/>
      <c r="G21" s="1421"/>
      <c r="H21" s="1421"/>
      <c r="I21" s="1421"/>
      <c r="J21" s="1422"/>
      <c r="K21" s="3234"/>
      <c r="L21" s="1421"/>
      <c r="M21" s="1421"/>
      <c r="N21" s="1418" t="s">
        <v>966</v>
      </c>
      <c r="O21" s="1481"/>
      <c r="P21" s="2495">
        <f>SUMPRODUCT((地价!A3:A32=YEAR(G19)&amp;"-"&amp;ROUNDUP(MONTH(G19)/3,0))*(地价!AD2:AH2=N21)*(地价!AD3:AH32))</f>
        <v>1.1599999999999999E-2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3" t="s">
        <v>1693</v>
      </c>
      <c r="D22" s="1043" t="str">
        <f>IF(E22=G22,F22,IF(G3&lt;=10,ROUND(F22+(H22-F22)*(G3-E22)/(G22-E22),4),"——"))</f>
        <v>——</v>
      </c>
      <c r="E22" s="1026">
        <f>ROUNDDOWN(G3,1)</f>
        <v>10.1</v>
      </c>
      <c r="F22" s="104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26">
        <f>ROUNDUP(G3,1)</f>
        <v>10.1</v>
      </c>
      <c r="H22" s="104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43" t="s">
        <v>968</v>
      </c>
      <c r="J22" s="1043">
        <f>IF(G3&gt;10,D113,"——")</f>
        <v>0.82779999999999998</v>
      </c>
      <c r="K22" s="3240"/>
      <c r="L22" s="1421"/>
      <c r="M22" s="1421"/>
      <c r="N22" s="1418" t="s">
        <v>969</v>
      </c>
      <c r="O22" s="1481"/>
      <c r="P22" s="2495">
        <f>SUMPRODUCT((地价!A3:A32=YEAR(G19)&amp;"-"&amp;ROUNDUP(MONTH(G19)/3,0))*(地价!AD2:AH2=N22)*(地价!AD3:AH32))</f>
        <v>1.1599999999999999E-2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4">
        <f>ROUND(IF(G3&gt;1,IF(I3&lt;7,SUMPRODUCT((B93:B98=I3)*(C92:N92=G2)*(C93:N98)),SUMIF(C92:N92,G2,C100:N100)),IF(I3&lt;7,SUMPRODUCT((B102:B107=I3)*(C92:N92=G2)*(C102:N107)),SUMIF(C92:N92,G2,C109:N109))),4)</f>
        <v>1.9361999999999999</v>
      </c>
      <c r="D23" s="1469"/>
      <c r="E23" s="1469"/>
      <c r="F23" s="1470"/>
      <c r="G23" s="1471"/>
      <c r="H23" s="1472"/>
      <c r="I23" s="1473"/>
      <c r="J23" s="1473"/>
      <c r="K23" s="3241"/>
      <c r="L23" s="1349"/>
      <c r="M23" s="1349"/>
      <c r="N23" s="1418" t="s">
        <v>914</v>
      </c>
      <c r="O23" s="1481"/>
      <c r="P23" s="2495">
        <f>SUMPRODUCT((地价!A3:A32=YEAR(G19)&amp;"-"&amp;ROUNDUP(MONTH(G19)/3,0))*(地价!AD2:AH2=N23)*(地价!AD3:AH32))</f>
        <v>1.9E-2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5">
        <f>SUMIF(A44:A87,E2,B44:B87)</f>
        <v>1.0524</v>
      </c>
      <c r="D24" s="1474"/>
      <c r="E24" s="1475"/>
      <c r="F24" s="1475"/>
      <c r="G24" s="1475"/>
      <c r="H24" s="1475"/>
      <c r="I24" s="1475"/>
      <c r="J24" s="1475"/>
      <c r="K24" s="3241"/>
      <c r="L24" s="1421"/>
      <c r="M24" s="1421"/>
      <c r="N24" s="1418" t="s">
        <v>972</v>
      </c>
      <c r="O24" s="2836"/>
      <c r="P24" s="2495">
        <f>SUMPRODUCT((地价!A3:A32=YEAR(G19)&amp;"-"&amp;ROUNDUP(MONTH(G19)/3,0))*(地价!AD2:AH2=N24)*(地价!AD3:AH32))</f>
        <v>1.23E-2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5"/>
      <c r="L25" s="2076"/>
      <c r="M25" s="2076"/>
      <c r="N25" s="2838" t="s">
        <v>2626</v>
      </c>
      <c r="O25" s="2839"/>
      <c r="P25" s="2302">
        <f>SUMPRODUCT((地价!A3:A32=YEAR(G19)&amp;"-"&amp;ROUNDUP(MONTH(G19)/3,0))*(地价!AD2:AH2=N25)*(地价!AD3:AH32))</f>
        <v>1.7299999999999999E-2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f ca="1">IF(B21="容积率修正",E29+SUM(E33:E39),SUM(V2:V16)+SUM(E33:E39))</f>
        <v>530607</v>
      </c>
      <c r="D26" s="1429"/>
      <c r="E26" s="1404"/>
      <c r="F26" s="1430"/>
      <c r="G26" s="1404"/>
      <c r="H26" s="1404"/>
      <c r="I26" s="1404"/>
      <c r="J26" s="1431"/>
      <c r="K26" s="3235"/>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f ca="1">E30+SUM(I33:I39)</f>
        <v>13097</v>
      </c>
      <c r="D27" s="1433"/>
      <c r="E27" s="1434"/>
      <c r="F27" s="1435"/>
      <c r="G27" s="1434"/>
      <c r="H27" s="1434"/>
      <c r="I27" s="1434"/>
      <c r="J27" s="1436"/>
      <c r="K27" s="3235"/>
      <c r="L27" s="1408" t="s">
        <v>978</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5"/>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6">
        <f ca="1">ROUND(C5*C18*C19*C20*C21*C24,0)</f>
        <v>31634</v>
      </c>
      <c r="D29" s="1443">
        <f>'数据-汇总表'!F21</f>
        <v>151175</v>
      </c>
      <c r="E29" s="1763">
        <f ca="1">ROUND(C29*D29/10000,0)</f>
        <v>478227</v>
      </c>
      <c r="F29" s="1444" t="s">
        <v>1692</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8">
        <f ca="1">ROUND(IF(E2="工业",C29*M39,C29*M38),0)</f>
        <v>7909</v>
      </c>
      <c r="D30" s="1449"/>
      <c r="E30" s="1763">
        <f ca="1">ROUND(C30*D30/10000,0)</f>
        <v>0</v>
      </c>
      <c r="F30" s="1450" t="s">
        <v>986</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79"/>
      <c r="B33" s="1463" t="s">
        <v>990</v>
      </c>
      <c r="C33" s="1046">
        <f ca="1">ROUND(D5*C19*C20*C24*F33,0)</f>
        <v>30572</v>
      </c>
      <c r="D33" s="1476"/>
      <c r="E33" s="1035">
        <f ca="1">ROUND(C33*D33/10000,0)</f>
        <v>0</v>
      </c>
      <c r="F33" s="1035">
        <f>SUMIF(修正!A45:A56,G2,修正!B45:B56)</f>
        <v>0.8</v>
      </c>
      <c r="G33" s="1035">
        <f t="shared" ref="G33" ca="1" si="6">ROUND(IF(E2="工业",C33*$M$39,C33*$M$38),0)</f>
        <v>7643</v>
      </c>
      <c r="H33" s="1035">
        <f>D33</f>
        <v>0</v>
      </c>
      <c r="I33" s="1035">
        <f ca="1">ROUND(G33*H33/10000,0)</f>
        <v>0</v>
      </c>
      <c r="J33" s="3579" t="s">
        <v>2989</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80"/>
      <c r="B34" s="1393" t="s">
        <v>991</v>
      </c>
      <c r="C34" s="1046">
        <f ca="1">ROUND(D5*C19*C20*C24*F34,0)</f>
        <v>19108</v>
      </c>
      <c r="D34" s="1476"/>
      <c r="E34" s="1035">
        <f t="shared" ref="E34:E39" ca="1" si="7">ROUND(C34*D34/10000,0)</f>
        <v>0</v>
      </c>
      <c r="F34" s="1035">
        <f>SUMIF(修正!A45:A56,G2,修正!C45:C56)</f>
        <v>0.5</v>
      </c>
      <c r="G34" s="1035">
        <f ca="1">ROUND(IF(E2="工业",C34*$M$39,C34*$M$38),0)</f>
        <v>4777</v>
      </c>
      <c r="H34" s="1035">
        <f t="shared" ref="H34:H39" si="8">D34</f>
        <v>0</v>
      </c>
      <c r="I34" s="1035">
        <f t="shared" ref="I34:I39" ca="1" si="9">ROUND(G34*H34/10000,0)</f>
        <v>0</v>
      </c>
      <c r="J34" s="358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80"/>
      <c r="B35" s="1393" t="s">
        <v>992</v>
      </c>
      <c r="C35" s="1046">
        <f ca="1">ROUND(D5*C19*C20*C24*F35,0)</f>
        <v>13757</v>
      </c>
      <c r="D35" s="1476"/>
      <c r="E35" s="1035">
        <f t="shared" ca="1" si="7"/>
        <v>0</v>
      </c>
      <c r="F35" s="1035">
        <f>SUMIF(修正!A45:A56,G2,修正!D45:D56)</f>
        <v>0.36</v>
      </c>
      <c r="G35" s="1035">
        <f ca="1">ROUND(IF(E2="工业",C35*$M$39,C35*$M$38),0)</f>
        <v>3439</v>
      </c>
      <c r="H35" s="1035">
        <f t="shared" si="8"/>
        <v>0</v>
      </c>
      <c r="I35" s="1035">
        <f t="shared" ca="1" si="9"/>
        <v>0</v>
      </c>
      <c r="J35" s="358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81"/>
      <c r="B36" s="1393" t="s">
        <v>993</v>
      </c>
      <c r="C36" s="1046">
        <f ca="1">ROUND(D5*C19*C20*C24*F36,0)</f>
        <v>11465</v>
      </c>
      <c r="D36" s="1476"/>
      <c r="E36" s="1035">
        <f t="shared" ca="1" si="7"/>
        <v>0</v>
      </c>
      <c r="F36" s="1035">
        <f>SUMIF(修正!A45:A56,G2,修正!E45:E56)</f>
        <v>0.3</v>
      </c>
      <c r="G36" s="1035">
        <f ca="1">ROUND(IF(E2="工业",C36*$M$39,C36*$M$38),0)</f>
        <v>2866</v>
      </c>
      <c r="H36" s="1035">
        <f t="shared" si="8"/>
        <v>0</v>
      </c>
      <c r="I36" s="1035">
        <f t="shared" ca="1" si="9"/>
        <v>0</v>
      </c>
      <c r="J36" s="358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f ca="1">ROUND(D5*C19*C20*C24*F37,0)</f>
        <v>11465</v>
      </c>
      <c r="D37" s="1476"/>
      <c r="E37" s="1035">
        <f t="shared" ca="1" si="7"/>
        <v>0</v>
      </c>
      <c r="F37" s="1046">
        <f>SUMIF(修正!A45:A56,G2,修正!F45:F56)</f>
        <v>0.3</v>
      </c>
      <c r="G37" s="1035">
        <f ca="1">ROUND(IF(E2="工业",C37*$M$39,C37*$M$38),0)</f>
        <v>2866</v>
      </c>
      <c r="H37" s="1035">
        <f t="shared" si="8"/>
        <v>0</v>
      </c>
      <c r="I37" s="1035">
        <f t="shared" ca="1" si="9"/>
        <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f ca="1">ROUND(D5*C19*C41*C24*F38,0)</f>
        <v>11465</v>
      </c>
      <c r="D38" s="1476">
        <f>'数据-汇总表'!G23</f>
        <v>3293.4</v>
      </c>
      <c r="E38" s="1035">
        <f t="shared" ca="1" si="7"/>
        <v>3776</v>
      </c>
      <c r="F38" s="1046">
        <f>SUMIF(修正!A45:A56,G2,修正!G45:G56)</f>
        <v>0.3</v>
      </c>
      <c r="G38" s="1035">
        <f ca="1">ROUND(IF(E2="工业",C38*$M$39,C38*$M$38),0)</f>
        <v>2866</v>
      </c>
      <c r="H38" s="1035">
        <f t="shared" si="8"/>
        <v>3293.4</v>
      </c>
      <c r="I38" s="1035">
        <f t="shared" ca="1" si="9"/>
        <v>944</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f ca="1">ROUND(D5*C19*C41*C24*F39,0)</f>
        <v>9554</v>
      </c>
      <c r="D39" s="1477">
        <f>'数据-基础表'!Q13</f>
        <v>50872.61</v>
      </c>
      <c r="E39" s="1038">
        <f t="shared" ca="1" si="7"/>
        <v>48604</v>
      </c>
      <c r="F39" s="1048">
        <f>SUMIF(修正!A45:A56,G2,修正!H45:H56)</f>
        <v>0.25</v>
      </c>
      <c r="G39" s="1038">
        <f ca="1">ROUND(IF(E2="工业",C39*$M$39,C39*$M$38),0)</f>
        <v>2389</v>
      </c>
      <c r="H39" s="1038">
        <f t="shared" si="8"/>
        <v>50872.61</v>
      </c>
      <c r="I39" s="1038">
        <f t="shared" ca="1" si="9"/>
        <v>12153</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2943</v>
      </c>
      <c r="C41" s="828">
        <f ca="1">ROUND(POWER(1+E41,H41-G41)*(POWER(1+E41,G41)-1)/(POWER(1+E41,H41)-1),4)</f>
        <v>0.90510000000000002</v>
      </c>
      <c r="D41" s="372" t="s">
        <v>2941</v>
      </c>
      <c r="E41" s="2832">
        <f ca="1">G20</f>
        <v>5.1999999999999998E-2</v>
      </c>
      <c r="F41" s="372" t="s">
        <v>2942</v>
      </c>
      <c r="G41" s="390">
        <f>项目基本情况!G19</f>
        <v>35.35</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2237</v>
      </c>
      <c r="G46" s="2286" t="s">
        <v>1005</v>
      </c>
      <c r="H46" s="2269" t="s">
        <v>2401</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5" t="s">
        <v>2899</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4" t="s">
        <v>2898</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1.0524</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2238</v>
      </c>
      <c r="G57" s="2286" t="s">
        <v>1005</v>
      </c>
      <c r="H57" s="2269" t="s">
        <v>2401</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t="s">
        <v>3215</v>
      </c>
      <c r="D58" s="2272">
        <f t="shared" ref="D58:D66" si="15">SUMIF($J$57:$N$57,C58,J58:N58)</f>
        <v>1.17E-2</v>
      </c>
      <c r="E58" s="2291">
        <f>ROUND(SUM(D58:D66),4)</f>
        <v>5.2400000000000002E-2</v>
      </c>
      <c r="F58" s="2292">
        <f>IF(E2="办公",SUMIF(L1:L12,G2,N1:N12),"——")</f>
        <v>9.8000000000000004E-2</v>
      </c>
      <c r="G58" s="2270">
        <f>H58</f>
        <v>1.17E-2</v>
      </c>
      <c r="H58" s="2315">
        <f>IFERROR(ROUNDDOWN($F$58*I58/2,4),"——")</f>
        <v>1.17E-2</v>
      </c>
      <c r="I58" s="2290">
        <v>0.24</v>
      </c>
      <c r="J58" s="2293">
        <f t="shared" ref="J58:J66" si="16">K58+$G58</f>
        <v>2.3400000000000001E-2</v>
      </c>
      <c r="K58" s="2293">
        <f t="shared" ref="K58:K66" si="17">$L58+$G58</f>
        <v>1.17E-2</v>
      </c>
      <c r="L58" s="2293">
        <v>0</v>
      </c>
      <c r="M58" s="2293">
        <f t="shared" ref="M58:N66" si="18">L58-$G58</f>
        <v>-1.17E-2</v>
      </c>
      <c r="N58" s="2293">
        <f t="shared" si="18"/>
        <v>-2.3400000000000001E-2</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t="s">
        <v>3215</v>
      </c>
      <c r="D59" s="2272">
        <f t="shared" si="15"/>
        <v>1.47E-2</v>
      </c>
      <c r="E59" s="2294"/>
      <c r="F59" s="2292"/>
      <c r="G59" s="2270">
        <f t="shared" ref="G59:G66" si="19">H59</f>
        <v>1.47E-2</v>
      </c>
      <c r="H59" s="2271">
        <f t="shared" ref="H59:H66" si="20">IFERROR($F$58*I59/2,"——")</f>
        <v>1.47E-2</v>
      </c>
      <c r="I59" s="2290">
        <v>0.3</v>
      </c>
      <c r="J59" s="2293">
        <f t="shared" si="16"/>
        <v>2.9399999999999999E-2</v>
      </c>
      <c r="K59" s="2293">
        <f t="shared" si="17"/>
        <v>1.47E-2</v>
      </c>
      <c r="L59" s="2293">
        <v>0</v>
      </c>
      <c r="M59" s="2293">
        <f t="shared" si="18"/>
        <v>-1.47E-2</v>
      </c>
      <c r="N59" s="2293">
        <f t="shared" si="18"/>
        <v>-2.9399999999999999E-2</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t="s">
        <v>3215</v>
      </c>
      <c r="D60" s="2272">
        <f t="shared" si="15"/>
        <v>3.9199999999999999E-3</v>
      </c>
      <c r="E60" s="2294"/>
      <c r="F60" s="2292"/>
      <c r="G60" s="2270">
        <f t="shared" si="19"/>
        <v>3.9199999999999999E-3</v>
      </c>
      <c r="H60" s="2271">
        <f t="shared" si="20"/>
        <v>3.9199999999999999E-3</v>
      </c>
      <c r="I60" s="2290">
        <v>0.08</v>
      </c>
      <c r="J60" s="2293">
        <f t="shared" si="16"/>
        <v>7.8399999999999997E-3</v>
      </c>
      <c r="K60" s="2293">
        <f t="shared" si="17"/>
        <v>3.9199999999999999E-3</v>
      </c>
      <c r="L60" s="2293">
        <v>0</v>
      </c>
      <c r="M60" s="2293">
        <f t="shared" si="18"/>
        <v>-3.9199999999999999E-3</v>
      </c>
      <c r="N60" s="2293">
        <f t="shared" si="18"/>
        <v>-7.8399999999999997E-3</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5" t="s">
        <v>2899</v>
      </c>
      <c r="C61" s="1037" t="s">
        <v>3215</v>
      </c>
      <c r="D61" s="2272">
        <f t="shared" si="15"/>
        <v>1.9599999999999999E-3</v>
      </c>
      <c r="E61" s="2294"/>
      <c r="F61" s="2292"/>
      <c r="G61" s="2270">
        <f t="shared" si="19"/>
        <v>1.9599999999999999E-3</v>
      </c>
      <c r="H61" s="2271">
        <f t="shared" si="20"/>
        <v>1.9599999999999999E-3</v>
      </c>
      <c r="I61" s="2290">
        <v>0.04</v>
      </c>
      <c r="J61" s="2293">
        <f t="shared" si="16"/>
        <v>3.9199999999999999E-3</v>
      </c>
      <c r="K61" s="2293">
        <f t="shared" si="17"/>
        <v>1.9599999999999999E-3</v>
      </c>
      <c r="L61" s="2293">
        <v>0</v>
      </c>
      <c r="M61" s="2293">
        <f t="shared" si="18"/>
        <v>-1.9599999999999999E-3</v>
      </c>
      <c r="N61" s="2293">
        <f t="shared" si="18"/>
        <v>-3.9199999999999999E-3</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t="s">
        <v>3214</v>
      </c>
      <c r="D62" s="2272">
        <f t="shared" si="15"/>
        <v>0</v>
      </c>
      <c r="E62" s="2294"/>
      <c r="F62" s="2292"/>
      <c r="G62" s="2270">
        <f t="shared" si="19"/>
        <v>2.4500000000000004E-3</v>
      </c>
      <c r="H62" s="2271">
        <f t="shared" si="20"/>
        <v>2.4500000000000004E-3</v>
      </c>
      <c r="I62" s="2290">
        <v>0.05</v>
      </c>
      <c r="J62" s="2293">
        <f t="shared" si="16"/>
        <v>4.9000000000000007E-3</v>
      </c>
      <c r="K62" s="2293">
        <f t="shared" si="17"/>
        <v>2.4500000000000004E-3</v>
      </c>
      <c r="L62" s="2293">
        <v>0</v>
      </c>
      <c r="M62" s="2293">
        <f t="shared" si="18"/>
        <v>-2.4500000000000004E-3</v>
      </c>
      <c r="N62" s="2293">
        <f t="shared" si="18"/>
        <v>-4.9000000000000007E-3</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4" t="s">
        <v>2898</v>
      </c>
      <c r="C63" s="1037" t="s">
        <v>3215</v>
      </c>
      <c r="D63" s="2272">
        <f t="shared" si="15"/>
        <v>2.4500000000000004E-3</v>
      </c>
      <c r="E63" s="2294"/>
      <c r="F63" s="2292"/>
      <c r="G63" s="2270">
        <f t="shared" si="19"/>
        <v>2.4500000000000004E-3</v>
      </c>
      <c r="H63" s="2271">
        <f t="shared" si="20"/>
        <v>2.4500000000000004E-3</v>
      </c>
      <c r="I63" s="2290">
        <v>0.05</v>
      </c>
      <c r="J63" s="2293">
        <f t="shared" si="16"/>
        <v>4.9000000000000007E-3</v>
      </c>
      <c r="K63" s="2293">
        <f t="shared" si="17"/>
        <v>2.4500000000000004E-3</v>
      </c>
      <c r="L63" s="2293">
        <v>0</v>
      </c>
      <c r="M63" s="2293">
        <f t="shared" si="18"/>
        <v>-2.4500000000000004E-3</v>
      </c>
      <c r="N63" s="2293">
        <f t="shared" si="18"/>
        <v>-4.9000000000000007E-3</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t="s">
        <v>3215</v>
      </c>
      <c r="D64" s="2272">
        <f t="shared" si="15"/>
        <v>2.9399999999999999E-3</v>
      </c>
      <c r="E64" s="2294"/>
      <c r="F64" s="2292"/>
      <c r="G64" s="2270">
        <f t="shared" si="19"/>
        <v>2.9399999999999999E-3</v>
      </c>
      <c r="H64" s="2271">
        <f t="shared" si="20"/>
        <v>2.9399999999999999E-3</v>
      </c>
      <c r="I64" s="2290">
        <v>0.06</v>
      </c>
      <c r="J64" s="2293">
        <f t="shared" si="16"/>
        <v>5.8799999999999998E-3</v>
      </c>
      <c r="K64" s="2293">
        <f t="shared" si="17"/>
        <v>2.9399999999999999E-3</v>
      </c>
      <c r="L64" s="2293">
        <v>0</v>
      </c>
      <c r="M64" s="2293">
        <f t="shared" si="18"/>
        <v>-2.9399999999999999E-3</v>
      </c>
      <c r="N64" s="2293">
        <f t="shared" si="18"/>
        <v>-5.8799999999999998E-3</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t="s">
        <v>3213</v>
      </c>
      <c r="D65" s="2272">
        <f t="shared" si="15"/>
        <v>1.176E-2</v>
      </c>
      <c r="E65" s="2294"/>
      <c r="F65" s="2292"/>
      <c r="G65" s="2270">
        <f t="shared" si="19"/>
        <v>5.8799999999999998E-3</v>
      </c>
      <c r="H65" s="2271">
        <f t="shared" si="20"/>
        <v>5.8799999999999998E-3</v>
      </c>
      <c r="I65" s="2290">
        <v>0.12</v>
      </c>
      <c r="J65" s="2293">
        <f t="shared" si="16"/>
        <v>1.176E-2</v>
      </c>
      <c r="K65" s="2293">
        <f t="shared" si="17"/>
        <v>5.8799999999999998E-3</v>
      </c>
      <c r="L65" s="2293">
        <v>0</v>
      </c>
      <c r="M65" s="2293">
        <f t="shared" si="18"/>
        <v>-5.8799999999999998E-3</v>
      </c>
      <c r="N65" s="2293">
        <f t="shared" si="18"/>
        <v>-1.176E-2</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t="s">
        <v>3215</v>
      </c>
      <c r="D66" s="2272">
        <f t="shared" si="15"/>
        <v>2.9399999999999999E-3</v>
      </c>
      <c r="E66" s="2298"/>
      <c r="F66" s="2292"/>
      <c r="G66" s="2270">
        <f t="shared" si="19"/>
        <v>2.9399999999999999E-3</v>
      </c>
      <c r="H66" s="2271">
        <f t="shared" si="20"/>
        <v>2.9399999999999999E-3</v>
      </c>
      <c r="I66" s="2297">
        <v>0.06</v>
      </c>
      <c r="J66" s="2293">
        <f t="shared" si="16"/>
        <v>5.8799999999999998E-3</v>
      </c>
      <c r="K66" s="2293">
        <f t="shared" si="17"/>
        <v>2.9399999999999999E-3</v>
      </c>
      <c r="L66" s="2293">
        <v>0</v>
      </c>
      <c r="M66" s="2293">
        <f t="shared" si="18"/>
        <v>-2.9399999999999999E-3</v>
      </c>
      <c r="N66" s="2293">
        <f t="shared" si="18"/>
        <v>-5.8799999999999998E-3</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2239</v>
      </c>
      <c r="G68" s="2286" t="s">
        <v>1005</v>
      </c>
      <c r="H68" s="2269" t="s">
        <v>2401</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c r="D69" s="2272">
        <f t="shared" ref="D69:D77" si="21">SUMIF($J$68:$N$68,C69,J69:N69)</f>
        <v>0</v>
      </c>
      <c r="E69" s="2291">
        <f>ROUND(SUM(D69:D77),4)</f>
        <v>0</v>
      </c>
      <c r="F69" s="2292" t="str">
        <f>IF(E2="住宅",SUMIF(L1:L12,G2,N1:N12),"——")</f>
        <v>——</v>
      </c>
      <c r="G69" s="2273"/>
      <c r="H69" s="2316" t="str">
        <f t="shared" ref="H69:H77" si="22">IFERROR(ROUNDDOWN($F$69*I69/2,4),"——")</f>
        <v>——</v>
      </c>
      <c r="I69" s="2290">
        <v>0.14000000000000001</v>
      </c>
      <c r="J69" s="2293">
        <f t="shared" ref="J69:J77" si="23">K69+$G69</f>
        <v>0</v>
      </c>
      <c r="K69" s="2293">
        <f t="shared" ref="K69:K77" si="24">$L69+$G69</f>
        <v>0</v>
      </c>
      <c r="L69" s="2293">
        <v>0</v>
      </c>
      <c r="M69" s="2293">
        <f t="shared" ref="M69:N77" si="25">L69-$G69</f>
        <v>0</v>
      </c>
      <c r="N69" s="2293">
        <f t="shared" si="25"/>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1012</v>
      </c>
      <c r="B70" s="2263" t="str">
        <f>估价对象房地状况!C18</f>
        <v>估价对象周边道路状况、公共交通通达情况、停车便捷程度，综合评价交通便捷度较好</v>
      </c>
      <c r="C70" s="1142"/>
      <c r="D70" s="2272">
        <f t="shared" si="21"/>
        <v>0</v>
      </c>
      <c r="E70" s="2300"/>
      <c r="F70" s="2301"/>
      <c r="G70" s="2273"/>
      <c r="H70" s="2316" t="str">
        <f t="shared" si="22"/>
        <v>——</v>
      </c>
      <c r="I70" s="2290">
        <v>0.3</v>
      </c>
      <c r="J70" s="2293">
        <f t="shared" si="23"/>
        <v>0</v>
      </c>
      <c r="K70" s="2293">
        <f t="shared" si="24"/>
        <v>0</v>
      </c>
      <c r="L70" s="2293">
        <v>0</v>
      </c>
      <c r="M70" s="2293">
        <f t="shared" si="25"/>
        <v>0</v>
      </c>
      <c r="N70" s="2293">
        <f t="shared" si="25"/>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1"/>
        <v>0</v>
      </c>
      <c r="E71" s="2300"/>
      <c r="F71" s="2301"/>
      <c r="G71" s="2273"/>
      <c r="H71" s="2316" t="str">
        <f t="shared" si="22"/>
        <v>——</v>
      </c>
      <c r="I71" s="2290">
        <v>0.08</v>
      </c>
      <c r="J71" s="2293">
        <f t="shared" si="23"/>
        <v>0</v>
      </c>
      <c r="K71" s="2293">
        <f t="shared" si="24"/>
        <v>0</v>
      </c>
      <c r="L71" s="2293">
        <v>0</v>
      </c>
      <c r="M71" s="2293">
        <f t="shared" si="25"/>
        <v>0</v>
      </c>
      <c r="N71" s="2293">
        <f t="shared" si="25"/>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1"/>
        <v>0</v>
      </c>
      <c r="E72" s="2300"/>
      <c r="F72" s="2301"/>
      <c r="G72" s="2273"/>
      <c r="H72" s="2316" t="str">
        <f t="shared" si="22"/>
        <v>——</v>
      </c>
      <c r="I72" s="2290">
        <v>0.04</v>
      </c>
      <c r="J72" s="2293">
        <f t="shared" si="23"/>
        <v>0</v>
      </c>
      <c r="K72" s="2293">
        <f t="shared" si="24"/>
        <v>0</v>
      </c>
      <c r="L72" s="2293">
        <v>0</v>
      </c>
      <c r="M72" s="2293">
        <f t="shared" si="25"/>
        <v>0</v>
      </c>
      <c r="N72" s="2293">
        <f t="shared" si="25"/>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c r="D73" s="2272">
        <f t="shared" si="21"/>
        <v>0</v>
      </c>
      <c r="E73" s="2300"/>
      <c r="F73" s="2301"/>
      <c r="G73" s="2273"/>
      <c r="H73" s="2316" t="str">
        <f t="shared" si="22"/>
        <v>——</v>
      </c>
      <c r="I73" s="2290">
        <v>0.08</v>
      </c>
      <c r="J73" s="2293">
        <f t="shared" si="23"/>
        <v>0</v>
      </c>
      <c r="K73" s="2293">
        <f t="shared" si="24"/>
        <v>0</v>
      </c>
      <c r="L73" s="2293">
        <v>0</v>
      </c>
      <c r="M73" s="2293">
        <f t="shared" si="25"/>
        <v>0</v>
      </c>
      <c r="N73" s="2293">
        <f t="shared" si="25"/>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c r="D74" s="2272">
        <f t="shared" si="21"/>
        <v>0</v>
      </c>
      <c r="E74" s="2300"/>
      <c r="F74" s="2301"/>
      <c r="G74" s="2273"/>
      <c r="H74" s="2316" t="str">
        <f t="shared" si="22"/>
        <v>——</v>
      </c>
      <c r="I74" s="2290">
        <v>0.12</v>
      </c>
      <c r="J74" s="2293">
        <f t="shared" si="23"/>
        <v>0</v>
      </c>
      <c r="K74" s="2293">
        <f t="shared" si="24"/>
        <v>0</v>
      </c>
      <c r="L74" s="2293">
        <v>0</v>
      </c>
      <c r="M74" s="2293">
        <f t="shared" si="25"/>
        <v>0</v>
      </c>
      <c r="N74" s="2293">
        <f t="shared" si="25"/>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4" t="s">
        <v>2898</v>
      </c>
      <c r="C75" s="1142"/>
      <c r="D75" s="2272">
        <f t="shared" si="21"/>
        <v>0</v>
      </c>
      <c r="E75" s="2300"/>
      <c r="F75" s="2301"/>
      <c r="G75" s="2273"/>
      <c r="H75" s="2316" t="str">
        <f t="shared" si="22"/>
        <v>——</v>
      </c>
      <c r="I75" s="2290">
        <v>0.05</v>
      </c>
      <c r="J75" s="2293">
        <f t="shared" si="23"/>
        <v>0</v>
      </c>
      <c r="K75" s="2293">
        <f t="shared" si="24"/>
        <v>0</v>
      </c>
      <c r="L75" s="2293">
        <v>0</v>
      </c>
      <c r="M75" s="2293">
        <f t="shared" si="25"/>
        <v>0</v>
      </c>
      <c r="N75" s="2293">
        <f t="shared" si="25"/>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c r="D76" s="2272">
        <f t="shared" si="21"/>
        <v>0</v>
      </c>
      <c r="E76" s="2300"/>
      <c r="F76" s="2301"/>
      <c r="G76" s="2273"/>
      <c r="H76" s="2316" t="str">
        <f t="shared" si="22"/>
        <v>——</v>
      </c>
      <c r="I76" s="2290">
        <v>0.15</v>
      </c>
      <c r="J76" s="2293">
        <f t="shared" si="23"/>
        <v>0</v>
      </c>
      <c r="K76" s="2293">
        <f t="shared" si="24"/>
        <v>0</v>
      </c>
      <c r="L76" s="2293">
        <v>0</v>
      </c>
      <c r="M76" s="2293">
        <f t="shared" si="25"/>
        <v>0</v>
      </c>
      <c r="N76" s="2293">
        <f t="shared" si="25"/>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1"/>
        <v>0</v>
      </c>
      <c r="E77" s="2302"/>
      <c r="F77" s="2301"/>
      <c r="G77" s="2273"/>
      <c r="H77" s="2316" t="str">
        <f t="shared" si="22"/>
        <v>——</v>
      </c>
      <c r="I77" s="2297">
        <v>0.04</v>
      </c>
      <c r="J77" s="2293">
        <f t="shared" si="23"/>
        <v>0</v>
      </c>
      <c r="K77" s="2293">
        <f t="shared" si="24"/>
        <v>0</v>
      </c>
      <c r="L77" s="2293">
        <v>0</v>
      </c>
      <c r="M77" s="2293">
        <f t="shared" si="25"/>
        <v>0</v>
      </c>
      <c r="N77" s="2293">
        <f t="shared" si="25"/>
        <v>0</v>
      </c>
      <c r="AC77" s="1353"/>
      <c r="AD77" s="1352"/>
      <c r="AJ77" s="1351"/>
      <c r="AN77" s="1352"/>
    </row>
    <row r="78" spans="1:40" ht="15">
      <c r="A78" s="2279" t="s">
        <v>1027</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2240</v>
      </c>
      <c r="G79" s="2286" t="s">
        <v>1005</v>
      </c>
      <c r="H79" s="2269" t="s">
        <v>2401</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6">SUMIF($J$79:$N$79,C80,J80:N80)</f>
        <v>0</v>
      </c>
      <c r="E80" s="2291">
        <f>ROUND(SUM(D80:D87),4)</f>
        <v>0</v>
      </c>
      <c r="F80" s="2292" t="str">
        <f>IF(E2="工业",SUMIF(L1:L12,G2,N1:N12),"——")</f>
        <v>——</v>
      </c>
      <c r="G80" s="2270"/>
      <c r="H80" s="2315" t="str">
        <f t="shared" ref="H80:H87" si="27">IFERROR(ROUNDDOWN($F$80*I80/2,4),"——")</f>
        <v>——</v>
      </c>
      <c r="I80" s="2290">
        <v>0.26</v>
      </c>
      <c r="J80" s="2293">
        <f t="shared" ref="J80:J87" si="28">K80+$G80</f>
        <v>0</v>
      </c>
      <c r="K80" s="2293">
        <f t="shared" ref="K80:K87" si="29">$L80+$G80</f>
        <v>0</v>
      </c>
      <c r="L80" s="2293">
        <v>0</v>
      </c>
      <c r="M80" s="2293">
        <f t="shared" ref="M80:N87" si="30">L80-$G80</f>
        <v>0</v>
      </c>
      <c r="N80" s="2293">
        <f t="shared" si="30"/>
        <v>0</v>
      </c>
      <c r="AC80" s="1353"/>
      <c r="AD80" s="1352"/>
      <c r="AJ80" s="1351"/>
      <c r="AN80" s="1352"/>
    </row>
    <row r="81" spans="1:40" ht="48">
      <c r="A81" s="1050" t="s">
        <v>1012</v>
      </c>
      <c r="B81" s="2263" t="str">
        <f>估价对象房地状况!G16</f>
        <v>估价对象周边道路状况、公共交通通达情况、停车便捷程度，综合评价交通便捷度较好</v>
      </c>
      <c r="C81" s="1037"/>
      <c r="D81" s="2272">
        <f t="shared" si="26"/>
        <v>0</v>
      </c>
      <c r="E81" s="2300"/>
      <c r="F81" s="2301"/>
      <c r="G81" s="2270"/>
      <c r="H81" s="2315" t="str">
        <f t="shared" si="27"/>
        <v>——</v>
      </c>
      <c r="I81" s="2290">
        <v>0.33</v>
      </c>
      <c r="J81" s="2293">
        <f t="shared" si="28"/>
        <v>0</v>
      </c>
      <c r="K81" s="2293">
        <f t="shared" si="29"/>
        <v>0</v>
      </c>
      <c r="L81" s="2293">
        <v>0</v>
      </c>
      <c r="M81" s="2293">
        <f t="shared" si="30"/>
        <v>0</v>
      </c>
      <c r="N81" s="2293">
        <f t="shared" si="30"/>
        <v>0</v>
      </c>
      <c r="AC81" s="1353"/>
      <c r="AD81" s="1352"/>
      <c r="AJ81" s="1351"/>
      <c r="AN81" s="1352"/>
    </row>
    <row r="82" spans="1:40" ht="24">
      <c r="A82" s="1050" t="s">
        <v>1013</v>
      </c>
      <c r="B82" s="2263">
        <f>估价对象房地状况!G17</f>
        <v>0</v>
      </c>
      <c r="C82" s="1037"/>
      <c r="D82" s="2272">
        <f t="shared" si="26"/>
        <v>0</v>
      </c>
      <c r="E82" s="2300"/>
      <c r="F82" s="2301"/>
      <c r="G82" s="2270"/>
      <c r="H82" s="2315" t="str">
        <f t="shared" si="27"/>
        <v>——</v>
      </c>
      <c r="I82" s="2290">
        <v>0.05</v>
      </c>
      <c r="J82" s="2293">
        <f t="shared" si="28"/>
        <v>0</v>
      </c>
      <c r="K82" s="2293">
        <f t="shared" si="29"/>
        <v>0</v>
      </c>
      <c r="L82" s="2293">
        <v>0</v>
      </c>
      <c r="M82" s="2293">
        <f t="shared" si="30"/>
        <v>0</v>
      </c>
      <c r="N82" s="2293">
        <f t="shared" si="30"/>
        <v>0</v>
      </c>
      <c r="AC82" s="1353"/>
      <c r="AD82" s="1352"/>
      <c r="AJ82" s="1351"/>
      <c r="AN82" s="1352"/>
    </row>
    <row r="83" spans="1:40" ht="14.25">
      <c r="A83" s="1050" t="s">
        <v>1025</v>
      </c>
      <c r="B83" s="2263">
        <f>估价对象房地状况!G22</f>
        <v>0</v>
      </c>
      <c r="C83" s="1037"/>
      <c r="D83" s="2272">
        <f t="shared" si="26"/>
        <v>0</v>
      </c>
      <c r="E83" s="2300"/>
      <c r="F83" s="2301"/>
      <c r="G83" s="2270"/>
      <c r="H83" s="2315" t="str">
        <f t="shared" si="27"/>
        <v>——</v>
      </c>
      <c r="I83" s="2290">
        <v>0.04</v>
      </c>
      <c r="J83" s="2293">
        <f t="shared" si="28"/>
        <v>0</v>
      </c>
      <c r="K83" s="2293">
        <f t="shared" si="29"/>
        <v>0</v>
      </c>
      <c r="L83" s="2293">
        <v>0</v>
      </c>
      <c r="M83" s="2293">
        <f t="shared" si="30"/>
        <v>0</v>
      </c>
      <c r="N83" s="2293">
        <f t="shared" si="30"/>
        <v>0</v>
      </c>
      <c r="AC83" s="1353"/>
      <c r="AD83" s="1352"/>
      <c r="AJ83" s="1351"/>
      <c r="AN83" s="1352"/>
    </row>
    <row r="84" spans="1:40" ht="24">
      <c r="A84" s="1050" t="s">
        <v>1017</v>
      </c>
      <c r="B84" s="2264" t="str">
        <f>估价对象房地状况!G19</f>
        <v>估价对象所在区域公共配套设施齐备情况</v>
      </c>
      <c r="C84" s="1037"/>
      <c r="D84" s="2272">
        <f t="shared" si="26"/>
        <v>0</v>
      </c>
      <c r="E84" s="2300"/>
      <c r="F84" s="2301"/>
      <c r="G84" s="2270"/>
      <c r="H84" s="2315" t="str">
        <f t="shared" si="27"/>
        <v>——</v>
      </c>
      <c r="I84" s="2290">
        <v>0.06</v>
      </c>
      <c r="J84" s="2293">
        <f t="shared" si="28"/>
        <v>0</v>
      </c>
      <c r="K84" s="2293">
        <f t="shared" si="29"/>
        <v>0</v>
      </c>
      <c r="L84" s="2293">
        <v>0</v>
      </c>
      <c r="M84" s="2293">
        <f t="shared" si="30"/>
        <v>0</v>
      </c>
      <c r="N84" s="2293">
        <f t="shared" si="30"/>
        <v>0</v>
      </c>
      <c r="AC84" s="1353"/>
      <c r="AD84" s="1352"/>
      <c r="AJ84" s="1351"/>
      <c r="AN84" s="1352"/>
    </row>
    <row r="85" spans="1:40" ht="24">
      <c r="A85" s="1050" t="s">
        <v>1018</v>
      </c>
      <c r="B85" s="2264" t="str">
        <f>估价对象房地状况!G20</f>
        <v>估价对象所在区域基础设施水平</v>
      </c>
      <c r="C85" s="1037"/>
      <c r="D85" s="2272">
        <f t="shared" si="26"/>
        <v>0</v>
      </c>
      <c r="E85" s="2300"/>
      <c r="F85" s="2301"/>
      <c r="G85" s="2270"/>
      <c r="H85" s="2315" t="str">
        <f t="shared" si="27"/>
        <v>——</v>
      </c>
      <c r="I85" s="2290">
        <v>0.15</v>
      </c>
      <c r="J85" s="2293">
        <f t="shared" si="28"/>
        <v>0</v>
      </c>
      <c r="K85" s="2293">
        <f t="shared" si="29"/>
        <v>0</v>
      </c>
      <c r="L85" s="2293">
        <v>0</v>
      </c>
      <c r="M85" s="2293">
        <f t="shared" si="30"/>
        <v>0</v>
      </c>
      <c r="N85" s="2293">
        <f t="shared" si="30"/>
        <v>0</v>
      </c>
      <c r="AC85" s="1353"/>
      <c r="AD85" s="1352"/>
      <c r="AJ85" s="1351"/>
      <c r="AN85" s="1352"/>
    </row>
    <row r="86" spans="1:40" ht="24">
      <c r="A86" s="1050" t="s">
        <v>1016</v>
      </c>
      <c r="B86" s="2784" t="s">
        <v>2898</v>
      </c>
      <c r="C86" s="1037"/>
      <c r="D86" s="2272">
        <f t="shared" si="26"/>
        <v>0</v>
      </c>
      <c r="E86" s="2300"/>
      <c r="F86" s="2301"/>
      <c r="G86" s="2270"/>
      <c r="H86" s="2315" t="str">
        <f t="shared" si="27"/>
        <v>——</v>
      </c>
      <c r="I86" s="2290">
        <v>0.05</v>
      </c>
      <c r="J86" s="2293">
        <f t="shared" si="28"/>
        <v>0</v>
      </c>
      <c r="K86" s="2293">
        <f t="shared" si="29"/>
        <v>0</v>
      </c>
      <c r="L86" s="2293">
        <v>0</v>
      </c>
      <c r="M86" s="2293">
        <f t="shared" si="30"/>
        <v>0</v>
      </c>
      <c r="N86" s="2293">
        <f t="shared" si="30"/>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6"/>
        <v>0</v>
      </c>
      <c r="E87" s="2302"/>
      <c r="F87" s="2301"/>
      <c r="G87" s="2270"/>
      <c r="H87" s="2315" t="str">
        <f t="shared" si="27"/>
        <v>——</v>
      </c>
      <c r="I87" s="2297">
        <v>0.06</v>
      </c>
      <c r="J87" s="2293">
        <f t="shared" si="28"/>
        <v>0</v>
      </c>
      <c r="K87" s="2293">
        <f t="shared" si="29"/>
        <v>0</v>
      </c>
      <c r="L87" s="2293">
        <v>0</v>
      </c>
      <c r="M87" s="2293">
        <f t="shared" si="30"/>
        <v>0</v>
      </c>
      <c r="N87" s="2293">
        <f t="shared" si="30"/>
        <v>0</v>
      </c>
      <c r="AC87" s="1353"/>
      <c r="AD87" s="1352"/>
      <c r="AJ87" s="1351"/>
      <c r="AN87" s="1352"/>
    </row>
    <row r="90" spans="1:40">
      <c r="A90" s="3577" t="s">
        <v>1624</v>
      </c>
      <c r="B90" s="3577"/>
      <c r="C90" s="3577"/>
      <c r="D90" s="3577"/>
      <c r="E90" s="3577"/>
      <c r="F90" s="3577"/>
      <c r="G90" s="3577"/>
      <c r="H90" s="3577"/>
      <c r="I90" s="3577"/>
      <c r="J90" s="3577"/>
      <c r="K90" s="3284"/>
      <c r="L90" s="3284"/>
      <c r="M90" s="3284"/>
      <c r="N90" s="3284"/>
    </row>
    <row r="91" spans="1:40">
      <c r="A91" s="3578" t="s">
        <v>1434</v>
      </c>
      <c r="B91" s="3578" t="s">
        <v>1625</v>
      </c>
      <c r="C91" s="1123" t="s">
        <v>1626</v>
      </c>
      <c r="D91" s="1124"/>
      <c r="E91" s="1124"/>
      <c r="F91" s="1124"/>
      <c r="G91" s="1124"/>
      <c r="H91" s="1124"/>
      <c r="I91" s="1124"/>
      <c r="J91" s="1125"/>
      <c r="K91" s="1117"/>
      <c r="L91" s="1117"/>
      <c r="M91" s="1117"/>
      <c r="N91" s="1117"/>
    </row>
    <row r="92" spans="1:40">
      <c r="A92" s="3578"/>
      <c r="B92" s="3578"/>
      <c r="C92" s="3285" t="s">
        <v>898</v>
      </c>
      <c r="D92" s="3285" t="s">
        <v>876</v>
      </c>
      <c r="E92" s="3285" t="s">
        <v>877</v>
      </c>
      <c r="F92" s="3285" t="s">
        <v>901</v>
      </c>
      <c r="G92" s="3285" t="s">
        <v>879</v>
      </c>
      <c r="H92" s="3285" t="s">
        <v>880</v>
      </c>
      <c r="I92" s="3285" t="s">
        <v>881</v>
      </c>
      <c r="J92" s="3285" t="s">
        <v>882</v>
      </c>
      <c r="K92" s="3285" t="s">
        <v>906</v>
      </c>
      <c r="L92" s="3285" t="s">
        <v>884</v>
      </c>
      <c r="M92" s="3285" t="s">
        <v>885</v>
      </c>
      <c r="N92" s="3285" t="s">
        <v>909</v>
      </c>
    </row>
    <row r="93" spans="1:40">
      <c r="A93" s="3585" t="s">
        <v>2741</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8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8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8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8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8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86"/>
      <c r="B99" s="1126" t="s">
        <v>1627</v>
      </c>
      <c r="C99" s="1128">
        <f>$I$3</f>
        <v>1</v>
      </c>
      <c r="D99" s="1128">
        <f t="shared" ref="D99:N99" si="31">$I$3</f>
        <v>1</v>
      </c>
      <c r="E99" s="1128">
        <f t="shared" si="31"/>
        <v>1</v>
      </c>
      <c r="F99" s="1128">
        <f t="shared" si="31"/>
        <v>1</v>
      </c>
      <c r="G99" s="1128">
        <f t="shared" si="31"/>
        <v>1</v>
      </c>
      <c r="H99" s="1128">
        <f t="shared" si="31"/>
        <v>1</v>
      </c>
      <c r="I99" s="1128">
        <f t="shared" si="31"/>
        <v>1</v>
      </c>
      <c r="J99" s="1128">
        <f t="shared" si="31"/>
        <v>1</v>
      </c>
      <c r="K99" s="1128">
        <f t="shared" si="31"/>
        <v>1</v>
      </c>
      <c r="L99" s="1128">
        <f t="shared" si="31"/>
        <v>1</v>
      </c>
      <c r="M99" s="1128">
        <f t="shared" si="31"/>
        <v>1</v>
      </c>
      <c r="N99" s="1128">
        <f t="shared" si="31"/>
        <v>1</v>
      </c>
    </row>
    <row r="100" spans="1:14">
      <c r="A100" s="3587"/>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85" t="s">
        <v>1628</v>
      </c>
      <c r="B101" s="1130" t="s">
        <v>897</v>
      </c>
      <c r="C101" s="1131">
        <f>$G$3</f>
        <v>10.1</v>
      </c>
      <c r="D101" s="1131">
        <f t="shared" ref="D101:N101" si="32">$G$3</f>
        <v>10.1</v>
      </c>
      <c r="E101" s="1131">
        <f t="shared" si="32"/>
        <v>10.1</v>
      </c>
      <c r="F101" s="1131">
        <f t="shared" si="32"/>
        <v>10.1</v>
      </c>
      <c r="G101" s="1131">
        <f t="shared" si="32"/>
        <v>10.1</v>
      </c>
      <c r="H101" s="1131">
        <f t="shared" si="32"/>
        <v>10.1</v>
      </c>
      <c r="I101" s="1131">
        <f t="shared" si="32"/>
        <v>10.1</v>
      </c>
      <c r="J101" s="1131">
        <f t="shared" si="32"/>
        <v>10.1</v>
      </c>
      <c r="K101" s="1131">
        <f t="shared" si="32"/>
        <v>10.1</v>
      </c>
      <c r="L101" s="1131">
        <f t="shared" si="32"/>
        <v>10.1</v>
      </c>
      <c r="M101" s="1131">
        <f t="shared" si="32"/>
        <v>10.1</v>
      </c>
      <c r="N101" s="1131">
        <f t="shared" si="32"/>
        <v>10.1</v>
      </c>
    </row>
    <row r="102" spans="1:14">
      <c r="A102" s="3586"/>
      <c r="B102" s="1126">
        <v>1</v>
      </c>
      <c r="C102" s="1127">
        <f>1.9362/C101</f>
        <v>0.19170297029702971</v>
      </c>
      <c r="D102" s="1127">
        <f>1.9362/D101</f>
        <v>0.19170297029702971</v>
      </c>
      <c r="E102" s="1127">
        <f>1.8629/E101</f>
        <v>0.18444554455445544</v>
      </c>
      <c r="F102" s="1127">
        <f>1.8629/F101</f>
        <v>0.18444554455445544</v>
      </c>
      <c r="G102" s="1127">
        <f>1.8629/G101</f>
        <v>0.18444554455445544</v>
      </c>
      <c r="H102" s="1127">
        <f>1.8629/H101</f>
        <v>0.18444554455445544</v>
      </c>
      <c r="I102" s="1127">
        <f>1.8629/I101</f>
        <v>0.18444554455445544</v>
      </c>
      <c r="J102" s="1127">
        <f>1.942/J101</f>
        <v>0.19227722772277228</v>
      </c>
      <c r="K102" s="1127">
        <f>1.942/K101</f>
        <v>0.19227722772277228</v>
      </c>
      <c r="L102" s="1127">
        <f>1.942/L101</f>
        <v>0.19227722772277228</v>
      </c>
      <c r="M102" s="1127">
        <f>1.942/M101</f>
        <v>0.19227722772277228</v>
      </c>
      <c r="N102" s="1127">
        <f>1.942/N101</f>
        <v>0.19227722772277228</v>
      </c>
    </row>
    <row r="103" spans="1:14">
      <c r="A103" s="3586"/>
      <c r="B103" s="1126">
        <v>2</v>
      </c>
      <c r="C103" s="1127">
        <f>1.4198/C101</f>
        <v>0.14057425742574259</v>
      </c>
      <c r="D103" s="1127">
        <f>1.4198/D101</f>
        <v>0.14057425742574259</v>
      </c>
      <c r="E103" s="1127">
        <f>1.3372/E101</f>
        <v>0.1323960396039604</v>
      </c>
      <c r="F103" s="1127">
        <f>1.3372/F101</f>
        <v>0.1323960396039604</v>
      </c>
      <c r="G103" s="1127">
        <f>1.3372/G101</f>
        <v>0.1323960396039604</v>
      </c>
      <c r="H103" s="1127">
        <f>1.3372/H101</f>
        <v>0.1323960396039604</v>
      </c>
      <c r="I103" s="1127">
        <f>1.3372/I101</f>
        <v>0.1323960396039604</v>
      </c>
      <c r="J103" s="1127">
        <f>1.2799/J101</f>
        <v>0.12672277227722772</v>
      </c>
      <c r="K103" s="1127">
        <f>1.2799/K101</f>
        <v>0.12672277227722772</v>
      </c>
      <c r="L103" s="1127">
        <f>1.2799/L101</f>
        <v>0.12672277227722772</v>
      </c>
      <c r="M103" s="1127">
        <f>1.2799/M101</f>
        <v>0.12672277227722772</v>
      </c>
      <c r="N103" s="1127">
        <f>1.2799/N101</f>
        <v>0.12672277227722772</v>
      </c>
    </row>
    <row r="104" spans="1:14">
      <c r="A104" s="3586"/>
      <c r="B104" s="1126">
        <v>3</v>
      </c>
      <c r="C104" s="1127">
        <f>1.1594/C101</f>
        <v>0.1147920792079208</v>
      </c>
      <c r="D104" s="1127">
        <f>1.1594/D101</f>
        <v>0.1147920792079208</v>
      </c>
      <c r="E104" s="1127">
        <f>1.0788/E101</f>
        <v>0.10681188118811881</v>
      </c>
      <c r="F104" s="1127">
        <f>1.0788/F101</f>
        <v>0.10681188118811881</v>
      </c>
      <c r="G104" s="1127">
        <f>1.0788/G101</f>
        <v>0.10681188118811881</v>
      </c>
      <c r="H104" s="1127">
        <f>1.0788/H101</f>
        <v>0.10681188118811881</v>
      </c>
      <c r="I104" s="1127">
        <f>1.0788/I101</f>
        <v>0.10681188118811881</v>
      </c>
      <c r="J104" s="1127">
        <f>1.0072/J101</f>
        <v>9.9722772277227742E-2</v>
      </c>
      <c r="K104" s="1127">
        <f>1.0072/K101</f>
        <v>9.9722772277227742E-2</v>
      </c>
      <c r="L104" s="1127">
        <f>1.0072/L101</f>
        <v>9.9722772277227742E-2</v>
      </c>
      <c r="M104" s="1127">
        <f>1.0072/M101</f>
        <v>9.9722772277227742E-2</v>
      </c>
      <c r="N104" s="1127">
        <f>1.0072/N101</f>
        <v>9.9722772277227742E-2</v>
      </c>
    </row>
    <row r="105" spans="1:14">
      <c r="A105" s="3586"/>
      <c r="B105" s="1126">
        <v>4</v>
      </c>
      <c r="C105" s="1127">
        <f>0.9622/C101</f>
        <v>9.5267326732673283E-2</v>
      </c>
      <c r="D105" s="1127">
        <f>0.9622/D101</f>
        <v>9.5267326732673283E-2</v>
      </c>
      <c r="E105" s="1127">
        <f>0.8656/E101</f>
        <v>8.570297029702971E-2</v>
      </c>
      <c r="F105" s="1127">
        <f>0.8656/F101</f>
        <v>8.570297029702971E-2</v>
      </c>
      <c r="G105" s="1127">
        <f>0.8656/G101</f>
        <v>8.570297029702971E-2</v>
      </c>
      <c r="H105" s="1127">
        <f>0.8656/H101</f>
        <v>8.570297029702971E-2</v>
      </c>
      <c r="I105" s="1127">
        <f>0.8656/I101</f>
        <v>8.570297029702971E-2</v>
      </c>
      <c r="J105" s="1127">
        <f>0.7525/J101</f>
        <v>7.4504950495049502E-2</v>
      </c>
      <c r="K105" s="1127">
        <f>0.7525/K101</f>
        <v>7.4504950495049502E-2</v>
      </c>
      <c r="L105" s="1127">
        <f>0.7525/L101</f>
        <v>7.4504950495049502E-2</v>
      </c>
      <c r="M105" s="1127">
        <f>0.7525/M101</f>
        <v>7.4504950495049502E-2</v>
      </c>
      <c r="N105" s="1127">
        <f>0.7525/N101</f>
        <v>7.4504950495049502E-2</v>
      </c>
    </row>
    <row r="106" spans="1:14">
      <c r="A106" s="3586"/>
      <c r="B106" s="1126">
        <v>5</v>
      </c>
      <c r="C106" s="1127">
        <f>0.8417/C101</f>
        <v>8.3336633663366341E-2</v>
      </c>
      <c r="D106" s="1127">
        <f>0.8417/D101</f>
        <v>8.3336633663366341E-2</v>
      </c>
      <c r="E106" s="1127">
        <f>0.7371/E101</f>
        <v>7.2980198019801976E-2</v>
      </c>
      <c r="F106" s="1127">
        <f>0.7371/F101</f>
        <v>7.2980198019801976E-2</v>
      </c>
      <c r="G106" s="1127">
        <f>0.7371/G101</f>
        <v>7.2980198019801976E-2</v>
      </c>
      <c r="H106" s="1127">
        <f>0.7371/H101</f>
        <v>7.2980198019801976E-2</v>
      </c>
      <c r="I106" s="1127">
        <f>0.7371/I101</f>
        <v>7.2980198019801976E-2</v>
      </c>
      <c r="J106" s="1127">
        <f>0.5659/J101</f>
        <v>5.6029702970297031E-2</v>
      </c>
      <c r="K106" s="1127">
        <f>0.5659/K101</f>
        <v>5.6029702970297031E-2</v>
      </c>
      <c r="L106" s="1127">
        <f>0.5659/L101</f>
        <v>5.6029702970297031E-2</v>
      </c>
      <c r="M106" s="1127">
        <f>0.5659/M101</f>
        <v>5.6029702970297031E-2</v>
      </c>
      <c r="N106" s="1127">
        <f>0.5659/N101</f>
        <v>5.6029702970297031E-2</v>
      </c>
    </row>
    <row r="107" spans="1:14">
      <c r="A107" s="3586"/>
      <c r="B107" s="1126">
        <v>6</v>
      </c>
      <c r="C107" s="1127">
        <f>0.7608/C101</f>
        <v>7.5326732673267338E-2</v>
      </c>
      <c r="D107" s="1127">
        <f>0.7608/D101</f>
        <v>7.5326732673267338E-2</v>
      </c>
      <c r="E107" s="1127">
        <f>0.6482/E101</f>
        <v>6.417821782178218E-2</v>
      </c>
      <c r="F107" s="1127">
        <f>0.6482/F101</f>
        <v>6.417821782178218E-2</v>
      </c>
      <c r="G107" s="1127">
        <f>0.6482/G101</f>
        <v>6.417821782178218E-2</v>
      </c>
      <c r="H107" s="1127">
        <f>0.6482/H101</f>
        <v>6.417821782178218E-2</v>
      </c>
      <c r="I107" s="1127">
        <f>0.6482/I101</f>
        <v>6.417821782178218E-2</v>
      </c>
      <c r="J107" s="1127">
        <f>0.4525/J101</f>
        <v>4.4801980198019807E-2</v>
      </c>
      <c r="K107" s="1127">
        <f>0.4525/K101</f>
        <v>4.4801980198019807E-2</v>
      </c>
      <c r="L107" s="1127">
        <f>0.4525/L101</f>
        <v>4.4801980198019807E-2</v>
      </c>
      <c r="M107" s="1127">
        <f>0.4525/M101</f>
        <v>4.4801980198019807E-2</v>
      </c>
      <c r="N107" s="1127">
        <f>0.4525/N101</f>
        <v>4.4801980198019807E-2</v>
      </c>
    </row>
    <row r="108" spans="1:14">
      <c r="A108" s="3586"/>
      <c r="B108" s="3588" t="s">
        <v>1629</v>
      </c>
      <c r="C108" s="1128">
        <f>C99</f>
        <v>1</v>
      </c>
      <c r="D108" s="1128">
        <f t="shared" ref="D108:N108" si="33">D99</f>
        <v>1</v>
      </c>
      <c r="E108" s="1128">
        <f t="shared" si="33"/>
        <v>1</v>
      </c>
      <c r="F108" s="1128">
        <f t="shared" si="33"/>
        <v>1</v>
      </c>
      <c r="G108" s="1128">
        <f t="shared" si="33"/>
        <v>1</v>
      </c>
      <c r="H108" s="1128">
        <f t="shared" si="33"/>
        <v>1</v>
      </c>
      <c r="I108" s="1128">
        <f t="shared" si="33"/>
        <v>1</v>
      </c>
      <c r="J108" s="1128">
        <f t="shared" si="33"/>
        <v>1</v>
      </c>
      <c r="K108" s="1128">
        <f t="shared" si="33"/>
        <v>1</v>
      </c>
      <c r="L108" s="1128">
        <f t="shared" si="33"/>
        <v>1</v>
      </c>
      <c r="M108" s="1128">
        <f t="shared" si="33"/>
        <v>1</v>
      </c>
      <c r="N108" s="1128">
        <f t="shared" si="33"/>
        <v>1</v>
      </c>
    </row>
    <row r="109" spans="1:14">
      <c r="A109" s="3587"/>
      <c r="B109" s="3589"/>
      <c r="C109" s="1129">
        <f>(-0.163*(C108^2)-0.59*C108+7617)*(10^(-4))/C101</f>
        <v>7.5408386138613864E-2</v>
      </c>
      <c r="D109" s="1129">
        <f>(-0.163*(D108^2)-0.59*D108+7617)*(10^(-4))/D101</f>
        <v>7.5408386138613864E-2</v>
      </c>
      <c r="E109" s="1129">
        <f>(-0.161*(E108^2)-7.509*E108+6533)*(10^(-4))/E101</f>
        <v>6.4607227722772276E-2</v>
      </c>
      <c r="F109" s="1129">
        <f>(-0.161*(F108^2)-7.509*F108+6533)*(10^(-4))/F101</f>
        <v>6.4607227722772276E-2</v>
      </c>
      <c r="G109" s="1129">
        <f>(-0.161*(G108^2)-7.509*G108+6533)*(10^(-4))/G101</f>
        <v>6.4607227722772276E-2</v>
      </c>
      <c r="H109" s="1129">
        <f>(-0.161*(H108^2)-7.509*H108+6533)*(10^(-4))/H101</f>
        <v>6.4607227722772276E-2</v>
      </c>
      <c r="I109" s="1129">
        <f>(-0.161*(I108^2)-7.509*I108+6533)*(10^(-4))/I101</f>
        <v>6.4607227722772276E-2</v>
      </c>
      <c r="J109" s="1129">
        <f>(-0.214*(J108^2)-21.991*J108+4665)*(10^(-4))/J101</f>
        <v>4.5968267326732676E-2</v>
      </c>
      <c r="K109" s="1129">
        <f>(-0.214*(K108^2)-21.991*K108+4665)*(10^(-4))/K101</f>
        <v>4.5968267326732676E-2</v>
      </c>
      <c r="L109" s="1129">
        <f>(-0.214*(L108^2)-21.991*L108+4665)*(10^(-4))/L101</f>
        <v>4.5968267326732676E-2</v>
      </c>
      <c r="M109" s="1129">
        <f>(-0.214*(M108^2)-21.991*M108+4665)*(10^(-4))/M101</f>
        <v>4.5968267326732676E-2</v>
      </c>
      <c r="N109" s="1129">
        <f>(-0.214*(N108^2)-21.991*N108+4665)*(10^(-4))/N101</f>
        <v>4.5968267326732676E-2</v>
      </c>
    </row>
    <row r="110" spans="1:14">
      <c r="A110" s="3571" t="s">
        <v>1630</v>
      </c>
      <c r="B110" s="3571"/>
      <c r="C110" s="3571"/>
      <c r="D110" s="3571"/>
      <c r="E110" s="3571"/>
      <c r="F110" s="3571"/>
      <c r="G110" s="3571"/>
      <c r="H110" s="3571"/>
      <c r="I110" s="3571"/>
      <c r="J110" s="3571"/>
      <c r="K110" s="3283"/>
      <c r="L110" s="3283"/>
      <c r="M110" s="3283"/>
      <c r="N110" s="3283"/>
    </row>
    <row r="112" spans="1:14" ht="12.75" thickBot="1"/>
    <row r="113" spans="1:13" ht="25.5" thickBot="1">
      <c r="A113" s="1003" t="s">
        <v>887</v>
      </c>
      <c r="B113" s="2306">
        <f>G3</f>
        <v>10.1</v>
      </c>
      <c r="C113" s="1004" t="s">
        <v>888</v>
      </c>
      <c r="D113" s="1005">
        <f>SUMPRODUCT((A115:A118=F113)*(B114:M114=H113)*B115:M118)</f>
        <v>0.82779999999999998</v>
      </c>
      <c r="E113" s="1006" t="s">
        <v>889</v>
      </c>
      <c r="F113" s="1007" t="str">
        <f>E2</f>
        <v>办公</v>
      </c>
      <c r="G113" s="1006" t="s">
        <v>890</v>
      </c>
      <c r="H113" s="1007" t="str">
        <f>G2</f>
        <v>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0.83860000000000001</v>
      </c>
      <c r="C115" s="1017">
        <f>B115</f>
        <v>0.83860000000000001</v>
      </c>
      <c r="D115" s="1017">
        <f>ROUND(0.8331-0.0109*B113,4)</f>
        <v>0.72299999999999998</v>
      </c>
      <c r="E115" s="1017">
        <f>D115</f>
        <v>0.72299999999999998</v>
      </c>
      <c r="F115" s="1017">
        <f>E115</f>
        <v>0.72299999999999998</v>
      </c>
      <c r="G115" s="1017">
        <f>F115</f>
        <v>0.72299999999999998</v>
      </c>
      <c r="H115" s="1017">
        <f>G115</f>
        <v>0.72299999999999998</v>
      </c>
      <c r="I115" s="1017">
        <f>ROUND(0.689-0.0155*B113,4)</f>
        <v>0.53249999999999997</v>
      </c>
      <c r="J115" s="1017">
        <f t="shared" ref="J115:M118" si="34">I115</f>
        <v>0.53249999999999997</v>
      </c>
      <c r="K115" s="1017">
        <f t="shared" si="34"/>
        <v>0.53249999999999997</v>
      </c>
      <c r="L115" s="1017">
        <f t="shared" si="34"/>
        <v>0.53249999999999997</v>
      </c>
      <c r="M115" s="1018">
        <f t="shared" si="34"/>
        <v>0.53249999999999997</v>
      </c>
    </row>
    <row r="116" spans="1:13" ht="12.75">
      <c r="A116" s="1016" t="s">
        <v>892</v>
      </c>
      <c r="B116" s="1017">
        <f>ROUND(0.949-0.012*B113,4)</f>
        <v>0.82779999999999998</v>
      </c>
      <c r="C116" s="1017">
        <f>B116</f>
        <v>0.82779999999999998</v>
      </c>
      <c r="D116" s="1017">
        <f>ROUND(0.8567-0.013*B113,4)</f>
        <v>0.72540000000000004</v>
      </c>
      <c r="E116" s="1017">
        <f t="shared" ref="E116:H117" si="35">D116</f>
        <v>0.72540000000000004</v>
      </c>
      <c r="F116" s="1017">
        <f t="shared" si="35"/>
        <v>0.72540000000000004</v>
      </c>
      <c r="G116" s="1017">
        <f t="shared" si="35"/>
        <v>0.72540000000000004</v>
      </c>
      <c r="H116" s="1017">
        <f t="shared" si="35"/>
        <v>0.72540000000000004</v>
      </c>
      <c r="I116" s="1017">
        <f>ROUND(0.7694-0.014*B113,4)</f>
        <v>0.628</v>
      </c>
      <c r="J116" s="1017">
        <f t="shared" si="34"/>
        <v>0.628</v>
      </c>
      <c r="K116" s="1017">
        <f t="shared" si="34"/>
        <v>0.628</v>
      </c>
      <c r="L116" s="1017">
        <f t="shared" si="34"/>
        <v>0.628</v>
      </c>
      <c r="M116" s="1018">
        <f t="shared" si="34"/>
        <v>0.628</v>
      </c>
    </row>
    <row r="117" spans="1:13" ht="12.75">
      <c r="A117" s="1019" t="s">
        <v>893</v>
      </c>
      <c r="B117" s="1017">
        <f>ROUND(0.8808-0.006*B113,4)</f>
        <v>0.82020000000000004</v>
      </c>
      <c r="C117" s="1017">
        <f>B117</f>
        <v>0.82020000000000004</v>
      </c>
      <c r="D117" s="1017">
        <f>ROUND(0.8748-0.008*B113,4)</f>
        <v>0.79400000000000004</v>
      </c>
      <c r="E117" s="1017">
        <f t="shared" si="35"/>
        <v>0.79400000000000004</v>
      </c>
      <c r="F117" s="1017">
        <f t="shared" si="35"/>
        <v>0.79400000000000004</v>
      </c>
      <c r="G117" s="1017">
        <f t="shared" si="35"/>
        <v>0.79400000000000004</v>
      </c>
      <c r="H117" s="1017">
        <f t="shared" si="35"/>
        <v>0.79400000000000004</v>
      </c>
      <c r="I117" s="1017">
        <f>ROUND(0.7412-0.0095*B113,4)</f>
        <v>0.64529999999999998</v>
      </c>
      <c r="J117" s="1017">
        <f t="shared" si="34"/>
        <v>0.64529999999999998</v>
      </c>
      <c r="K117" s="1017">
        <f t="shared" si="34"/>
        <v>0.64529999999999998</v>
      </c>
      <c r="L117" s="1017">
        <f t="shared" si="34"/>
        <v>0.64529999999999998</v>
      </c>
      <c r="M117" s="1018">
        <f t="shared" si="34"/>
        <v>0.64529999999999998</v>
      </c>
    </row>
    <row r="118" spans="1:13" ht="13.5" thickBot="1">
      <c r="A118" s="1020" t="s">
        <v>894</v>
      </c>
      <c r="B118" s="1021">
        <f>ROUND(0.7275-0.01*B113,4)</f>
        <v>0.62649999999999995</v>
      </c>
      <c r="C118" s="1021">
        <f>B118</f>
        <v>0.62649999999999995</v>
      </c>
      <c r="D118" s="1021">
        <f>ROUND(0.7043-0.012*B113,4)</f>
        <v>0.58309999999999995</v>
      </c>
      <c r="E118" s="1021">
        <f>D118</f>
        <v>0.58309999999999995</v>
      </c>
      <c r="F118" s="1021">
        <f>E118</f>
        <v>0.58309999999999995</v>
      </c>
      <c r="G118" s="1021">
        <f>ROUND(0.6299-0.0122*B113,4)</f>
        <v>0.50670000000000004</v>
      </c>
      <c r="H118" s="1021">
        <f>G118</f>
        <v>0.50670000000000004</v>
      </c>
      <c r="I118" s="1021">
        <f>ROUND(0.5667-0.0136*B113,4)</f>
        <v>0.42930000000000001</v>
      </c>
      <c r="J118" s="1021">
        <f t="shared" si="34"/>
        <v>0.42930000000000001</v>
      </c>
      <c r="K118" s="1021">
        <f t="shared" si="34"/>
        <v>0.42930000000000001</v>
      </c>
      <c r="L118" s="1021">
        <f t="shared" si="34"/>
        <v>0.42930000000000001</v>
      </c>
      <c r="M118" s="1022">
        <f t="shared" si="34"/>
        <v>0.42930000000000001</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中国建设银行股份有限公司北京城市建设开发专业支行：</v>
      </c>
    </row>
    <row r="4" spans="1:4" ht="37.5">
      <c r="A4" s="1706" t="str">
        <f>"受贵公司委托，我公司对"&amp;项目基本情况!K2&amp;项目基本情况!B9&amp;"进行了预评估。"</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7" spans="1:4" ht="56.25">
      <c r="A7" s="1710" t="s">
        <v>2725</v>
      </c>
    </row>
    <row r="8" spans="1:4" ht="18.75">
      <c r="A8" s="1709" t="s">
        <v>1897</v>
      </c>
    </row>
    <row r="9" spans="1:4" ht="75">
      <c r="A9" s="1711" t="str">
        <f>IF(项目基本情况!B8="抵押",IF(项目基本情况!B5=项目基本情况!B6,定义!C51,定义!B51),定义!D51)</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4" ht="18.75">
      <c r="A10" s="1712" t="s">
        <v>2013</v>
      </c>
    </row>
    <row r="11" spans="1:4" ht="18.75">
      <c r="A11" s="1695" t="str">
        <f>TEXT(项目基本情况!D3,"yyyy年m月d日;;")&amp;IF(项目基本情况!B3=项目基本情况!D3,"（评估专业人员勘察现场之日）","")</f>
        <v>2020年10月23日（评估专业人员勘察现场之日）</v>
      </c>
    </row>
    <row r="12" spans="1:4" ht="18.75">
      <c r="A12" s="1712" t="s">
        <v>2012</v>
      </c>
    </row>
    <row r="13" spans="1:4" ht="18.75">
      <c r="A13" s="1706" t="s">
        <v>2903</v>
      </c>
    </row>
    <row r="14" spans="1:4" ht="18.75">
      <c r="A14" s="1706" t="str">
        <f>"根据"&amp;项目基本情况!F12&amp;"，本次评估估价对象证载（地类）用途为"&amp;项目基本情况!B12&amp;"。"</f>
        <v>根据《国有土地使用证》[京朝国用（2007出）第0137、0136号]，本次评估估价对象证载（地类）用途为住宅（公寓）、商业、办公、地下车库。</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c r="C15" s="1696"/>
      <c r="D15" s="1697"/>
    </row>
    <row r="16" spans="1:4" ht="18.75">
      <c r="A16" s="1706" t="s">
        <v>2059</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2060</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21" spans="1:1" ht="18.75">
      <c r="A21" s="1706" t="s">
        <v>2061</v>
      </c>
    </row>
    <row r="22" spans="1:1" ht="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朝国用（2007出）第0137、0136号]、《国有建设用地使用权出让合同》[京地出（合）字（2006）第103、106号]及附件、《建设工程规划许可证》[建字第110000201900048号]，土地终止日期为住宅2076年2月22日、商业2046年2月22日、办公2056年2月22日、地下车库2056年2月22日、地下仓储2056年2月22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2062</v>
      </c>
    </row>
    <row r="25" spans="1:1" ht="93.75">
      <c r="A25" s="1706" t="str">
        <f>定义!C53</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2014</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topLeftCell="F1" zoomScale="80" zoomScaleNormal="80" workbookViewId="0">
      <selection activeCell="J32" sqref="J32"/>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99" t="s">
        <v>2555</v>
      </c>
      <c r="C1" s="3599"/>
      <c r="D1" s="3599"/>
      <c r="E1" s="3599"/>
      <c r="F1" s="3599"/>
      <c r="G1" s="3598" t="s">
        <v>2556</v>
      </c>
      <c r="H1" s="3598"/>
      <c r="I1" s="3598"/>
      <c r="J1" s="3598"/>
      <c r="K1" s="3598"/>
      <c r="L1" s="3598"/>
      <c r="N1" s="3598" t="s">
        <v>2557</v>
      </c>
      <c r="O1" s="3598"/>
      <c r="P1" s="3598"/>
      <c r="Q1" s="3598"/>
      <c r="S1" s="3598" t="s">
        <v>2558</v>
      </c>
      <c r="T1" s="3598"/>
      <c r="U1" s="3598"/>
      <c r="V1" s="3598"/>
      <c r="X1" s="3597" t="s">
        <v>2618</v>
      </c>
      <c r="Y1" s="3598"/>
      <c r="Z1" s="3598"/>
      <c r="AA1" s="3598"/>
      <c r="AB1" s="3598"/>
      <c r="AD1" s="3597" t="s">
        <v>2622</v>
      </c>
      <c r="AE1" s="3598"/>
      <c r="AF1" s="3598"/>
      <c r="AG1" s="3598"/>
      <c r="AH1" s="3598"/>
    </row>
    <row r="2" spans="1:34" s="2865" customFormat="1" ht="14.25" thickBot="1">
      <c r="B2" s="2866" t="s">
        <v>2559</v>
      </c>
      <c r="C2" s="2866" t="s">
        <v>2620</v>
      </c>
      <c r="D2" s="2867" t="s">
        <v>1635</v>
      </c>
      <c r="E2" s="2867" t="s">
        <v>1938</v>
      </c>
      <c r="F2" s="2866" t="s">
        <v>2621</v>
      </c>
      <c r="G2" s="2868"/>
      <c r="I2" s="2866" t="s">
        <v>2916</v>
      </c>
      <c r="J2" s="2867" t="s">
        <v>2918</v>
      </c>
      <c r="K2" s="2867" t="s">
        <v>2919</v>
      </c>
      <c r="L2" s="2866" t="s">
        <v>2920</v>
      </c>
      <c r="N2" s="2866" t="s">
        <v>2559</v>
      </c>
      <c r="O2" s="2867" t="s">
        <v>2917</v>
      </c>
      <c r="P2" s="2867" t="s">
        <v>1938</v>
      </c>
      <c r="Q2" s="2866" t="s">
        <v>2621</v>
      </c>
      <c r="S2" s="2866" t="s">
        <v>2559</v>
      </c>
      <c r="T2" s="2867" t="s">
        <v>2917</v>
      </c>
      <c r="U2" s="2867" t="s">
        <v>1938</v>
      </c>
      <c r="V2" s="2866" t="s">
        <v>2621</v>
      </c>
      <c r="X2" s="2866" t="s">
        <v>2559</v>
      </c>
      <c r="Y2" s="2866" t="s">
        <v>2620</v>
      </c>
      <c r="Z2" s="2867" t="s">
        <v>1635</v>
      </c>
      <c r="AA2" s="2867" t="s">
        <v>1938</v>
      </c>
      <c r="AB2" s="2866" t="s">
        <v>2621</v>
      </c>
      <c r="AD2" s="2866" t="s">
        <v>2559</v>
      </c>
      <c r="AE2" s="2866" t="s">
        <v>2620</v>
      </c>
      <c r="AF2" s="2867" t="s">
        <v>1635</v>
      </c>
      <c r="AG2" s="2867" t="s">
        <v>1938</v>
      </c>
      <c r="AH2" s="2866" t="s">
        <v>2621</v>
      </c>
    </row>
    <row r="3" spans="1:34" s="2875" customFormat="1" ht="14.25">
      <c r="A3" s="2869" t="s">
        <v>2927</v>
      </c>
      <c r="B3" s="2870"/>
      <c r="C3" s="2870"/>
      <c r="D3" s="2871"/>
      <c r="E3" s="2871"/>
      <c r="F3" s="2870"/>
      <c r="G3" s="2872"/>
      <c r="H3" s="2873"/>
      <c r="I3" s="2874">
        <f>ROUND(AVERAGE($I4:$I32),2)</f>
        <v>1.73</v>
      </c>
      <c r="J3" s="2874">
        <f>ROUND(AVERAGE($J4:$J32),2)</f>
        <v>1.1599999999999999</v>
      </c>
      <c r="K3" s="2874">
        <f>ROUND(AVERAGE($K4:$K32),2)</f>
        <v>1.9</v>
      </c>
      <c r="L3" s="2874">
        <f>ROUND(AVERAGE($L4:$L32),2)</f>
        <v>1.23</v>
      </c>
      <c r="N3" s="2872"/>
      <c r="S3" s="2872"/>
      <c r="W3" s="2876"/>
      <c r="X3" s="2877">
        <f>ROUND(SUMPRODUCT(PRODUCT(1+N3:N$31)),4)</f>
        <v>1.5652999999999999</v>
      </c>
      <c r="Y3" s="2877">
        <f>ROUND(SUMPRODUCT(PRODUCT(1+O3:O$31)),4)</f>
        <v>1.3472</v>
      </c>
      <c r="Z3" s="2877">
        <f t="shared" ref="Z3:Z29" si="0">Y3</f>
        <v>1.3472</v>
      </c>
      <c r="AA3" s="2877">
        <f>ROUND(SUMPRODUCT(PRODUCT(1+P3:P$31)),4)</f>
        <v>1.6335999999999999</v>
      </c>
      <c r="AB3" s="2877">
        <f>ROUND(SUMPRODUCT(PRODUCT(1+Q3:Q$31)),4)</f>
        <v>1.3880999999999999</v>
      </c>
      <c r="AD3" s="2878">
        <f>ROUND(AVERAGE(I3:I$32)/100,4)</f>
        <v>1.7299999999999999E-2</v>
      </c>
      <c r="AE3" s="2878">
        <f>ROUND(AVERAGE(J3:J$32)/100,4)</f>
        <v>1.1599999999999999E-2</v>
      </c>
      <c r="AF3" s="2878">
        <f t="shared" ref="AF3:AF30" si="1">AE3</f>
        <v>1.1599999999999999E-2</v>
      </c>
      <c r="AG3" s="2878">
        <f>ROUND(AVERAGE(K3:K$32)/100,4)</f>
        <v>1.9E-2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2996</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2928</v>
      </c>
      <c r="X5" s="2896">
        <f>ROUND(IF(项目基本情况!B6="出让",SUMPRODUCT(PRODUCT(1+N5:N$32)),SUMPRODUCT(PRODUCT(1+N5:N$31))),4)</f>
        <v>1.5652999999999999</v>
      </c>
      <c r="Y5" s="2896">
        <f>ROUND(IF(项目基本情况!B6="出让",SUMPRODUCT(PRODUCT(1+O5:O$32)),SUMPRODUCT(PRODUCT(1+O5:O$31))),4)</f>
        <v>1.3472</v>
      </c>
      <c r="Z5" s="2896">
        <f t="shared" ref="Z5" si="11">Y5</f>
        <v>1.3472</v>
      </c>
      <c r="AA5" s="2896">
        <f>ROUND(IF(项目基本情况!B6="出让",SUMPRODUCT(PRODUCT(1+P5:P$32)),SUMPRODUCT(PRODUCT(1+P5:P$31))),4)</f>
        <v>1.6335999999999999</v>
      </c>
      <c r="AB5" s="2896">
        <f>ROUND(IF(项目基本情况!B6="出让",SUMPRODUCT(PRODUCT(1+Q5:Q$32)),SUMPRODUCT(PRODUCT(1+Q5:Q$31))),4)</f>
        <v>1.3880999999999999</v>
      </c>
      <c r="AD5" s="2897">
        <f>ROUND(AVERAGE(I5:I$32)/100,4)</f>
        <v>1.7299999999999999E-2</v>
      </c>
      <c r="AE5" s="2897">
        <f>ROUND(AVERAGE(J5:J$32)/100,4)</f>
        <v>1.1599999999999999E-2</v>
      </c>
      <c r="AF5" s="2897">
        <f t="shared" ref="AF5" si="12">AE5</f>
        <v>1.1599999999999999E-2</v>
      </c>
      <c r="AG5" s="2897">
        <f>ROUND(AVERAGE(K5:K$32)/100,4)</f>
        <v>1.9E-2</v>
      </c>
      <c r="AH5" s="2897">
        <f>ROUND(AVERAGE(L5:L$32)/100,4)</f>
        <v>1.23E-2</v>
      </c>
    </row>
    <row r="6" spans="1:34" s="2905" customFormat="1">
      <c r="A6" s="2898" t="s">
        <v>2995</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3</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ROUND(IF(项目基本情况!B7="出让",SUMPRODUCT(PRODUCT(1+N6:N$32)),SUMPRODUCT(PRODUCT(1+N6:N$31))),4)</f>
        <v>1.5652999999999999</v>
      </c>
      <c r="Y6" s="2886">
        <f>ROUND(IF(项目基本情况!B7="出让",SUMPRODUCT(PRODUCT(1+O6:O$32)),SUMPRODUCT(PRODUCT(1+O6:O$31))),4)</f>
        <v>1.3472</v>
      </c>
      <c r="Z6" s="2886">
        <f t="shared" ref="Z6" si="22">Y6</f>
        <v>1.3472</v>
      </c>
      <c r="AA6" s="2886">
        <f>ROUND(IF(项目基本情况!B7="出让",SUMPRODUCT(PRODUCT(1+P6:P$32)),SUMPRODUCT(PRODUCT(1+P6:P$31))),4)</f>
        <v>1.6335999999999999</v>
      </c>
      <c r="AB6" s="2886">
        <f>ROUND(IF(项目基本情况!B7="出让",SUMPRODUCT(PRODUCT(1+Q6:Q$32)),SUMPRODUCT(PRODUCT(1+Q6:Q$31))),4)</f>
        <v>1.3880999999999999</v>
      </c>
      <c r="AC6" s="2886"/>
      <c r="AD6" s="2887">
        <f>ROUND(AVERAGE(I6:I$32)/100,4)</f>
        <v>1.7899999999999999E-2</v>
      </c>
      <c r="AE6" s="2887">
        <f>ROUND(AVERAGE(J6:J$32)/100,4)</f>
        <v>1.2E-2</v>
      </c>
      <c r="AF6" s="2887">
        <f t="shared" ref="AF6" si="23">AE6</f>
        <v>1.2E-2</v>
      </c>
      <c r="AG6" s="2887">
        <f>ROUND(AVERAGE(K6:K$32)/100,4)</f>
        <v>1.9699999999999999E-2</v>
      </c>
      <c r="AH6" s="2887">
        <f>ROUND(AVERAGE(L6:L$32)/100,4)</f>
        <v>1.2699999999999999E-2</v>
      </c>
    </row>
    <row r="7" spans="1:34" s="2905" customFormat="1">
      <c r="A7" s="2898" t="s">
        <v>2957</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2955</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2952</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2951</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2948</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2947</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2944</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601">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2937</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601"/>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2938</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601"/>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2934</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607"/>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2926</v>
      </c>
      <c r="B17" s="2915">
        <v>439</v>
      </c>
      <c r="C17" s="2915">
        <v>327</v>
      </c>
      <c r="D17" s="2915">
        <f t="shared" si="120"/>
        <v>327</v>
      </c>
      <c r="E17" s="2915">
        <v>627</v>
      </c>
      <c r="F17" s="2916">
        <v>283</v>
      </c>
      <c r="G17" s="3606">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2929</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601"/>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2560</v>
      </c>
      <c r="B19" s="2899">
        <f t="shared" si="132"/>
        <v>419.31181600000002</v>
      </c>
      <c r="C19" s="2899">
        <f t="shared" si="132"/>
        <v>313.95436800000004</v>
      </c>
      <c r="D19" s="2899">
        <f t="shared" si="120"/>
        <v>313.95436800000004</v>
      </c>
      <c r="E19" s="2899">
        <f t="shared" si="133"/>
        <v>596.63028431999999</v>
      </c>
      <c r="F19" s="2899">
        <f t="shared" si="133"/>
        <v>274.74220703999998</v>
      </c>
      <c r="G19" s="3601"/>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2561</v>
      </c>
      <c r="B20" s="2899">
        <f t="shared" si="132"/>
        <v>405.524</v>
      </c>
      <c r="C20" s="2899">
        <f t="shared" si="132"/>
        <v>307.79840000000002</v>
      </c>
      <c r="D20" s="2899">
        <f t="shared" si="120"/>
        <v>307.79840000000002</v>
      </c>
      <c r="E20" s="2899">
        <f t="shared" si="133"/>
        <v>574.67759999999998</v>
      </c>
      <c r="F20" s="2899">
        <f t="shared" si="133"/>
        <v>270.20280000000002</v>
      </c>
      <c r="G20" s="3607"/>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606">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601"/>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601"/>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602"/>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600">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601"/>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601"/>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602"/>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600">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601"/>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601"/>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602"/>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2619</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2562</v>
      </c>
      <c r="B33" s="2920">
        <v>299</v>
      </c>
      <c r="C33" s="2920">
        <v>252</v>
      </c>
      <c r="D33" s="2920">
        <f t="shared" si="142"/>
        <v>252</v>
      </c>
      <c r="E33" s="2920">
        <v>409</v>
      </c>
      <c r="F33" s="2921">
        <v>227</v>
      </c>
      <c r="G33" s="3603">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2563</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604"/>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2564</v>
      </c>
      <c r="B35" s="2899">
        <f t="shared" si="151"/>
        <v>288.2649053828776</v>
      </c>
      <c r="C35" s="2899">
        <f t="shared" si="151"/>
        <v>243.64564425013293</v>
      </c>
      <c r="D35" s="2899">
        <f t="shared" si="142"/>
        <v>243.64564425013293</v>
      </c>
      <c r="E35" s="2899">
        <f t="shared" si="152"/>
        <v>393.31080825986544</v>
      </c>
      <c r="F35" s="2899">
        <f t="shared" si="152"/>
        <v>223.07903790551154</v>
      </c>
      <c r="G35" s="3604"/>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2565</v>
      </c>
      <c r="B36" s="2899">
        <f t="shared" si="151"/>
        <v>282.50186729015837</v>
      </c>
      <c r="C36" s="2899">
        <f t="shared" si="151"/>
        <v>238.09796174155468</v>
      </c>
      <c r="D36" s="2899">
        <f t="shared" si="142"/>
        <v>238.09796174155468</v>
      </c>
      <c r="E36" s="2899">
        <f t="shared" si="152"/>
        <v>385.33438646014054</v>
      </c>
      <c r="F36" s="2899">
        <f t="shared" si="152"/>
        <v>221.55034055567739</v>
      </c>
      <c r="G36" s="3605"/>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2566</v>
      </c>
      <c r="B37" s="2948">
        <v>278</v>
      </c>
      <c r="C37" s="2948">
        <v>234</v>
      </c>
      <c r="D37" s="2948">
        <f t="shared" si="142"/>
        <v>234</v>
      </c>
      <c r="E37" s="2948">
        <v>379</v>
      </c>
      <c r="F37" s="2949">
        <v>220</v>
      </c>
      <c r="G37" s="3600">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2567</v>
      </c>
      <c r="B38" s="2899">
        <f>B37/(1+N37)</f>
        <v>275.49301357645425</v>
      </c>
      <c r="C38" s="2899">
        <f>C37/(1+O37)</f>
        <v>232.41954707985698</v>
      </c>
      <c r="D38" s="2899">
        <f t="shared" si="142"/>
        <v>232.41954707985698</v>
      </c>
      <c r="E38" s="2899">
        <f t="shared" ref="E38:F40" si="153">E37/(1+P37)</f>
        <v>375.32184591008121</v>
      </c>
      <c r="F38" s="2899">
        <f t="shared" si="153"/>
        <v>218.03766105054513</v>
      </c>
      <c r="G38" s="3601"/>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2568</v>
      </c>
      <c r="B39" s="2899">
        <f>B38/(1+N38)</f>
        <v>275.24529281292263</v>
      </c>
      <c r="C39" s="2899">
        <f>C38/(1+O38)</f>
        <v>231.74747938962707</v>
      </c>
      <c r="D39" s="2899">
        <f t="shared" si="142"/>
        <v>231.74747938962707</v>
      </c>
      <c r="E39" s="2899">
        <f t="shared" si="153"/>
        <v>375.35938184826603</v>
      </c>
      <c r="F39" s="2899">
        <f t="shared" si="153"/>
        <v>216.78033510692495</v>
      </c>
      <c r="G39" s="3601"/>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2569</v>
      </c>
      <c r="B40" s="2899">
        <f>B39/(1+N39)</f>
        <v>275.19025476197027</v>
      </c>
      <c r="C40" s="2950">
        <v>232</v>
      </c>
      <c r="D40" s="2950">
        <f t="shared" si="142"/>
        <v>232</v>
      </c>
      <c r="E40" s="2899">
        <f t="shared" si="153"/>
        <v>375.65990977608692</v>
      </c>
      <c r="F40" s="2899">
        <f t="shared" si="153"/>
        <v>214.12518283971252</v>
      </c>
      <c r="G40" s="3602"/>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2570</v>
      </c>
      <c r="B41" s="2920">
        <v>275</v>
      </c>
      <c r="C41" s="2920">
        <v>232</v>
      </c>
      <c r="D41" s="2920">
        <f t="shared" si="142"/>
        <v>232</v>
      </c>
      <c r="E41" s="2920">
        <v>376</v>
      </c>
      <c r="F41" s="2921">
        <v>213</v>
      </c>
      <c r="G41" s="3600">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2571</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601">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2572</v>
      </c>
      <c r="B43" s="2899">
        <f t="shared" si="154"/>
        <v>275.19335084830601</v>
      </c>
      <c r="C43" s="2899">
        <f t="shared" si="154"/>
        <v>230.18088050139744</v>
      </c>
      <c r="D43" s="2899">
        <f t="shared" si="142"/>
        <v>230.18088050139744</v>
      </c>
      <c r="E43" s="2899">
        <f t="shared" si="155"/>
        <v>377.58482925212331</v>
      </c>
      <c r="F43" s="2899">
        <f t="shared" si="155"/>
        <v>210.90687997847917</v>
      </c>
      <c r="G43" s="3601">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2573</v>
      </c>
      <c r="B44" s="2899">
        <f t="shared" si="154"/>
        <v>276.29854502841971</v>
      </c>
      <c r="C44" s="2899">
        <f t="shared" si="154"/>
        <v>229.79023709833027</v>
      </c>
      <c r="D44" s="2899">
        <f t="shared" si="142"/>
        <v>229.79023709833027</v>
      </c>
      <c r="E44" s="2899">
        <f t="shared" si="155"/>
        <v>379.78759731655936</v>
      </c>
      <c r="F44" s="2899">
        <f t="shared" si="155"/>
        <v>211.32953905659235</v>
      </c>
      <c r="G44" s="3602">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2574</v>
      </c>
      <c r="B45" s="2920">
        <v>269</v>
      </c>
      <c r="C45" s="2920">
        <v>221</v>
      </c>
      <c r="D45" s="2920">
        <f t="shared" si="142"/>
        <v>221</v>
      </c>
      <c r="E45" s="2920">
        <v>373</v>
      </c>
      <c r="F45" s="2921">
        <v>196</v>
      </c>
      <c r="G45" s="3600">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2575</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601">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2576</v>
      </c>
      <c r="B47" s="2899">
        <f t="shared" si="156"/>
        <v>242.95398227588385</v>
      </c>
      <c r="C47" s="2899">
        <f t="shared" si="156"/>
        <v>199.59137053614126</v>
      </c>
      <c r="D47" s="2899">
        <f t="shared" si="142"/>
        <v>199.59137053614126</v>
      </c>
      <c r="E47" s="2899">
        <f t="shared" si="157"/>
        <v>335.92189522342125</v>
      </c>
      <c r="F47" s="2899">
        <f t="shared" si="157"/>
        <v>183.10139991109489</v>
      </c>
      <c r="G47" s="3601">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2577</v>
      </c>
      <c r="B48" s="2899">
        <f t="shared" si="156"/>
        <v>232.06990378821649</v>
      </c>
      <c r="C48" s="2899">
        <f t="shared" si="156"/>
        <v>192.74878854286936</v>
      </c>
      <c r="D48" s="2899">
        <f t="shared" si="142"/>
        <v>192.74878854286936</v>
      </c>
      <c r="E48" s="2899">
        <f t="shared" si="157"/>
        <v>319.71247284992984</v>
      </c>
      <c r="F48" s="2899">
        <f t="shared" si="157"/>
        <v>175.67053622862409</v>
      </c>
      <c r="G48" s="3602">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2578</v>
      </c>
      <c r="B49" s="2920">
        <v>220</v>
      </c>
      <c r="C49" s="2920">
        <v>187</v>
      </c>
      <c r="D49" s="2920">
        <f t="shared" si="142"/>
        <v>187</v>
      </c>
      <c r="E49" s="2920">
        <v>301</v>
      </c>
      <c r="F49" s="2921">
        <v>168</v>
      </c>
      <c r="G49" s="3600">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2579</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601">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2580</v>
      </c>
      <c r="B51" s="2899">
        <f t="shared" si="158"/>
        <v>210.630522469011</v>
      </c>
      <c r="C51" s="2899">
        <f t="shared" si="158"/>
        <v>181.69567812247232</v>
      </c>
      <c r="D51" s="2899">
        <f t="shared" si="142"/>
        <v>181.69567812247232</v>
      </c>
      <c r="E51" s="2899">
        <f t="shared" si="159"/>
        <v>286.13517466736738</v>
      </c>
      <c r="F51" s="2899">
        <f t="shared" si="159"/>
        <v>165.47535084591149</v>
      </c>
      <c r="G51" s="3601">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2581</v>
      </c>
      <c r="B52" s="2899">
        <f t="shared" si="158"/>
        <v>208.83454537875372</v>
      </c>
      <c r="C52" s="2899">
        <f t="shared" si="158"/>
        <v>183.77230517090351</v>
      </c>
      <c r="D52" s="2899">
        <f t="shared" si="142"/>
        <v>183.77230517090351</v>
      </c>
      <c r="E52" s="2899">
        <f t="shared" si="159"/>
        <v>281.10342338870947</v>
      </c>
      <c r="F52" s="2899">
        <f t="shared" si="159"/>
        <v>168.97309388942256</v>
      </c>
      <c r="G52" s="3602">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2582</v>
      </c>
      <c r="B53" s="2948">
        <v>214</v>
      </c>
      <c r="C53" s="2948">
        <v>188</v>
      </c>
      <c r="D53" s="2948">
        <f t="shared" si="142"/>
        <v>188</v>
      </c>
      <c r="E53" s="2948">
        <v>289</v>
      </c>
      <c r="F53" s="2949">
        <v>166</v>
      </c>
      <c r="G53" s="3600">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2583</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601">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2584</v>
      </c>
      <c r="B55" s="2899">
        <f t="shared" si="160"/>
        <v>206.31694671589116</v>
      </c>
      <c r="C55" s="2899">
        <f t="shared" si="160"/>
        <v>183.61041121036101</v>
      </c>
      <c r="D55" s="2899">
        <f t="shared" si="142"/>
        <v>183.61041121036101</v>
      </c>
      <c r="E55" s="2899">
        <f t="shared" si="161"/>
        <v>276.66850301795557</v>
      </c>
      <c r="F55" s="2899">
        <f t="shared" si="161"/>
        <v>165.1360938278614</v>
      </c>
      <c r="G55" s="3601">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2585</v>
      </c>
      <c r="B56" s="2951">
        <f t="shared" si="160"/>
        <v>196.62341248059772</v>
      </c>
      <c r="C56" s="2951">
        <f t="shared" si="160"/>
        <v>170.99125648199012</v>
      </c>
      <c r="D56" s="2951">
        <f t="shared" si="142"/>
        <v>170.99125648199012</v>
      </c>
      <c r="E56" s="2951">
        <f t="shared" si="161"/>
        <v>266.07857570490052</v>
      </c>
      <c r="F56" s="2951">
        <f t="shared" si="161"/>
        <v>154.53499328828505</v>
      </c>
      <c r="G56" s="3602">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2586</v>
      </c>
      <c r="B57" s="2920">
        <v>188</v>
      </c>
      <c r="C57" s="2920">
        <v>165</v>
      </c>
      <c r="D57" s="2920">
        <f t="shared" si="142"/>
        <v>165</v>
      </c>
      <c r="E57" s="2920">
        <v>254</v>
      </c>
      <c r="F57" s="2921">
        <v>148</v>
      </c>
      <c r="G57" s="3600">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2587</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601">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2588</v>
      </c>
      <c r="B59" s="2899">
        <f t="shared" si="164"/>
        <v>168.82017748715555</v>
      </c>
      <c r="C59" s="2899">
        <f t="shared" si="164"/>
        <v>148.06267029972753</v>
      </c>
      <c r="D59" s="2899">
        <f t="shared" si="142"/>
        <v>148.06267029972753</v>
      </c>
      <c r="E59" s="2899">
        <f t="shared" si="165"/>
        <v>216.46288379323747</v>
      </c>
      <c r="F59" s="2899">
        <f t="shared" si="165"/>
        <v>134.23529411764704</v>
      </c>
      <c r="G59" s="3601">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2589</v>
      </c>
      <c r="B60" s="2899">
        <f t="shared" si="164"/>
        <v>163.84913591779542</v>
      </c>
      <c r="C60" s="2899">
        <f t="shared" si="164"/>
        <v>145.0283378746594</v>
      </c>
      <c r="D60" s="2899">
        <f t="shared" si="142"/>
        <v>145.0283378746594</v>
      </c>
      <c r="E60" s="2899">
        <f t="shared" si="165"/>
        <v>204.95180722891567</v>
      </c>
      <c r="F60" s="2899">
        <f t="shared" si="165"/>
        <v>125.95920303605313</v>
      </c>
      <c r="G60" s="3602">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2590</v>
      </c>
      <c r="B61" s="2927">
        <v>159</v>
      </c>
      <c r="C61" s="2927">
        <v>141</v>
      </c>
      <c r="D61" s="2927">
        <f t="shared" si="142"/>
        <v>141</v>
      </c>
      <c r="E61" s="2927">
        <v>195</v>
      </c>
      <c r="F61" s="2928">
        <v>122</v>
      </c>
      <c r="G61" s="3600">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2591</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601">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2592</v>
      </c>
      <c r="B63" s="2899">
        <f t="shared" si="168"/>
        <v>146.57412060301507</v>
      </c>
      <c r="C63" s="2899">
        <f t="shared" si="168"/>
        <v>136.46831955922866</v>
      </c>
      <c r="D63" s="2899">
        <f t="shared" si="142"/>
        <v>136.46831955922866</v>
      </c>
      <c r="E63" s="2899">
        <f t="shared" si="169"/>
        <v>166.73864894795128</v>
      </c>
      <c r="F63" s="2899">
        <f t="shared" si="169"/>
        <v>115.05882352941177</v>
      </c>
      <c r="G63" s="3601">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2593</v>
      </c>
      <c r="B64" s="2899">
        <f t="shared" si="168"/>
        <v>144.04145728643215</v>
      </c>
      <c r="C64" s="2899">
        <f t="shared" si="168"/>
        <v>136.12396694214877</v>
      </c>
      <c r="D64" s="2899">
        <f t="shared" si="142"/>
        <v>136.12396694214877</v>
      </c>
      <c r="E64" s="2899">
        <f t="shared" si="169"/>
        <v>158.32225913621264</v>
      </c>
      <c r="F64" s="2899">
        <f t="shared" si="169"/>
        <v>114.04278074866311</v>
      </c>
      <c r="G64" s="3602">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2594</v>
      </c>
      <c r="B65" s="2927">
        <v>138</v>
      </c>
      <c r="C65" s="2927">
        <v>131</v>
      </c>
      <c r="D65" s="2927">
        <f t="shared" si="142"/>
        <v>131</v>
      </c>
      <c r="E65" s="2927">
        <v>155</v>
      </c>
      <c r="F65" s="2928">
        <v>114</v>
      </c>
      <c r="G65" s="3600">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2595</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601">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2596</v>
      </c>
      <c r="B67" s="2899">
        <f t="shared" si="172"/>
        <v>124.29032258064517</v>
      </c>
      <c r="C67" s="2899">
        <f t="shared" si="172"/>
        <v>123.8968609865471</v>
      </c>
      <c r="D67" s="2899">
        <f t="shared" si="142"/>
        <v>123.8968609865471</v>
      </c>
      <c r="E67" s="2899">
        <f t="shared" si="173"/>
        <v>138.00507614213197</v>
      </c>
      <c r="F67" s="2899">
        <f t="shared" si="173"/>
        <v>107.96106557377048</v>
      </c>
      <c r="G67" s="3601">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2597</v>
      </c>
      <c r="B68" s="2899">
        <f t="shared" si="172"/>
        <v>122.57204301075269</v>
      </c>
      <c r="C68" s="2899">
        <f t="shared" si="172"/>
        <v>123.4932735426009</v>
      </c>
      <c r="D68" s="2899">
        <f t="shared" si="142"/>
        <v>123.4932735426009</v>
      </c>
      <c r="E68" s="2899">
        <f t="shared" si="173"/>
        <v>129.82233502538071</v>
      </c>
      <c r="F68" s="2899">
        <f t="shared" si="173"/>
        <v>107.39446721311475</v>
      </c>
      <c r="G68" s="3602">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2598</v>
      </c>
      <c r="B69" s="2948">
        <v>121</v>
      </c>
      <c r="C69" s="2948">
        <v>122</v>
      </c>
      <c r="D69" s="2948">
        <f t="shared" si="142"/>
        <v>122</v>
      </c>
      <c r="E69" s="2948">
        <v>124</v>
      </c>
      <c r="F69" s="2949">
        <v>107</v>
      </c>
      <c r="G69" s="3600">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2599</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601">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2600</v>
      </c>
      <c r="B71" s="2899">
        <f t="shared" si="176"/>
        <v>116.99099099099099</v>
      </c>
      <c r="C71" s="2899">
        <f t="shared" si="176"/>
        <v>118.84848484848486</v>
      </c>
      <c r="D71" s="2899">
        <f t="shared" si="142"/>
        <v>118.84848484848486</v>
      </c>
      <c r="E71" s="2899">
        <f t="shared" si="177"/>
        <v>117.60960960960961</v>
      </c>
      <c r="F71" s="2899">
        <f t="shared" si="177"/>
        <v>104</v>
      </c>
      <c r="G71" s="3601">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2601</v>
      </c>
      <c r="B72" s="2951">
        <f t="shared" si="176"/>
        <v>112.48648648648648</v>
      </c>
      <c r="C72" s="2951">
        <f t="shared" si="176"/>
        <v>115.21212121212122</v>
      </c>
      <c r="D72" s="2951">
        <f t="shared" si="142"/>
        <v>115.21212121212122</v>
      </c>
      <c r="E72" s="2951">
        <f t="shared" si="177"/>
        <v>110.4024024024024</v>
      </c>
      <c r="F72" s="2951">
        <f t="shared" si="177"/>
        <v>104</v>
      </c>
      <c r="G72" s="3602">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2602</v>
      </c>
      <c r="B73" s="2968">
        <v>111</v>
      </c>
      <c r="C73" s="2968">
        <v>114</v>
      </c>
      <c r="D73" s="2968">
        <f t="shared" si="142"/>
        <v>114</v>
      </c>
      <c r="E73" s="2968">
        <v>108</v>
      </c>
      <c r="F73" s="2969">
        <v>104</v>
      </c>
      <c r="G73" s="3600">
        <v>2003</v>
      </c>
      <c r="H73" s="2958">
        <v>4</v>
      </c>
      <c r="I73" s="2970"/>
      <c r="J73" s="2970"/>
      <c r="K73" s="2970"/>
      <c r="L73" s="2970"/>
      <c r="N73" s="2971"/>
      <c r="O73" s="2970"/>
      <c r="P73" s="2970"/>
      <c r="Q73" s="2970"/>
      <c r="S73" s="2971"/>
      <c r="T73" s="2970"/>
      <c r="U73" s="2970"/>
      <c r="V73" s="2970"/>
      <c r="X73" s="2962"/>
      <c r="Y73" s="2962"/>
      <c r="Z73" s="2962"/>
    </row>
    <row r="74" spans="1:26">
      <c r="A74" s="2898" t="s">
        <v>2603</v>
      </c>
      <c r="B74" s="2972">
        <f t="shared" ref="B74:C76" si="178">B75+(B$73-B$77)/4</f>
        <v>109.75</v>
      </c>
      <c r="C74" s="2972">
        <f t="shared" si="178"/>
        <v>112.25</v>
      </c>
      <c r="D74" s="2972">
        <f t="shared" si="142"/>
        <v>112.25</v>
      </c>
      <c r="E74" s="2972">
        <f t="shared" ref="E74:F76" si="179">E75+(E$73-E$77)/4</f>
        <v>107.25</v>
      </c>
      <c r="F74" s="2972">
        <f t="shared" si="179"/>
        <v>103.5</v>
      </c>
      <c r="G74" s="3601">
        <v>2003</v>
      </c>
      <c r="H74" s="2925">
        <v>3</v>
      </c>
      <c r="I74" s="2970"/>
      <c r="J74" s="2970"/>
      <c r="K74" s="2970"/>
      <c r="L74" s="2970"/>
      <c r="X74" s="2962"/>
      <c r="Y74" s="2962"/>
      <c r="Z74" s="2962"/>
    </row>
    <row r="75" spans="1:26">
      <c r="A75" s="2898" t="s">
        <v>2604</v>
      </c>
      <c r="B75" s="2972">
        <f t="shared" si="178"/>
        <v>108.5</v>
      </c>
      <c r="C75" s="2972">
        <f t="shared" si="178"/>
        <v>110.5</v>
      </c>
      <c r="D75" s="2972">
        <f t="shared" si="142"/>
        <v>110.5</v>
      </c>
      <c r="E75" s="2972">
        <f t="shared" si="179"/>
        <v>106.5</v>
      </c>
      <c r="F75" s="2972">
        <f t="shared" si="179"/>
        <v>103</v>
      </c>
      <c r="G75" s="3601">
        <v>2003</v>
      </c>
      <c r="H75" s="2913">
        <v>2</v>
      </c>
      <c r="I75" s="2970"/>
      <c r="J75" s="2970"/>
      <c r="K75" s="2970"/>
      <c r="L75" s="2970"/>
      <c r="X75" s="2962"/>
      <c r="Y75" s="2962"/>
      <c r="Z75" s="2962"/>
    </row>
    <row r="76" spans="1:26" ht="13.5" thickBot="1">
      <c r="A76" s="2898" t="s">
        <v>2605</v>
      </c>
      <c r="B76" s="2972">
        <f t="shared" si="178"/>
        <v>107.25</v>
      </c>
      <c r="C76" s="2972">
        <f t="shared" si="178"/>
        <v>108.75</v>
      </c>
      <c r="D76" s="2972">
        <f t="shared" si="142"/>
        <v>108.75</v>
      </c>
      <c r="E76" s="2972">
        <f t="shared" si="179"/>
        <v>105.75</v>
      </c>
      <c r="F76" s="2972">
        <f t="shared" si="179"/>
        <v>102.5</v>
      </c>
      <c r="G76" s="3602">
        <v>2003</v>
      </c>
      <c r="H76" s="2973">
        <v>1</v>
      </c>
      <c r="I76" s="2970"/>
      <c r="J76" s="2970"/>
      <c r="K76" s="2970"/>
      <c r="L76" s="2970"/>
      <c r="S76" s="2901"/>
      <c r="T76" s="2887"/>
      <c r="U76" s="2887"/>
      <c r="X76" s="2962"/>
      <c r="Y76" s="2962"/>
      <c r="Z76" s="2962"/>
    </row>
    <row r="77" spans="1:26" ht="13.5" thickBot="1">
      <c r="A77" s="2898" t="s">
        <v>2606</v>
      </c>
      <c r="B77" s="2974">
        <v>106</v>
      </c>
      <c r="C77" s="2974">
        <v>107</v>
      </c>
      <c r="D77" s="2974">
        <f t="shared" si="142"/>
        <v>107</v>
      </c>
      <c r="E77" s="2974">
        <v>105</v>
      </c>
      <c r="F77" s="2975">
        <v>102</v>
      </c>
      <c r="G77" s="3600">
        <v>2002</v>
      </c>
      <c r="H77" s="2922">
        <v>4</v>
      </c>
      <c r="I77" s="2970"/>
      <c r="J77" s="2970"/>
      <c r="K77" s="2970"/>
      <c r="L77" s="2970"/>
      <c r="N77" s="2971"/>
      <c r="O77" s="2970"/>
      <c r="P77" s="2970"/>
      <c r="Q77" s="2970"/>
      <c r="S77" s="2971"/>
      <c r="T77" s="2970"/>
      <c r="U77" s="2970"/>
      <c r="V77" s="2970"/>
      <c r="X77" s="2962"/>
      <c r="Y77" s="2962"/>
      <c r="Z77" s="2962"/>
    </row>
    <row r="78" spans="1:26">
      <c r="A78" s="2898" t="s">
        <v>2607</v>
      </c>
      <c r="B78" s="2972">
        <f t="shared" ref="B78:C80" si="180">B79+(B$77-B$81)/4</f>
        <v>105</v>
      </c>
      <c r="C78" s="2972">
        <f t="shared" si="180"/>
        <v>106</v>
      </c>
      <c r="D78" s="2972">
        <f t="shared" si="142"/>
        <v>106</v>
      </c>
      <c r="E78" s="2972">
        <f t="shared" ref="E78:F80" si="181">E79+(E$77-E$81)/4</f>
        <v>104.5</v>
      </c>
      <c r="F78" s="2972">
        <f t="shared" si="181"/>
        <v>101.5</v>
      </c>
      <c r="G78" s="3601">
        <v>2002</v>
      </c>
      <c r="H78" s="2925">
        <v>3</v>
      </c>
      <c r="I78" s="2970"/>
      <c r="J78" s="2970"/>
      <c r="K78" s="2970"/>
      <c r="L78" s="2970"/>
      <c r="X78" s="2962"/>
      <c r="Y78" s="2962"/>
      <c r="Z78" s="2962"/>
    </row>
    <row r="79" spans="1:26">
      <c r="A79" s="2898" t="s">
        <v>2608</v>
      </c>
      <c r="B79" s="2972">
        <f t="shared" si="180"/>
        <v>104</v>
      </c>
      <c r="C79" s="2972">
        <f t="shared" si="180"/>
        <v>105</v>
      </c>
      <c r="D79" s="2972">
        <f t="shared" si="142"/>
        <v>105</v>
      </c>
      <c r="E79" s="2972">
        <f t="shared" si="181"/>
        <v>104</v>
      </c>
      <c r="F79" s="2972">
        <f t="shared" si="181"/>
        <v>101</v>
      </c>
      <c r="G79" s="3601">
        <v>2002</v>
      </c>
      <c r="H79" s="2913">
        <v>2</v>
      </c>
      <c r="I79" s="2970"/>
      <c r="J79" s="2970"/>
      <c r="K79" s="2970"/>
      <c r="L79" s="2970"/>
      <c r="X79" s="2962"/>
      <c r="Y79" s="2962"/>
      <c r="Z79" s="2962"/>
    </row>
    <row r="80" spans="1:26" s="2935" customFormat="1" ht="13.5" thickBot="1">
      <c r="A80" s="2931" t="s">
        <v>2609</v>
      </c>
      <c r="B80" s="2938">
        <f t="shared" si="180"/>
        <v>103</v>
      </c>
      <c r="C80" s="2938">
        <f t="shared" si="180"/>
        <v>104</v>
      </c>
      <c r="D80" s="2938">
        <f t="shared" si="142"/>
        <v>104</v>
      </c>
      <c r="E80" s="2938">
        <f t="shared" si="181"/>
        <v>103.5</v>
      </c>
      <c r="F80" s="2938">
        <f t="shared" si="181"/>
        <v>100.5</v>
      </c>
      <c r="G80" s="3602">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2610</v>
      </c>
      <c r="G83" s="2985"/>
      <c r="N83" s="2985"/>
      <c r="S83" s="2985"/>
    </row>
    <row r="84" spans="1:26" s="2984" customFormat="1">
      <c r="A84" s="2984" t="s">
        <v>2611</v>
      </c>
      <c r="G84" s="2985"/>
      <c r="N84" s="2985"/>
      <c r="S84" s="2985"/>
    </row>
    <row r="85" spans="1:26" s="2984" customFormat="1">
      <c r="A85" s="2984" t="s">
        <v>2612</v>
      </c>
      <c r="G85" s="2985"/>
      <c r="I85" s="2986"/>
      <c r="J85" s="2986"/>
      <c r="K85" s="2986"/>
      <c r="L85" s="2986"/>
      <c r="N85" s="2987"/>
      <c r="O85" s="2986"/>
      <c r="P85" s="2986"/>
      <c r="Q85" s="2986"/>
      <c r="S85" s="2987"/>
      <c r="T85" s="2986"/>
      <c r="U85" s="2986"/>
      <c r="V85" s="2986"/>
    </row>
    <row r="86" spans="1:26" s="2984" customFormat="1">
      <c r="A86" s="2984" t="s">
        <v>2613</v>
      </c>
      <c r="G86" s="2985"/>
      <c r="N86" s="2985"/>
      <c r="S86" s="2985"/>
    </row>
    <row r="93" spans="1:26" ht="13.5" thickBot="1"/>
    <row r="94" spans="1:26">
      <c r="G94" s="2886"/>
      <c r="S94" s="2988" t="s">
        <v>2614</v>
      </c>
      <c r="T94" s="2989" t="s">
        <v>2615</v>
      </c>
      <c r="U94" s="2989" t="s">
        <v>2616</v>
      </c>
      <c r="V94" s="2989" t="s">
        <v>2617</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2357</v>
      </c>
      <c r="F1" s="2243">
        <f ca="1">J54</f>
        <v>-5</v>
      </c>
      <c r="G1" s="764">
        <f>MATCH(C1,'数据-取费表'!A6:A16,0)+5</f>
        <v>12</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1677</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1815</v>
      </c>
      <c r="B8" s="3609" t="s">
        <v>2443</v>
      </c>
      <c r="C8" s="1740">
        <f ca="1">ROUND(F8*F10*F9*(1-F11)/10000,0)</f>
        <v>0</v>
      </c>
      <c r="D8" s="1737" t="s">
        <v>2514</v>
      </c>
      <c r="E8" s="61" t="s">
        <v>631</v>
      </c>
      <c r="F8" s="775">
        <f ca="1">INDIRECT("'数据-取费表'!u"&amp;$G$1)</f>
        <v>0</v>
      </c>
      <c r="G8" s="1526"/>
      <c r="H8" s="2357" t="s">
        <v>1815</v>
      </c>
      <c r="I8" s="3609" t="s">
        <v>2443</v>
      </c>
      <c r="J8" s="773">
        <f ca="1">ROUND(M8*M10*M9*(1-M11)/10000,0)</f>
        <v>0</v>
      </c>
      <c r="K8" s="339" t="s">
        <v>2514</v>
      </c>
      <c r="L8" s="774" t="s">
        <v>1729</v>
      </c>
      <c r="M8" s="775">
        <f ca="1">INDIRECT("'数据-取费表'!z"&amp;$G$1)</f>
        <v>0</v>
      </c>
    </row>
    <row r="9" spans="1:25" ht="18" customHeight="1">
      <c r="A9" s="2353"/>
      <c r="B9" s="3610"/>
      <c r="C9" s="1741"/>
      <c r="D9" s="1738"/>
      <c r="E9" s="61" t="s">
        <v>632</v>
      </c>
      <c r="F9" s="775">
        <f ca="1">IF(INDIRECT("'数据-取费表'!ah"&amp;$G$1)="",INDIRECT("'数据-取费表'!k"&amp;$G$1),INDIRECT("'数据-取费表'!ah"&amp;$G$1))</f>
        <v>0</v>
      </c>
      <c r="G9" s="1526"/>
      <c r="H9" s="2342"/>
      <c r="I9" s="3610"/>
      <c r="J9" s="778"/>
      <c r="K9" s="779"/>
      <c r="L9" s="774" t="s">
        <v>1730</v>
      </c>
      <c r="M9" s="775">
        <f ca="1">F9</f>
        <v>0</v>
      </c>
    </row>
    <row r="10" spans="1:25" ht="18" customHeight="1">
      <c r="A10" s="2346"/>
      <c r="B10" s="3611"/>
      <c r="C10" s="1741"/>
      <c r="D10" s="1738"/>
      <c r="E10" s="61" t="s">
        <v>633</v>
      </c>
      <c r="F10" s="775">
        <f ca="1">INDIRECT("'数据-取费表'!ai"&amp;$G$1)</f>
        <v>0</v>
      </c>
      <c r="G10" s="1526"/>
      <c r="H10" s="2342"/>
      <c r="I10" s="3611"/>
      <c r="J10" s="778"/>
      <c r="K10" s="779"/>
      <c r="L10" s="774" t="s">
        <v>1731</v>
      </c>
      <c r="M10" s="775">
        <f ca="1">INDIRECT("'数据-取费表'!ai"&amp;$G$1)</f>
        <v>0</v>
      </c>
    </row>
    <row r="11" spans="1:25" ht="18" customHeight="1">
      <c r="A11" s="776"/>
      <c r="B11" s="3612"/>
      <c r="C11" s="1741"/>
      <c r="D11" s="1738"/>
      <c r="E11" s="61" t="s">
        <v>634</v>
      </c>
      <c r="F11" s="784">
        <f ca="1">INDIRECT("'数据-取费表'!w"&amp;$G$1)</f>
        <v>0</v>
      </c>
      <c r="G11" s="1526"/>
      <c r="H11" s="2358"/>
      <c r="I11" s="3611"/>
      <c r="J11" s="778"/>
      <c r="K11" s="779"/>
      <c r="L11" s="785" t="s">
        <v>1732</v>
      </c>
      <c r="M11" s="786">
        <f ca="1">INDIRECT("'数据-取费表'!ab"&amp;$G$1)</f>
        <v>0</v>
      </c>
    </row>
    <row r="12" spans="1:25" ht="18" customHeight="1">
      <c r="A12" s="1745" t="s">
        <v>1816</v>
      </c>
      <c r="B12" s="2347" t="s">
        <v>2439</v>
      </c>
      <c r="C12" s="789">
        <f ca="1">ROUND(IF(F12="押一",C8/12*F13,IF(F12="押二",C8/12*2*F13,IF(F12="押三",C8/12*3*F13,C13*F13))),0)</f>
        <v>0</v>
      </c>
      <c r="D12" s="2354" t="s">
        <v>2932</v>
      </c>
      <c r="E12" s="2351" t="s">
        <v>2444</v>
      </c>
      <c r="F12" s="2465"/>
      <c r="G12" s="1526"/>
      <c r="H12" s="2414" t="s">
        <v>1816</v>
      </c>
      <c r="I12" s="2419" t="s">
        <v>2439</v>
      </c>
      <c r="J12" s="773">
        <f ca="1">ROUND(IF(M12="押一",J8/12*M13,IF(M12="押二",J8/12*2*M13,IF(M12="押三",J8/12*3*M13,J13*M13))),0)</f>
        <v>0</v>
      </c>
      <c r="K12" s="2354" t="s">
        <v>2932</v>
      </c>
      <c r="L12" s="2351" t="s">
        <v>2444</v>
      </c>
      <c r="M12" s="2465"/>
    </row>
    <row r="13" spans="1:25" ht="18" customHeight="1">
      <c r="A13" s="780"/>
      <c r="B13" s="2348" t="s">
        <v>2553</v>
      </c>
      <c r="C13" s="2352"/>
      <c r="D13" s="779"/>
      <c r="E13" s="2351" t="s">
        <v>2436</v>
      </c>
      <c r="F13" s="786">
        <f ca="1">'数据-取费表'!B39</f>
        <v>1.4999999999999999E-2</v>
      </c>
      <c r="G13" s="1526"/>
      <c r="H13" s="2415"/>
      <c r="I13" s="2348" t="s">
        <v>2553</v>
      </c>
      <c r="J13" s="2352"/>
      <c r="K13" s="2416"/>
      <c r="L13" s="2351" t="s">
        <v>2436</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2056</v>
      </c>
      <c r="I16" s="2111" t="s">
        <v>2802</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2057</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2056</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0.03</v>
      </c>
      <c r="G22" s="1527"/>
      <c r="H22" s="1747" t="s">
        <v>1841</v>
      </c>
      <c r="I22" s="1737" t="s">
        <v>662</v>
      </c>
      <c r="J22" s="54">
        <f ca="1">ROUND(M22*M23/10000,0)</f>
        <v>0</v>
      </c>
      <c r="K22" s="803" t="s">
        <v>663</v>
      </c>
      <c r="L22" s="774" t="s">
        <v>664</v>
      </c>
      <c r="M22" s="632">
        <f>'数据-取费表'!B52</f>
        <v>30</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0.03</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2057</v>
      </c>
      <c r="I24" s="774" t="s">
        <v>670</v>
      </c>
      <c r="J24" s="53">
        <f ca="1">ROUND(J16*M24,0)</f>
        <v>0</v>
      </c>
      <c r="K24" s="1891" t="s">
        <v>671</v>
      </c>
      <c r="L24" s="774" t="s">
        <v>643</v>
      </c>
      <c r="M24" s="806">
        <f ca="1">INDIRECT("'数据-取费表'!Ak"&amp;$G$1)</f>
        <v>0</v>
      </c>
    </row>
    <row r="25" spans="1:25" s="1947" customFormat="1" ht="18" customHeight="1">
      <c r="A25" s="793" t="s">
        <v>1866</v>
      </c>
      <c r="B25" s="774" t="s">
        <v>2419</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5</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3.7000000000000002E-3</v>
      </c>
      <c r="D26" s="2423" t="str">
        <f>IF(F25&lt;=1,"销售费用×利率×(建设周期÷2)","销售费用×((1+利率)^(建设周期÷2)-1)")</f>
        <v>销售费用×((1+利率)^(建设周期÷2)-1)</v>
      </c>
      <c r="E26" s="774" t="s">
        <v>676</v>
      </c>
      <c r="F26" s="808">
        <f ca="1">'数据-取费表'!B40</f>
        <v>4.7500000000000001E-2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2799</v>
      </c>
      <c r="J27" s="789">
        <f ca="1">J7-J18</f>
        <v>0</v>
      </c>
      <c r="K27" s="1893" t="s">
        <v>694</v>
      </c>
      <c r="L27" s="1895"/>
      <c r="M27" s="809"/>
    </row>
    <row r="28" spans="1:25" ht="18" customHeight="1">
      <c r="A28" s="793" t="s">
        <v>1866</v>
      </c>
      <c r="B28" s="774" t="s">
        <v>2420</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2800</v>
      </c>
      <c r="C31" s="2397">
        <f ca="1">ROUND((C21+C22+C25+C28)/(1-F23-C26-C29-C30),0)</f>
        <v>0</v>
      </c>
      <c r="D31" s="2398"/>
      <c r="E31" s="2399"/>
      <c r="F31" s="2400"/>
      <c r="G31" s="1527"/>
      <c r="H31" s="812" t="s">
        <v>1863</v>
      </c>
      <c r="I31" s="2725" t="s">
        <v>2801</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2990</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30</v>
      </c>
      <c r="G36" s="1945"/>
      <c r="H36" s="1948"/>
      <c r="I36" s="3608"/>
      <c r="J36" s="1962"/>
      <c r="K36" s="1963"/>
      <c r="L36" s="1962"/>
      <c r="M36" s="1962"/>
    </row>
    <row r="37" spans="1:18" ht="18" customHeight="1">
      <c r="A37" s="804"/>
      <c r="B37" s="783"/>
      <c r="C37" s="69"/>
      <c r="D37" s="805"/>
      <c r="E37" s="774" t="s">
        <v>668</v>
      </c>
      <c r="F37" s="775">
        <f ca="1">INDIRECT("'数据-取费表'!r"&amp;$G$1)</f>
        <v>0</v>
      </c>
      <c r="G37" s="1945"/>
      <c r="H37" s="1948"/>
      <c r="I37" s="360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2921</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2326</v>
      </c>
      <c r="J47" s="2234"/>
      <c r="K47" s="2235"/>
      <c r="L47" s="2811" t="str">
        <f ca="1">IF(M48="住宅",0,IF(L49&gt;J52,L61,J61))</f>
        <v>0</v>
      </c>
      <c r="O47" s="2249" t="s">
        <v>2393</v>
      </c>
      <c r="P47" s="1526"/>
      <c r="Q47" s="1534"/>
      <c r="R47" s="1526"/>
    </row>
    <row r="48" spans="1:18" s="1942" customFormat="1" ht="18" customHeight="1" thickBot="1">
      <c r="A48" s="1966"/>
      <c r="C48" s="1969"/>
      <c r="D48" s="1970"/>
      <c r="E48" s="1970"/>
      <c r="F48" s="1971"/>
      <c r="G48" s="1972"/>
      <c r="I48" s="2802" t="s">
        <v>2327</v>
      </c>
      <c r="J48" s="2236"/>
      <c r="K48" s="2808" t="s">
        <v>2332</v>
      </c>
      <c r="L48" s="2812">
        <f ca="1">INDIRECT("'数据-取费表'!d"&amp;$G$1)</f>
        <v>0</v>
      </c>
      <c r="M48" s="2794" t="str">
        <f>IF(ISNUMBER(FIND("住宅",C1)),"住宅","非住宅")</f>
        <v>非住宅</v>
      </c>
      <c r="O48" s="2250" t="s">
        <v>2358</v>
      </c>
      <c r="P48" s="2251" t="s">
        <v>2359</v>
      </c>
      <c r="Q48" s="2252" t="s">
        <v>2360</v>
      </c>
      <c r="R48" s="2251" t="s">
        <v>2361</v>
      </c>
    </row>
    <row r="49" spans="1:18" s="1942" customFormat="1" ht="18" customHeight="1" thickBot="1">
      <c r="A49" s="1966"/>
      <c r="D49" s="1973"/>
      <c r="E49" s="1974"/>
      <c r="F49" s="1971"/>
      <c r="G49" s="1972"/>
      <c r="H49" s="1975"/>
      <c r="I49" s="2799" t="s">
        <v>2328</v>
      </c>
      <c r="J49" s="2237"/>
      <c r="K49" s="2809" t="s">
        <v>2334</v>
      </c>
      <c r="L49" s="1822">
        <f ca="1">INDIRECT("'数据-取费表'!f"&amp;$G$1)</f>
        <v>0</v>
      </c>
      <c r="O49" s="2253" t="s">
        <v>2362</v>
      </c>
      <c r="P49" s="2254" t="s">
        <v>2388</v>
      </c>
      <c r="Q49" s="2255">
        <f ca="1">C41+J31</f>
        <v>0</v>
      </c>
      <c r="R49" s="2254" t="s">
        <v>2363</v>
      </c>
    </row>
    <row r="50" spans="1:18" s="1942" customFormat="1" ht="18" customHeight="1" thickBot="1">
      <c r="A50" s="1966"/>
      <c r="D50" s="1976"/>
      <c r="E50" s="1976"/>
      <c r="F50" s="1970"/>
      <c r="G50" s="1977"/>
      <c r="H50" s="1975"/>
      <c r="I50" s="2799" t="s">
        <v>2329</v>
      </c>
      <c r="J50" s="2238"/>
      <c r="K50" s="2810" t="s">
        <v>2335</v>
      </c>
      <c r="L50" s="2239"/>
      <c r="O50" s="2253" t="s">
        <v>2364</v>
      </c>
      <c r="P50" s="2254" t="s">
        <v>2389</v>
      </c>
      <c r="Q50" s="2255" t="str">
        <f ca="1">J61</f>
        <v>0</v>
      </c>
      <c r="R50" s="2254" t="s">
        <v>2365</v>
      </c>
    </row>
    <row r="51" spans="1:18" s="1942" customFormat="1" ht="18" customHeight="1" thickBot="1">
      <c r="A51" s="1978"/>
      <c r="D51" s="1976"/>
      <c r="E51" s="1976"/>
      <c r="F51" s="1967"/>
      <c r="H51" s="1975"/>
      <c r="I51" s="2799" t="s">
        <v>2330</v>
      </c>
      <c r="J51" s="2806">
        <f>SUMPRODUCT((I64:I66=J48)*(J63:L63=J49)*(J64:L66))</f>
        <v>0</v>
      </c>
      <c r="K51" s="2810" t="s">
        <v>2336</v>
      </c>
      <c r="L51" s="2239"/>
      <c r="O51" s="2256" t="s">
        <v>2366</v>
      </c>
      <c r="P51" s="2254" t="s">
        <v>2390</v>
      </c>
      <c r="Q51" s="2255">
        <f ca="1">C31</f>
        <v>0</v>
      </c>
      <c r="R51" s="2254" t="s">
        <v>2363</v>
      </c>
    </row>
    <row r="52" spans="1:18" s="1942" customFormat="1" ht="18" customHeight="1" thickBot="1">
      <c r="A52" s="1978"/>
      <c r="F52" s="1967"/>
      <c r="I52" s="2803" t="s">
        <v>2331</v>
      </c>
      <c r="J52" s="2807">
        <f>IF(J50="",J51,J50+J51-YEAR('数据-取费表'!B3))</f>
        <v>0</v>
      </c>
      <c r="K52" s="2799" t="s">
        <v>2337</v>
      </c>
      <c r="L52" s="2813">
        <f ca="1">C45</f>
        <v>0</v>
      </c>
      <c r="O52" s="2256" t="s">
        <v>2367</v>
      </c>
      <c r="P52" s="2254" t="s">
        <v>2368</v>
      </c>
      <c r="Q52" s="2257" t="e">
        <f ca="1">J59</f>
        <v>#VALUE!</v>
      </c>
      <c r="R52" s="2258"/>
    </row>
    <row r="53" spans="1:18" s="1942" customFormat="1" ht="18" customHeight="1" thickBot="1">
      <c r="A53" s="1978"/>
      <c r="F53" s="1967"/>
      <c r="I53" s="2804" t="s">
        <v>2404</v>
      </c>
      <c r="J53" s="2240"/>
      <c r="K53" s="2804" t="s">
        <v>2403</v>
      </c>
      <c r="L53" s="2240"/>
      <c r="O53" s="2256" t="s">
        <v>2369</v>
      </c>
      <c r="P53" s="2254" t="s">
        <v>2370</v>
      </c>
      <c r="Q53" s="2257">
        <f>J53</f>
        <v>0</v>
      </c>
      <c r="R53" s="2258"/>
    </row>
    <row r="54" spans="1:18" s="1942" customFormat="1" ht="29.25" thickBot="1">
      <c r="A54" s="1978"/>
      <c r="I54" s="2805" t="s">
        <v>2936</v>
      </c>
      <c r="J54" s="2858">
        <f ca="1">IF(M48="住宅",MAX(J52,L49-'数据-取费表'!B20),MIN(J52,L49-'数据-取费表'!B20))</f>
        <v>-5</v>
      </c>
      <c r="K54" s="3613"/>
      <c r="L54" s="3614"/>
      <c r="O54" s="2256" t="s">
        <v>2371</v>
      </c>
      <c r="P54" s="2254" t="s">
        <v>2372</v>
      </c>
      <c r="Q54" s="2255">
        <f ca="1">J54</f>
        <v>-5</v>
      </c>
      <c r="R54" s="2254" t="s">
        <v>2373</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2374</v>
      </c>
      <c r="P55" s="2254" t="s">
        <v>2391</v>
      </c>
      <c r="Q55" s="2255">
        <f ca="1">Q49+Q50</f>
        <v>0</v>
      </c>
      <c r="R55" s="2258" t="s">
        <v>2375</v>
      </c>
    </row>
    <row r="56" spans="1:18" s="1942" customFormat="1" ht="16.5" thickBot="1">
      <c r="A56" s="1978"/>
      <c r="B56" s="1979"/>
      <c r="C56" s="1979"/>
      <c r="I56" s="2816" t="s">
        <v>2338</v>
      </c>
      <c r="J56" s="2788" t="e">
        <f ca="1">ROUND(IF(J48="钢混",J58/J51,1-(1-2%)*(J51-J58)/J51),3)</f>
        <v>#VALUE!</v>
      </c>
      <c r="K56" s="2817" t="s">
        <v>2339</v>
      </c>
      <c r="L56" s="2241"/>
      <c r="O56" s="2259" t="s">
        <v>2394</v>
      </c>
      <c r="P56" s="1526"/>
      <c r="Q56" s="1534"/>
      <c r="R56" s="1526"/>
    </row>
    <row r="57" spans="1:18" s="1942" customFormat="1" ht="43.5" thickBot="1">
      <c r="A57" s="1978"/>
      <c r="B57" s="1979"/>
      <c r="C57" s="1979"/>
      <c r="I57" s="2818" t="s">
        <v>2340</v>
      </c>
      <c r="J57" s="2828" t="s">
        <v>1669</v>
      </c>
      <c r="K57" s="2799" t="s">
        <v>2345</v>
      </c>
      <c r="L57" s="1822">
        <f ca="1">IF(L49&lt;J52,"——",L49-J52)</f>
        <v>0</v>
      </c>
      <c r="O57" s="2250" t="s">
        <v>2358</v>
      </c>
      <c r="P57" s="2251" t="s">
        <v>2359</v>
      </c>
      <c r="Q57" s="2252" t="s">
        <v>2360</v>
      </c>
      <c r="R57" s="2251" t="s">
        <v>2361</v>
      </c>
    </row>
    <row r="58" spans="1:18" s="1942" customFormat="1" ht="29.25" thickBot="1">
      <c r="A58" s="1978"/>
      <c r="B58" s="1979"/>
      <c r="C58" s="1979"/>
      <c r="I58" s="2819" t="s">
        <v>2341</v>
      </c>
      <c r="J58" s="2820" t="str">
        <f ca="1">IF(OR(M48="住宅",J52&lt;L49,J57="是"),"——",J52-L49)</f>
        <v>——</v>
      </c>
      <c r="K58" s="2799" t="s">
        <v>2346</v>
      </c>
      <c r="L58" s="1822">
        <f ca="1">IF(L49&lt;J52,"——",IF(L56="比较法",L50,IF(L56="基准地价",L51,L52)))</f>
        <v>0</v>
      </c>
      <c r="O58" s="2253" t="s">
        <v>2362</v>
      </c>
      <c r="P58" s="2254" t="s">
        <v>2388</v>
      </c>
      <c r="Q58" s="2255">
        <f ca="1">C41+J31</f>
        <v>0</v>
      </c>
      <c r="R58" s="2254" t="s">
        <v>2363</v>
      </c>
    </row>
    <row r="59" spans="1:18" s="1942" customFormat="1" ht="29.25" thickBot="1">
      <c r="A59" s="1978"/>
      <c r="B59" s="1979"/>
      <c r="C59" s="1979"/>
      <c r="I59" s="2819" t="s">
        <v>2342</v>
      </c>
      <c r="J59" s="2789" t="e">
        <f ca="1">IF(J56&lt;0.4,0.4,J56)</f>
        <v>#VALUE!</v>
      </c>
      <c r="K59" s="2799" t="s">
        <v>2347</v>
      </c>
      <c r="L59" s="1822">
        <f ca="1">IF(ISERROR(POWER(1+L53,L48-L49)*(POWER(1+L53,L49)-1)/(POWER(1+L53,L48)-1)),0,POWER(1+L53,L48-L49)*(POWER(1+L53,L49)-1)/(POWER(1+L53,L48)-1))</f>
        <v>0</v>
      </c>
      <c r="O59" s="2253" t="s">
        <v>2364</v>
      </c>
      <c r="P59" s="2254" t="s">
        <v>2395</v>
      </c>
      <c r="Q59" s="2255" t="e">
        <f ca="1">L61</f>
        <v>#DIV/0!</v>
      </c>
      <c r="R59" s="2258" t="s">
        <v>2397</v>
      </c>
    </row>
    <row r="60" spans="1:18" s="1942" customFormat="1" ht="29.25" thickBot="1">
      <c r="A60" s="1978"/>
      <c r="B60" s="1979"/>
      <c r="C60" s="1979"/>
      <c r="I60" s="2819" t="s">
        <v>2343</v>
      </c>
      <c r="J60" s="2820" t="str">
        <f ca="1">IF(OR(M48="住宅",J52&lt;L49,J57="是"),"——",ROUND(C30*J59,0))</f>
        <v>——</v>
      </c>
      <c r="K60" s="2799" t="s">
        <v>2348</v>
      </c>
      <c r="L60" s="1822">
        <f ca="1">IF(ISERROR(POWER(1+L53,L48-J52)*(POWER(1+L53,J52)-1)/(POWER(1+L53,L48)-1)),0,POWER(1+L53,L48-J52)*(POWER(1+L53,J52)-1)/(POWER(1+L53,L48)-1))</f>
        <v>0</v>
      </c>
      <c r="O60" s="2256" t="s">
        <v>2366</v>
      </c>
      <c r="P60" s="2254" t="s">
        <v>2396</v>
      </c>
      <c r="Q60" s="2255">
        <f>IF(L56="比较法",L50,IF(L56="基准地价",L51,0))</f>
        <v>0</v>
      </c>
      <c r="R60" s="2254" t="s">
        <v>2363</v>
      </c>
    </row>
    <row r="61" spans="1:18" s="1942" customFormat="1" ht="15.75" thickBot="1">
      <c r="A61" s="1978"/>
      <c r="B61" s="1979"/>
      <c r="C61" s="1979"/>
      <c r="I61" s="2821" t="s">
        <v>2344</v>
      </c>
      <c r="J61" s="2822" t="str">
        <f ca="1">IF(OR(M48="住宅",J52&lt;L49,J57="是"),"0",ROUND(J60/(1+J53)^J54,0))</f>
        <v>0</v>
      </c>
      <c r="K61" s="2823" t="s">
        <v>2349</v>
      </c>
      <c r="L61" s="2822" t="e">
        <f ca="1">IF(OR(M48="住宅",L49&lt;J52),0,ROUND(L58*(L59/L60-1),0))</f>
        <v>#DIV/0!</v>
      </c>
      <c r="O61" s="2256" t="s">
        <v>2367</v>
      </c>
      <c r="P61" s="2254" t="s">
        <v>2376</v>
      </c>
      <c r="Q61" s="2257">
        <f>L53</f>
        <v>0</v>
      </c>
      <c r="R61" s="2258"/>
    </row>
    <row r="62" spans="1:18" s="1942" customFormat="1" ht="20.25" thickBot="1">
      <c r="A62" s="1978"/>
      <c r="B62" s="1979"/>
      <c r="C62" s="1979"/>
      <c r="K62" s="1968"/>
      <c r="O62" s="2256" t="s">
        <v>2369</v>
      </c>
      <c r="P62" s="2254" t="s">
        <v>2377</v>
      </c>
      <c r="Q62" s="2255">
        <f ca="1">L59</f>
        <v>0</v>
      </c>
      <c r="R62" s="2258" t="s">
        <v>2378</v>
      </c>
    </row>
    <row r="63" spans="1:18" s="1942" customFormat="1" ht="20.25" thickBot="1">
      <c r="A63" s="1978"/>
      <c r="B63" s="1979"/>
      <c r="C63" s="1979"/>
      <c r="I63" s="2824" t="s">
        <v>2350</v>
      </c>
      <c r="J63" s="2825" t="s">
        <v>2351</v>
      </c>
      <c r="K63" s="2825" t="s">
        <v>2352</v>
      </c>
      <c r="L63" s="2825" t="s">
        <v>2333</v>
      </c>
      <c r="M63" s="2826" t="s">
        <v>2904</v>
      </c>
      <c r="O63" s="2256" t="s">
        <v>2371</v>
      </c>
      <c r="P63" s="2254" t="s">
        <v>2379</v>
      </c>
      <c r="Q63" s="2255">
        <f ca="1">L60</f>
        <v>0</v>
      </c>
      <c r="R63" s="2258" t="s">
        <v>2380</v>
      </c>
    </row>
    <row r="64" spans="1:18" s="1942" customFormat="1" ht="15.75" thickBot="1">
      <c r="A64" s="1978"/>
      <c r="B64" s="1979"/>
      <c r="C64" s="1979"/>
      <c r="I64" s="2824" t="s">
        <v>2353</v>
      </c>
      <c r="J64" s="2825">
        <v>70</v>
      </c>
      <c r="K64" s="2825">
        <v>50</v>
      </c>
      <c r="L64" s="2825">
        <v>80</v>
      </c>
      <c r="M64" s="2827">
        <v>0.02</v>
      </c>
      <c r="O64" s="2253" t="s">
        <v>2374</v>
      </c>
      <c r="P64" s="2254" t="s">
        <v>2391</v>
      </c>
      <c r="Q64" s="2255" t="e">
        <f ca="1">Q58+Q59</f>
        <v>#DIV/0!</v>
      </c>
      <c r="R64" s="2258" t="s">
        <v>2375</v>
      </c>
    </row>
    <row r="65" spans="1:18" s="1942" customFormat="1" ht="16.5" thickBot="1">
      <c r="A65" s="1978"/>
      <c r="B65" s="1979"/>
      <c r="C65" s="1979"/>
      <c r="I65" s="2824" t="s">
        <v>2354</v>
      </c>
      <c r="J65" s="2825">
        <v>50</v>
      </c>
      <c r="K65" s="2825">
        <v>35</v>
      </c>
      <c r="L65" s="2825">
        <v>60</v>
      </c>
      <c r="M65" s="835">
        <v>0</v>
      </c>
      <c r="O65" s="2259" t="s">
        <v>2398</v>
      </c>
      <c r="P65" s="1526"/>
      <c r="Q65" s="1534"/>
      <c r="R65" s="1526"/>
    </row>
    <row r="66" spans="1:18" s="1942" customFormat="1" ht="15.75" thickBot="1">
      <c r="A66" s="1978"/>
      <c r="B66" s="1979"/>
      <c r="C66" s="1979"/>
      <c r="I66" s="2824" t="s">
        <v>2355</v>
      </c>
      <c r="J66" s="2825">
        <v>40</v>
      </c>
      <c r="K66" s="2825">
        <v>30</v>
      </c>
      <c r="L66" s="2825">
        <v>50</v>
      </c>
      <c r="M66" s="2827">
        <v>0.02</v>
      </c>
      <c r="O66" s="2250" t="s">
        <v>2358</v>
      </c>
      <c r="P66" s="2251" t="s">
        <v>2359</v>
      </c>
      <c r="Q66" s="2252" t="s">
        <v>2360</v>
      </c>
      <c r="R66" s="2251" t="s">
        <v>2361</v>
      </c>
    </row>
    <row r="67" spans="1:18" s="1942" customFormat="1" ht="15.75" thickBot="1">
      <c r="A67" s="1978"/>
      <c r="B67" s="1979"/>
      <c r="C67" s="1979"/>
      <c r="K67" s="1968"/>
      <c r="O67" s="2253" t="s">
        <v>2362</v>
      </c>
      <c r="P67" s="2254" t="s">
        <v>2388</v>
      </c>
      <c r="Q67" s="2255">
        <f ca="1">C41+J31</f>
        <v>0</v>
      </c>
      <c r="R67" s="2254" t="s">
        <v>2363</v>
      </c>
    </row>
    <row r="68" spans="1:18" s="1942" customFormat="1" ht="20.25" thickBot="1">
      <c r="A68" s="1978"/>
      <c r="B68" s="1979"/>
      <c r="C68" s="1979"/>
      <c r="K68" s="1968"/>
      <c r="O68" s="2253" t="s">
        <v>2364</v>
      </c>
      <c r="P68" s="2254" t="s">
        <v>2395</v>
      </c>
      <c r="Q68" s="2255" t="e">
        <f ca="1">L61</f>
        <v>#DIV/0!</v>
      </c>
      <c r="R68" s="2258" t="s">
        <v>2397</v>
      </c>
    </row>
    <row r="69" spans="1:18" s="1942" customFormat="1" ht="21.75" thickBot="1">
      <c r="A69" s="1978"/>
      <c r="B69" s="1979"/>
      <c r="C69" s="1979"/>
      <c r="K69" s="1968"/>
      <c r="O69" s="2256" t="s">
        <v>2366</v>
      </c>
      <c r="P69" s="2254" t="s">
        <v>2396</v>
      </c>
      <c r="Q69" s="2260">
        <f ca="1">L52</f>
        <v>0</v>
      </c>
      <c r="R69" s="2261" t="s">
        <v>2399</v>
      </c>
    </row>
    <row r="70" spans="1:18" s="1942" customFormat="1" ht="20.25" thickBot="1">
      <c r="A70" s="1978"/>
      <c r="B70" s="1979"/>
      <c r="C70" s="1979"/>
      <c r="K70" s="1968"/>
      <c r="O70" s="2256" t="s">
        <v>2367</v>
      </c>
      <c r="P70" s="2262" t="s">
        <v>2381</v>
      </c>
      <c r="Q70" s="2255">
        <f ca="1">ROUND(Q71-Q72*Q73,0)</f>
        <v>0</v>
      </c>
      <c r="R70" s="2258"/>
    </row>
    <row r="71" spans="1:18" s="1942" customFormat="1" ht="15.75" thickBot="1">
      <c r="A71" s="1978"/>
      <c r="B71" s="1979"/>
      <c r="C71" s="1979"/>
      <c r="K71" s="1968"/>
      <c r="O71" s="2256" t="s">
        <v>2382</v>
      </c>
      <c r="P71" s="2262" t="s">
        <v>2383</v>
      </c>
      <c r="Q71" s="2255">
        <f ca="1">C42</f>
        <v>0</v>
      </c>
      <c r="R71" s="2254" t="s">
        <v>2363</v>
      </c>
    </row>
    <row r="72" spans="1:18" s="1942" customFormat="1" ht="15.75" thickBot="1">
      <c r="A72" s="1978"/>
      <c r="B72" s="1979"/>
      <c r="C72" s="1979"/>
      <c r="K72" s="1968"/>
      <c r="O72" s="2256" t="s">
        <v>2384</v>
      </c>
      <c r="P72" s="2262" t="s">
        <v>2385</v>
      </c>
      <c r="Q72" s="2255">
        <f ca="1">C15</f>
        <v>0</v>
      </c>
      <c r="R72" s="2254" t="s">
        <v>2363</v>
      </c>
    </row>
    <row r="73" spans="1:18" s="1942" customFormat="1" ht="15.75" thickBot="1">
      <c r="A73" s="1978"/>
      <c r="B73" s="1979"/>
      <c r="C73" s="1979"/>
      <c r="K73" s="1968"/>
      <c r="O73" s="2256" t="s">
        <v>2386</v>
      </c>
      <c r="P73" s="2262" t="s">
        <v>2387</v>
      </c>
      <c r="Q73" s="2257">
        <f ca="1">F43</f>
        <v>0</v>
      </c>
      <c r="R73" s="2258"/>
    </row>
    <row r="74" spans="1:18" s="1942" customFormat="1" ht="15.75" thickBot="1">
      <c r="A74" s="1978"/>
      <c r="B74" s="1979"/>
      <c r="C74" s="1979"/>
      <c r="K74" s="1968"/>
      <c r="O74" s="2256" t="s">
        <v>2369</v>
      </c>
      <c r="P74" s="2254" t="s">
        <v>2376</v>
      </c>
      <c r="Q74" s="2257">
        <f>L53</f>
        <v>0</v>
      </c>
      <c r="R74" s="2258"/>
    </row>
    <row r="75" spans="1:18" s="1942" customFormat="1" ht="20.25" thickBot="1">
      <c r="A75" s="1978"/>
      <c r="B75" s="1979"/>
      <c r="C75" s="1979"/>
      <c r="K75" s="1968"/>
      <c r="O75" s="2256" t="s">
        <v>2371</v>
      </c>
      <c r="P75" s="2254" t="s">
        <v>2377</v>
      </c>
      <c r="Q75" s="2255">
        <f ca="1">L59</f>
        <v>0</v>
      </c>
      <c r="R75" s="2258" t="s">
        <v>2378</v>
      </c>
    </row>
    <row r="76" spans="1:18" s="1942" customFormat="1" ht="20.25" thickBot="1">
      <c r="A76" s="1978"/>
      <c r="B76" s="1979"/>
      <c r="C76" s="1979"/>
      <c r="K76" s="1968"/>
      <c r="O76" s="2256" t="s">
        <v>2400</v>
      </c>
      <c r="P76" s="2254" t="s">
        <v>2379</v>
      </c>
      <c r="Q76" s="2255">
        <f ca="1">L60</f>
        <v>0</v>
      </c>
      <c r="R76" s="2258" t="s">
        <v>2380</v>
      </c>
    </row>
    <row r="77" spans="1:18" s="1942" customFormat="1" ht="15.75" thickBot="1">
      <c r="A77" s="1978"/>
      <c r="B77" s="1979"/>
      <c r="C77" s="1979"/>
      <c r="K77" s="1968"/>
      <c r="O77" s="2253" t="s">
        <v>2374</v>
      </c>
      <c r="P77" s="2254" t="s">
        <v>2391</v>
      </c>
      <c r="Q77" s="2255" t="e">
        <f ca="1">Q67+Q68</f>
        <v>#DIV/0!</v>
      </c>
      <c r="R77" s="2258" t="s">
        <v>2375</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31" t="s">
        <v>2451</v>
      </c>
      <c r="B1" s="3632"/>
      <c r="C1" s="3633"/>
      <c r="D1" s="3634">
        <f>SUM(I10,I15,I20,I21,I23)</f>
        <v>0</v>
      </c>
      <c r="E1" s="3634"/>
      <c r="F1" s="3634"/>
      <c r="G1" s="3634"/>
      <c r="H1" s="3634"/>
      <c r="I1" s="3635"/>
    </row>
    <row r="2" spans="1:9">
      <c r="A2" s="3621" t="s">
        <v>2452</v>
      </c>
      <c r="B2" s="3622" t="s">
        <v>2453</v>
      </c>
      <c r="C2" s="3622"/>
      <c r="D2" s="2360" t="s">
        <v>2454</v>
      </c>
      <c r="E2" s="2360" t="s">
        <v>2455</v>
      </c>
      <c r="F2" s="2360" t="s">
        <v>2456</v>
      </c>
      <c r="G2" s="2360" t="s">
        <v>2457</v>
      </c>
      <c r="H2" s="2360" t="s">
        <v>2458</v>
      </c>
      <c r="I2" s="2361" t="s">
        <v>2459</v>
      </c>
    </row>
    <row r="3" spans="1:9">
      <c r="A3" s="3621"/>
      <c r="B3" s="3622" t="s">
        <v>2460</v>
      </c>
      <c r="C3" s="3622"/>
      <c r="D3" s="2362"/>
      <c r="E3" s="2360"/>
      <c r="F3" s="2363"/>
      <c r="G3" s="2363"/>
      <c r="H3" s="2364"/>
      <c r="I3" s="2365">
        <f>ROUND(D3*E3*F3*G3*H3/10000,0)</f>
        <v>0</v>
      </c>
    </row>
    <row r="4" spans="1:9">
      <c r="A4" s="3621"/>
      <c r="B4" s="3622" t="s">
        <v>2461</v>
      </c>
      <c r="C4" s="3622"/>
      <c r="D4" s="2362"/>
      <c r="E4" s="2360"/>
      <c r="F4" s="2363"/>
      <c r="G4" s="2363"/>
      <c r="H4" s="2364"/>
      <c r="I4" s="2365">
        <f t="shared" ref="I4:I9" si="0">ROUND(D4*E4*F4*G4*H4/10000,0)</f>
        <v>0</v>
      </c>
    </row>
    <row r="5" spans="1:9">
      <c r="A5" s="3621"/>
      <c r="B5" s="3622" t="s">
        <v>2462</v>
      </c>
      <c r="C5" s="3622"/>
      <c r="D5" s="2362"/>
      <c r="E5" s="2360"/>
      <c r="F5" s="2363"/>
      <c r="G5" s="2363"/>
      <c r="H5" s="2364"/>
      <c r="I5" s="2365">
        <f t="shared" si="0"/>
        <v>0</v>
      </c>
    </row>
    <row r="6" spans="1:9">
      <c r="A6" s="3621"/>
      <c r="B6" s="3622" t="s">
        <v>2463</v>
      </c>
      <c r="C6" s="3622"/>
      <c r="D6" s="2362"/>
      <c r="E6" s="2360"/>
      <c r="F6" s="2363"/>
      <c r="G6" s="2363"/>
      <c r="H6" s="2364"/>
      <c r="I6" s="2365">
        <f t="shared" si="0"/>
        <v>0</v>
      </c>
    </row>
    <row r="7" spans="1:9">
      <c r="A7" s="3621"/>
      <c r="B7" s="3622" t="s">
        <v>2464</v>
      </c>
      <c r="C7" s="3622"/>
      <c r="D7" s="2362"/>
      <c r="E7" s="2360"/>
      <c r="F7" s="2363"/>
      <c r="G7" s="2363"/>
      <c r="H7" s="2364"/>
      <c r="I7" s="2365">
        <f t="shared" si="0"/>
        <v>0</v>
      </c>
    </row>
    <row r="8" spans="1:9">
      <c r="A8" s="3621"/>
      <c r="B8" s="3622" t="s">
        <v>2465</v>
      </c>
      <c r="C8" s="3622"/>
      <c r="D8" s="2362"/>
      <c r="E8" s="2360"/>
      <c r="F8" s="2363"/>
      <c r="G8" s="2363"/>
      <c r="H8" s="2364"/>
      <c r="I8" s="2365">
        <f t="shared" si="0"/>
        <v>0</v>
      </c>
    </row>
    <row r="9" spans="1:9">
      <c r="A9" s="3621"/>
      <c r="B9" s="3622" t="s">
        <v>2466</v>
      </c>
      <c r="C9" s="3622"/>
      <c r="D9" s="2362"/>
      <c r="E9" s="2360"/>
      <c r="F9" s="2363"/>
      <c r="G9" s="2363"/>
      <c r="H9" s="2364"/>
      <c r="I9" s="2365">
        <f t="shared" si="0"/>
        <v>0</v>
      </c>
    </row>
    <row r="10" spans="1:9">
      <c r="A10" s="3621"/>
      <c r="B10" s="3623" t="s">
        <v>2467</v>
      </c>
      <c r="C10" s="3623"/>
      <c r="D10" s="2366">
        <v>527</v>
      </c>
      <c r="E10" s="2366" t="e">
        <f>ROUND(D1*10000/D10/H9,0)</f>
        <v>#DIV/0!</v>
      </c>
      <c r="F10" s="2367"/>
      <c r="G10" s="2367"/>
      <c r="H10" s="2368"/>
      <c r="I10" s="2369">
        <f>SUM(I3:I9)</f>
        <v>0</v>
      </c>
    </row>
    <row r="11" spans="1:9" ht="14.25">
      <c r="A11" s="3621" t="s">
        <v>2468</v>
      </c>
      <c r="B11" s="3622" t="s">
        <v>2469</v>
      </c>
      <c r="C11" s="3622"/>
      <c r="D11" s="2362" t="s">
        <v>2470</v>
      </c>
      <c r="E11" s="2362" t="s">
        <v>2471</v>
      </c>
      <c r="F11" s="2363" t="s">
        <v>2472</v>
      </c>
      <c r="G11" s="2363" t="s">
        <v>2473</v>
      </c>
      <c r="H11" s="2370" t="s">
        <v>2474</v>
      </c>
      <c r="I11" s="2361" t="s">
        <v>2475</v>
      </c>
    </row>
    <row r="12" spans="1:9">
      <c r="A12" s="3621"/>
      <c r="B12" s="3622" t="s">
        <v>2476</v>
      </c>
      <c r="C12" s="3622"/>
      <c r="D12" s="2362"/>
      <c r="E12" s="2362"/>
      <c r="F12" s="2363"/>
      <c r="G12" s="2364"/>
      <c r="H12" s="2371"/>
      <c r="I12" s="2361">
        <f>ROUND(D12*E12*F12*G12/10000,0)</f>
        <v>0</v>
      </c>
    </row>
    <row r="13" spans="1:9">
      <c r="A13" s="3621"/>
      <c r="B13" s="3622" t="s">
        <v>2477</v>
      </c>
      <c r="C13" s="3622"/>
      <c r="D13" s="2362"/>
      <c r="E13" s="2362"/>
      <c r="F13" s="2363"/>
      <c r="G13" s="2364"/>
      <c r="H13" s="2371"/>
      <c r="I13" s="2361">
        <f>ROUND(D13*E13*F13*G13/10000,0)</f>
        <v>0</v>
      </c>
    </row>
    <row r="14" spans="1:9">
      <c r="A14" s="3621"/>
      <c r="B14" s="3622" t="s">
        <v>2478</v>
      </c>
      <c r="C14" s="3622"/>
      <c r="D14" s="2362"/>
      <c r="E14" s="2362"/>
      <c r="F14" s="2363"/>
      <c r="G14" s="2364"/>
      <c r="H14" s="2371"/>
      <c r="I14" s="2361">
        <f>ROUND(D14*E14*F14*G14/10000,0)</f>
        <v>0</v>
      </c>
    </row>
    <row r="15" spans="1:9">
      <c r="A15" s="3621"/>
      <c r="B15" s="3623" t="s">
        <v>2467</v>
      </c>
      <c r="C15" s="3623"/>
      <c r="D15" s="2366"/>
      <c r="E15" s="2366">
        <f>SUM(E12:E14)</f>
        <v>0</v>
      </c>
      <c r="F15" s="2367"/>
      <c r="G15" s="2364"/>
      <c r="H15" s="2371"/>
      <c r="I15" s="2372">
        <f>SUM(I12:I14)</f>
        <v>0</v>
      </c>
    </row>
    <row r="16" spans="1:9" ht="24">
      <c r="A16" s="3621" t="s">
        <v>2479</v>
      </c>
      <c r="B16" s="3622" t="s">
        <v>2480</v>
      </c>
      <c r="C16" s="3622"/>
      <c r="D16" s="2362" t="s">
        <v>2481</v>
      </c>
      <c r="E16" s="2373" t="s">
        <v>2482</v>
      </c>
      <c r="F16" s="2363" t="s">
        <v>2483</v>
      </c>
      <c r="G16" s="2364" t="s">
        <v>2473</v>
      </c>
      <c r="H16" s="2370" t="s">
        <v>2474</v>
      </c>
      <c r="I16" s="2361" t="s">
        <v>2475</v>
      </c>
    </row>
    <row r="17" spans="1:9" ht="14.25">
      <c r="A17" s="3621"/>
      <c r="B17" s="3622" t="s">
        <v>2484</v>
      </c>
      <c r="C17" s="3622"/>
      <c r="D17" s="2362"/>
      <c r="E17" s="2362"/>
      <c r="F17" s="2363"/>
      <c r="G17" s="2364"/>
      <c r="H17" s="2374"/>
      <c r="I17" s="2375">
        <f>ROUND(D17*E17*F17*G17/10000,0)</f>
        <v>0</v>
      </c>
    </row>
    <row r="18" spans="1:9" ht="14.25">
      <c r="A18" s="3621"/>
      <c r="B18" s="3622" t="s">
        <v>2485</v>
      </c>
      <c r="C18" s="3622"/>
      <c r="D18" s="2362"/>
      <c r="E18" s="2362"/>
      <c r="F18" s="2363"/>
      <c r="G18" s="2364"/>
      <c r="H18" s="2374"/>
      <c r="I18" s="2375">
        <f>ROUND(D18*E18*F18*G18/10000,0)</f>
        <v>0</v>
      </c>
    </row>
    <row r="19" spans="1:9" ht="14.25">
      <c r="A19" s="3621"/>
      <c r="B19" s="3622" t="s">
        <v>2486</v>
      </c>
      <c r="C19" s="3622"/>
      <c r="D19" s="2362"/>
      <c r="E19" s="2362"/>
      <c r="F19" s="2363"/>
      <c r="G19" s="2364"/>
      <c r="H19" s="2374"/>
      <c r="I19" s="2375">
        <f>ROUND(D19*E19*F19*G19/10000,0)</f>
        <v>0</v>
      </c>
    </row>
    <row r="20" spans="1:9">
      <c r="A20" s="3621"/>
      <c r="B20" s="3623" t="s">
        <v>2467</v>
      </c>
      <c r="C20" s="3623"/>
      <c r="D20" s="2366">
        <f>SUM(D17:D19)</f>
        <v>0</v>
      </c>
      <c r="E20" s="2366"/>
      <c r="F20" s="2367"/>
      <c r="G20" s="2364"/>
      <c r="H20" s="2371"/>
      <c r="I20" s="2372">
        <f>SUM(I17:I19)</f>
        <v>0</v>
      </c>
    </row>
    <row r="21" spans="1:9">
      <c r="A21" s="3621" t="s">
        <v>2487</v>
      </c>
      <c r="B21" s="3624"/>
      <c r="C21" s="3624"/>
      <c r="D21" s="3624"/>
      <c r="E21" s="3624"/>
      <c r="F21" s="3624"/>
      <c r="G21" s="3624"/>
      <c r="H21" s="2376">
        <v>0.1</v>
      </c>
      <c r="I21" s="2369">
        <f>ROUND(I10*H21,0)</f>
        <v>0</v>
      </c>
    </row>
    <row r="22" spans="1:9" ht="14.25">
      <c r="A22" s="3625" t="s">
        <v>2488</v>
      </c>
      <c r="B22" s="3626"/>
      <c r="C22" s="3627"/>
      <c r="D22" s="2377" t="s">
        <v>2489</v>
      </c>
      <c r="E22" s="2377" t="s">
        <v>2490</v>
      </c>
      <c r="F22" s="2378" t="s">
        <v>2491</v>
      </c>
      <c r="G22" s="2378" t="s">
        <v>2492</v>
      </c>
      <c r="H22" s="2370" t="s">
        <v>2493</v>
      </c>
      <c r="I22" s="2361" t="s">
        <v>2494</v>
      </c>
    </row>
    <row r="23" spans="1:9" ht="14.25" thickBot="1">
      <c r="A23" s="3628"/>
      <c r="B23" s="3629"/>
      <c r="C23" s="3630"/>
      <c r="D23" s="2379"/>
      <c r="E23" s="2379"/>
      <c r="F23" s="2379"/>
      <c r="G23" s="2380"/>
      <c r="H23" s="2381"/>
      <c r="I23" s="2382">
        <f>ROUND(E23*D23*F23*(1-G23)/10000,0)</f>
        <v>0</v>
      </c>
    </row>
    <row r="26" spans="1:9">
      <c r="A26" s="2383" t="s">
        <v>2495</v>
      </c>
      <c r="B26" s="2383"/>
      <c r="C26" s="2383"/>
      <c r="D26" s="2383"/>
      <c r="E26" s="3618">
        <f>C27-C30-C31-C32</f>
        <v>0</v>
      </c>
      <c r="F26" s="3618"/>
      <c r="G26" s="3618"/>
      <c r="H26" s="2756" t="s">
        <v>2820</v>
      </c>
    </row>
    <row r="27" spans="1:9">
      <c r="A27" s="2384">
        <v>1</v>
      </c>
      <c r="B27" s="2385" t="s">
        <v>2496</v>
      </c>
      <c r="C27" s="2385"/>
      <c r="D27" s="2385"/>
      <c r="E27" s="3619"/>
      <c r="F27" s="3619"/>
      <c r="G27" s="3619"/>
    </row>
    <row r="28" spans="1:9">
      <c r="A28" s="2386" t="s">
        <v>2497</v>
      </c>
      <c r="B28" s="2385" t="s">
        <v>2498</v>
      </c>
      <c r="C28" s="2385"/>
      <c r="D28" s="2385"/>
      <c r="E28" s="3619"/>
      <c r="F28" s="3619"/>
      <c r="G28" s="3619"/>
    </row>
    <row r="29" spans="1:9">
      <c r="A29" s="2386" t="s">
        <v>2499</v>
      </c>
      <c r="B29" s="2385" t="s">
        <v>2440</v>
      </c>
      <c r="C29" s="2385"/>
      <c r="D29" s="2385"/>
      <c r="E29" s="2385" t="s">
        <v>2500</v>
      </c>
      <c r="F29" s="2385"/>
      <c r="G29" s="2385"/>
    </row>
    <row r="30" spans="1:9">
      <c r="A30" s="2384">
        <v>2</v>
      </c>
      <c r="B30" s="2385" t="s">
        <v>2501</v>
      </c>
      <c r="C30" s="2385">
        <f>C27*D30</f>
        <v>0</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0</v>
      </c>
      <c r="D32" s="2387">
        <v>0.05</v>
      </c>
      <c r="E32" s="3620"/>
      <c r="F32" s="3620"/>
      <c r="G32" s="3620"/>
    </row>
    <row r="33" spans="1:7" hidden="1">
      <c r="A33" s="3615" t="s">
        <v>2506</v>
      </c>
      <c r="B33" s="3616"/>
      <c r="C33" s="3616"/>
      <c r="D33" s="3617"/>
      <c r="E33" s="3618"/>
      <c r="F33" s="3618"/>
      <c r="G33" s="3618"/>
    </row>
    <row r="34" spans="1:7" hidden="1">
      <c r="A34" s="2388">
        <v>1</v>
      </c>
      <c r="B34" s="2385" t="s">
        <v>2507</v>
      </c>
      <c r="C34" s="2385"/>
      <c r="D34" s="2385"/>
      <c r="E34" s="3619"/>
      <c r="F34" s="3619"/>
      <c r="G34" s="3619"/>
    </row>
    <row r="35" spans="1:7" hidden="1">
      <c r="A35" s="2388">
        <v>2</v>
      </c>
      <c r="B35" s="2385" t="s">
        <v>2508</v>
      </c>
      <c r="C35" s="2385"/>
      <c r="D35" s="2385"/>
      <c r="E35" s="3619"/>
      <c r="F35" s="3619"/>
      <c r="G35" s="3619"/>
    </row>
    <row r="36" spans="1:7" hidden="1">
      <c r="A36" s="2388">
        <v>3</v>
      </c>
      <c r="B36" s="2385" t="s">
        <v>2509</v>
      </c>
      <c r="C36" s="2385"/>
      <c r="D36" s="2385"/>
      <c r="E36" s="3619"/>
      <c r="F36" s="3619"/>
      <c r="G36" s="3619"/>
    </row>
    <row r="37" spans="1:7" hidden="1">
      <c r="A37" s="2388">
        <v>4</v>
      </c>
      <c r="B37" s="2385" t="s">
        <v>2510</v>
      </c>
      <c r="C37" s="2385"/>
      <c r="D37" s="2385"/>
      <c r="E37" s="3619"/>
      <c r="F37" s="3619"/>
      <c r="G37" s="3619"/>
    </row>
    <row r="38" spans="1:7" hidden="1">
      <c r="A38" s="3615" t="s">
        <v>2511</v>
      </c>
      <c r="B38" s="3616"/>
      <c r="C38" s="3616"/>
      <c r="D38" s="3617"/>
      <c r="E38" s="3618"/>
      <c r="F38" s="3618"/>
      <c r="G38" s="36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5174</v>
      </c>
      <c r="C2" s="3268"/>
      <c r="D2" s="3268"/>
      <c r="E2" s="3268"/>
      <c r="F2" s="3268"/>
      <c r="G2" s="3268"/>
    </row>
    <row r="3" spans="1:25" s="1942" customFormat="1" ht="18" customHeight="1">
      <c r="A3" s="1330" t="s">
        <v>1676</v>
      </c>
      <c r="B3" s="419">
        <f ca="1">ROUND(B2*10000/'数据-汇总表'!E3,0)</f>
        <v>189</v>
      </c>
      <c r="C3" s="3268"/>
      <c r="D3" s="3268"/>
      <c r="E3" s="3268"/>
      <c r="F3" s="3268"/>
      <c r="G3" s="3268"/>
    </row>
    <row r="4" spans="1:25" s="1942" customFormat="1" ht="18" customHeight="1">
      <c r="A4" s="420" t="s">
        <v>462</v>
      </c>
      <c r="B4" s="421">
        <f ca="1">ROUND(B2*10000/'数据-汇总表'!D3,0)</f>
        <v>2738</v>
      </c>
      <c r="C4" s="3221"/>
      <c r="D4" s="3268"/>
      <c r="E4" s="3268"/>
      <c r="F4" s="3268"/>
      <c r="G4" s="3268"/>
    </row>
    <row r="5" spans="1:25" s="1942" customFormat="1" ht="18" customHeight="1" thickBot="1">
      <c r="A5" s="423"/>
      <c r="B5" s="424">
        <f ca="1">ROUND(B2/('数据-汇总表'!D3/666.67),0)</f>
        <v>183</v>
      </c>
      <c r="C5" s="425" t="s">
        <v>463</v>
      </c>
      <c r="D5" s="3268"/>
      <c r="E5" s="3268"/>
      <c r="F5" s="3268"/>
      <c r="G5" s="3268"/>
    </row>
    <row r="6" spans="1:25" s="2064" customFormat="1" ht="13.5" customHeight="1">
      <c r="A6" s="735"/>
      <c r="B6" s="736" t="s">
        <v>598</v>
      </c>
      <c r="C6" s="737" t="s">
        <v>599</v>
      </c>
      <c r="D6" s="737" t="s">
        <v>600</v>
      </c>
      <c r="E6" s="738" t="s">
        <v>601</v>
      </c>
      <c r="F6" s="738" t="s">
        <v>602</v>
      </c>
      <c r="G6" s="3267" t="s">
        <v>2992</v>
      </c>
    </row>
    <row r="7" spans="1:25" s="2064" customFormat="1" ht="13.5" customHeight="1">
      <c r="A7" s="2323">
        <v>1</v>
      </c>
      <c r="B7" s="739" t="s">
        <v>603</v>
      </c>
      <c r="C7" s="740">
        <f>C8+C9</f>
        <v>0</v>
      </c>
      <c r="D7" s="740"/>
      <c r="E7" s="741"/>
      <c r="F7" s="741"/>
      <c r="G7" s="2332"/>
    </row>
    <row r="8" spans="1:25" s="2064" customFormat="1" ht="13.5" customHeight="1">
      <c r="A8" s="2323" t="s">
        <v>2421</v>
      </c>
      <c r="B8" s="2326" t="s">
        <v>2423</v>
      </c>
      <c r="C8" s="3271">
        <f t="shared" ref="C8:C9" si="0">ROUND(D8*E8/10000,0)</f>
        <v>0</v>
      </c>
      <c r="D8" s="3271">
        <v>0</v>
      </c>
      <c r="E8" s="3272">
        <v>0</v>
      </c>
      <c r="F8" s="741"/>
      <c r="G8" s="742"/>
    </row>
    <row r="9" spans="1:25" s="2064" customFormat="1" ht="13.5" customHeight="1">
      <c r="A9" s="2323" t="s">
        <v>2422</v>
      </c>
      <c r="B9" s="2326" t="s">
        <v>2424</v>
      </c>
      <c r="C9" s="3271">
        <f t="shared" si="0"/>
        <v>0</v>
      </c>
      <c r="D9" s="3271">
        <v>0</v>
      </c>
      <c r="E9" s="3272">
        <v>0</v>
      </c>
      <c r="F9" s="741"/>
      <c r="G9" s="742"/>
    </row>
    <row r="10" spans="1:25" s="2064" customFormat="1" ht="36">
      <c r="A10" s="2323">
        <v>2</v>
      </c>
      <c r="B10" s="739" t="s">
        <v>607</v>
      </c>
      <c r="C10" s="740">
        <f ca="1">C11+C14+C15</f>
        <v>5339</v>
      </c>
      <c r="D10" s="750"/>
      <c r="E10" s="740"/>
      <c r="F10" s="751"/>
      <c r="G10" s="749" t="s">
        <v>608</v>
      </c>
    </row>
    <row r="11" spans="1:25" s="2064" customFormat="1" ht="13.5" customHeight="1">
      <c r="A11" s="2323" t="s">
        <v>2421</v>
      </c>
      <c r="B11" s="743" t="s">
        <v>604</v>
      </c>
      <c r="C11" s="744">
        <f ca="1">'数据-取费表'!B29</f>
        <v>5339</v>
      </c>
      <c r="D11" s="745"/>
      <c r="E11" s="744"/>
      <c r="F11" s="746"/>
      <c r="G11" s="2331" t="s">
        <v>2432</v>
      </c>
    </row>
    <row r="12" spans="1:25" s="2064" customFormat="1" ht="13.5" customHeight="1">
      <c r="A12" s="2329" t="s">
        <v>2429</v>
      </c>
      <c r="B12" s="747" t="s">
        <v>605</v>
      </c>
      <c r="C12" s="748">
        <f>ROUND(D12*E12/10000,0)</f>
        <v>533</v>
      </c>
      <c r="D12" s="3271">
        <f>'数据-汇总表'!E5</f>
        <v>33313</v>
      </c>
      <c r="E12" s="3271">
        <f>'数据-取费表'!B27</f>
        <v>160</v>
      </c>
      <c r="F12" s="746"/>
      <c r="G12" s="749"/>
    </row>
    <row r="13" spans="1:25" s="2064" customFormat="1" ht="13.5" customHeight="1">
      <c r="A13" s="2329" t="s">
        <v>2428</v>
      </c>
      <c r="B13" s="747" t="s">
        <v>606</v>
      </c>
      <c r="C13" s="748">
        <f>ROUND(D13*E13/10000,0)</f>
        <v>4806</v>
      </c>
      <c r="D13" s="3271">
        <f>'数据-汇总表'!E6</f>
        <v>240322.53999999998</v>
      </c>
      <c r="E13" s="3271">
        <f>'数据-取费表'!B28</f>
        <v>200</v>
      </c>
      <c r="F13" s="746"/>
      <c r="G13" s="749"/>
    </row>
    <row r="14" spans="1:25" s="2064" customFormat="1" ht="13.5" customHeight="1">
      <c r="A14" s="2323" t="s">
        <v>2422</v>
      </c>
      <c r="B14" s="2328" t="s">
        <v>2425</v>
      </c>
      <c r="C14" s="3273">
        <f t="shared" ref="C14:C15" si="1">ROUND(D14*E14/10000,0)</f>
        <v>0</v>
      </c>
      <c r="D14" s="3271">
        <v>0</v>
      </c>
      <c r="E14" s="3272">
        <v>0</v>
      </c>
      <c r="F14" s="2327"/>
      <c r="G14" s="2330" t="s">
        <v>2430</v>
      </c>
    </row>
    <row r="15" spans="1:25" s="2064" customFormat="1" ht="13.5" customHeight="1">
      <c r="A15" s="2323" t="s">
        <v>2427</v>
      </c>
      <c r="B15" s="2328" t="s">
        <v>2426</v>
      </c>
      <c r="C15" s="3273">
        <f t="shared" si="1"/>
        <v>0</v>
      </c>
      <c r="D15" s="3271">
        <v>0</v>
      </c>
      <c r="E15" s="3272">
        <v>0</v>
      </c>
      <c r="F15" s="2327"/>
      <c r="G15" s="2330" t="s">
        <v>2431</v>
      </c>
    </row>
    <row r="16" spans="1:25" s="2065" customFormat="1" ht="48">
      <c r="A16" s="2323">
        <v>3</v>
      </c>
      <c r="B16" s="739" t="s">
        <v>609</v>
      </c>
      <c r="C16" s="3273">
        <f t="shared" ref="C16" si="2">ROUND(D16*E16/10000,0)</f>
        <v>0</v>
      </c>
      <c r="D16" s="3271">
        <v>0</v>
      </c>
      <c r="E16" s="3272">
        <v>0</v>
      </c>
      <c r="F16" s="751"/>
      <c r="G16" s="749" t="s">
        <v>2433</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 ca="1">ROUND((C7+C10+C16)*F18,0)</f>
        <v>267</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5606</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561</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6167</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5174</v>
      </c>
      <c r="D22" s="750"/>
      <c r="E22" s="740"/>
      <c r="F22" s="756">
        <f ca="1">'数据-取费表'!AP16</f>
        <v>0.83899999999999997</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5174</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tabSelected="1" view="pageBreakPreview" topLeftCell="C1" zoomScale="80" zoomScaleNormal="80" zoomScaleSheetLayoutView="80" workbookViewId="0">
      <selection activeCell="G7" sqref="G7"/>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12</v>
      </c>
      <c r="L1" s="290"/>
      <c r="M1" s="290"/>
      <c r="N1" s="290"/>
      <c r="O1" s="290"/>
      <c r="P1" s="290"/>
      <c r="Q1" s="290"/>
      <c r="R1" s="290"/>
      <c r="S1" s="290"/>
      <c r="T1" s="290"/>
      <c r="U1" s="290"/>
      <c r="V1" s="290"/>
      <c r="W1" s="290"/>
      <c r="X1" s="290"/>
      <c r="Y1" s="290"/>
      <c r="Z1" s="290"/>
    </row>
    <row r="2" spans="1:31" s="1924" customFormat="1" ht="18" customHeight="1">
      <c r="A2" s="1983" t="s">
        <v>461</v>
      </c>
      <c r="B2" s="1987">
        <f ca="1">C36</f>
        <v>520216</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19011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275338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18356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1472564</v>
      </c>
      <c r="D6" s="2546"/>
      <c r="E6" s="2546"/>
      <c r="F6" s="2546"/>
      <c r="G6" s="2546"/>
      <c r="H6" s="2546"/>
      <c r="I6" s="2546"/>
      <c r="J6" s="2546"/>
      <c r="K6" s="2548"/>
      <c r="L6" s="3313" t="s">
        <v>3103</v>
      </c>
      <c r="M6" s="3197"/>
      <c r="N6" s="3197"/>
      <c r="O6" s="3197"/>
      <c r="P6" s="3197"/>
      <c r="Q6" s="3197"/>
      <c r="R6" s="3197"/>
      <c r="S6" s="3197"/>
      <c r="T6" s="3197"/>
      <c r="U6" s="3197"/>
      <c r="V6" s="3197"/>
      <c r="W6" s="3197"/>
      <c r="X6" s="3197"/>
      <c r="Y6" s="3197"/>
      <c r="Z6" s="3197"/>
    </row>
    <row r="7" spans="1:31" s="1995" customFormat="1" ht="21.75" customHeight="1">
      <c r="A7" s="2549" t="s">
        <v>464</v>
      </c>
      <c r="B7" s="2550" t="s">
        <v>465</v>
      </c>
      <c r="C7" s="430" t="s">
        <v>3057</v>
      </c>
      <c r="D7" s="430" t="s">
        <v>3000</v>
      </c>
      <c r="E7" s="430" t="s">
        <v>1668</v>
      </c>
      <c r="F7" s="430" t="s">
        <v>3251</v>
      </c>
      <c r="G7" s="430" t="s">
        <v>3001</v>
      </c>
      <c r="H7" s="430" t="s">
        <v>3249</v>
      </c>
      <c r="I7" s="430"/>
      <c r="J7" s="430"/>
      <c r="K7" s="431"/>
      <c r="L7" s="1995" t="s">
        <v>3104</v>
      </c>
      <c r="AA7" s="1994"/>
      <c r="AB7" s="1994"/>
      <c r="AC7" s="1994"/>
      <c r="AD7" s="1994"/>
      <c r="AE7" s="1994"/>
    </row>
    <row r="8" spans="1:31" s="1997" customFormat="1" ht="13.5" customHeight="1">
      <c r="A8" s="793" t="s">
        <v>1836</v>
      </c>
      <c r="B8" s="259" t="s">
        <v>466</v>
      </c>
      <c r="C8" s="2551">
        <f>'不动产比较法-住宅'!B3</f>
        <v>176513</v>
      </c>
      <c r="D8" s="2551">
        <f ca="1">不动产收益法商业!C43</f>
        <v>42130</v>
      </c>
      <c r="E8" s="2551">
        <f ca="1">不动产收益法办公!C43</f>
        <v>51822</v>
      </c>
      <c r="F8" s="2551">
        <f ca="1">不动产收益法车库!C43</f>
        <v>2959</v>
      </c>
      <c r="G8" s="2551">
        <f ca="1">不动产收益法仓储!C43</f>
        <v>11651</v>
      </c>
      <c r="H8" s="2551">
        <f>'不动产比较法-车位'!B3</f>
        <v>18817</v>
      </c>
      <c r="I8" s="2551"/>
      <c r="J8" s="2551"/>
      <c r="K8" s="2552"/>
      <c r="L8" s="1997" t="s">
        <v>3105</v>
      </c>
      <c r="AA8" s="1996"/>
      <c r="AB8" s="1996"/>
      <c r="AC8" s="1996"/>
      <c r="AD8" s="1996"/>
      <c r="AE8" s="1996"/>
    </row>
    <row r="9" spans="1:31" s="1997" customFormat="1" ht="13.5" customHeight="1">
      <c r="A9" s="793" t="s">
        <v>1837</v>
      </c>
      <c r="B9" s="259" t="s">
        <v>467</v>
      </c>
      <c r="C9" s="435">
        <f>SUMIF('数据-汇总表'!$C19:$C33,'剩余法-待开发'!C7,'数据-汇总表'!$E19:$E33)</f>
        <v>33313</v>
      </c>
      <c r="D9" s="435">
        <f>SUMIF('数据-汇总表'!$C19:$C33,'剩余法-待开发'!D7,'数据-汇总表'!$E19:$E33)</f>
        <v>17912.120000000003</v>
      </c>
      <c r="E9" s="435">
        <f>SUMIF('数据-汇总表'!$C19:$C33,'剩余法-待开发'!E7,'数据-汇总表'!$E19:$E33)</f>
        <v>151175</v>
      </c>
      <c r="F9" s="435">
        <f>SUMIF('数据-汇总表'!$C19:$C33,'剩余法-待开发'!F7,'数据-汇总表'!$E19:$E33)</f>
        <v>46600.86</v>
      </c>
      <c r="G9" s="435">
        <f>SUMIF('数据-汇总表'!$C19:$C33,'剩余法-待开发'!G7,'数据-汇总表'!$E19:$E33)</f>
        <v>3293.4</v>
      </c>
      <c r="H9" s="435">
        <f>SUMIF('数据-汇总表'!$C19:$C33,'剩余法-待开发'!H7,'数据-汇总表'!$E19:$E33)</f>
        <v>4271.75</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'不动产比较法-住宅'!B2</f>
        <v>588018</v>
      </c>
      <c r="D10" s="2742">
        <f ca="1">不动产收益法商业!C40</f>
        <v>75463</v>
      </c>
      <c r="E10" s="2742">
        <f ca="1">不动产收益法办公!C40</f>
        <v>783418</v>
      </c>
      <c r="F10" s="2554">
        <f ca="1">不动产收益法车库!C40</f>
        <v>13790</v>
      </c>
      <c r="G10" s="2554">
        <f ca="1">不动产收益法仓储!C40</f>
        <v>3837</v>
      </c>
      <c r="H10" s="2554">
        <f>'不动产比较法-车位'!B2</f>
        <v>8038</v>
      </c>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333643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10009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3331</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5473</v>
      </c>
      <c r="D16" s="2561">
        <f ca="1">IF(B1="",'数据-汇总表'!E3,INDIRECT("'数据-取费表'!K"&amp;$K$1)+INDIRECT("'数据-取费表'!S"&amp;$K$1))</f>
        <v>273635.53999999998</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5005</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357461</v>
      </c>
      <c r="D18" s="2570"/>
      <c r="E18" s="462"/>
      <c r="F18" s="462"/>
      <c r="G18" s="2533" t="s">
        <v>2412</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273635.53999999998</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0</v>
      </c>
      <c r="D20" s="2571"/>
      <c r="E20" s="2525"/>
      <c r="F20" s="2572"/>
      <c r="G20" s="2776"/>
      <c r="H20" s="2527"/>
      <c r="I20" s="2528" t="s">
        <v>2629</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533</v>
      </c>
      <c r="D21" s="2561">
        <f ca="1">IF(B1="",'数据-汇总表'!E5,IF(INDIRECT("'数据-取费表'!c"&amp;$K$1)="住宅",INDIRECT("'数据-取费表'!k"&amp;$K$1),0))</f>
        <v>33313</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4806</v>
      </c>
      <c r="D22" s="2561">
        <f ca="1">IF(B1="",'数据-汇总表'!E6,IF(INDIRECT("'数据-取费表'!c"&amp;$K$1)="住宅",INDIRECT("'数据-取费表'!s"&amp;$K$1),INDIRECT("'数据-取费表'!k"&amp;$K$1)+INDIRECT("'数据-取费表'!s"&amp;$K$1)))</f>
        <v>240322.53999999998</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2811</v>
      </c>
      <c r="C23" s="2569">
        <f ca="1">ROUND((C18+C19+C20)*F23,0)</f>
        <v>10724</v>
      </c>
      <c r="D23" s="462"/>
      <c r="E23" s="462"/>
      <c r="F23" s="2573">
        <f>'数据-取费表'!B37</f>
        <v>0.03</v>
      </c>
      <c r="G23" s="2529" t="s">
        <v>2413</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2814</v>
      </c>
      <c r="C24" s="2569">
        <f ca="1">ROUND(C6*F24,0)</f>
        <v>44177</v>
      </c>
      <c r="D24" s="469"/>
      <c r="E24" s="467"/>
      <c r="F24" s="2573">
        <f>'数据-取费表'!B38</f>
        <v>0.03</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2812</v>
      </c>
      <c r="C25" s="461">
        <f>ROUND(F25/(1+'数据-取费表'!C42),4)</f>
        <v>2.9000000000000001E-2</v>
      </c>
      <c r="D25" s="456" t="s">
        <v>2806</v>
      </c>
      <c r="E25" s="463"/>
      <c r="F25" s="2573">
        <f>IF(项目基本情况!B8="出让",0,'数据-取费表'!B48+'数据-取费表'!B49)</f>
        <v>3.0499999999999999E-2</v>
      </c>
      <c r="G25" s="2537" t="s">
        <v>2275</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2813</v>
      </c>
      <c r="C26" s="2574">
        <f ca="1">C28</f>
        <v>50726</v>
      </c>
      <c r="D26" s="461">
        <f ca="1">C27</f>
        <v>0.26869999999999999</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0.26869999999999999</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2815</v>
      </c>
      <c r="C28" s="2577">
        <f ca="1">ROUND(IF('数据-取费表'!B22&lt;=1,(C18+C19+C20+C23+C24)*F26*'数据-取费表'!B24/2,(C18+C19+C20+C23+C24)*(POWER((1+F26),'数据-取费表'!B24/2)-1)),0)</f>
        <v>50726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78537</v>
      </c>
      <c r="D29" s="462"/>
      <c r="E29" s="462"/>
      <c r="F29" s="2750">
        <f>'数据-取费表'!B41</f>
        <v>5.6000000000000001E-2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1854</v>
      </c>
      <c r="B30" s="2579" t="s">
        <v>494</v>
      </c>
      <c r="C30" s="2574">
        <f ca="1">C31</f>
        <v>541625</v>
      </c>
      <c r="D30" s="471">
        <f ca="1">C32</f>
        <v>0.29770000000000002</v>
      </c>
      <c r="E30" s="463" t="s">
        <v>489</v>
      </c>
      <c r="F30" s="465"/>
      <c r="G30" s="2537" t="s">
        <v>2930</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541625</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0.29770000000000002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2810</v>
      </c>
      <c r="B33" s="2745" t="s">
        <v>2808</v>
      </c>
      <c r="C33" s="472">
        <f ca="1">C35</f>
        <v>111338</v>
      </c>
      <c r="D33" s="461">
        <f ca="1">C34</f>
        <v>0.27779999999999999</v>
      </c>
      <c r="E33" s="463" t="s">
        <v>489</v>
      </c>
      <c r="F33" s="473">
        <f ca="1">IF(B1="",'数据-取费表'!Q16,INDIRECT("'数据-取费表'!q"&amp;$K$1))</f>
        <v>0.27</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0.27779999999999999</v>
      </c>
      <c r="D34" s="466"/>
      <c r="E34" s="467"/>
      <c r="F34" s="474"/>
      <c r="G34" s="259" t="s">
        <v>2276</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1848</v>
      </c>
      <c r="B35" s="2746" t="s">
        <v>2816</v>
      </c>
      <c r="C35" s="1556">
        <f ca="1">ROUND((C18+C19+C20+C23+C24)*F33,0)</f>
        <v>111338</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520216</v>
      </c>
      <c r="D36" s="2543"/>
      <c r="E36" s="2543"/>
      <c r="F36" s="2543"/>
      <c r="G36" s="2542" t="s">
        <v>2817</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Normal="60" zoomScaleSheetLayoutView="100" workbookViewId="0">
      <selection activeCell="H48" sqref="H48"/>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t="s">
        <v>3057</v>
      </c>
      <c r="E1" s="2009"/>
      <c r="F1" s="2524" t="s">
        <v>3101</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5" customFormat="1" ht="28.5" customHeight="1">
      <c r="A2" s="417" t="s">
        <v>461</v>
      </c>
      <c r="B2" s="2466">
        <f>ROUND(B3*D3/10000,0)</f>
        <v>588018</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f>C49</f>
        <v>176513</v>
      </c>
      <c r="C3" s="841" t="s">
        <v>716</v>
      </c>
      <c r="D3" s="840">
        <f>SUMIF('数据-汇总表'!$C19:$C33,D1,'数据-汇总表'!$E19:$E33)</f>
        <v>33313</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39" t="s">
        <v>516</v>
      </c>
      <c r="D4" s="3540"/>
      <c r="E4" s="3565" t="s">
        <v>517</v>
      </c>
      <c r="F4" s="3566"/>
      <c r="G4" s="3539" t="s">
        <v>518</v>
      </c>
      <c r="H4" s="3540"/>
      <c r="I4" s="3539" t="s">
        <v>519</v>
      </c>
      <c r="J4" s="3540"/>
      <c r="K4" s="842" t="s">
        <v>520</v>
      </c>
      <c r="L4" s="2015"/>
      <c r="M4" s="2016"/>
      <c r="N4" s="2016"/>
      <c r="O4" s="2016"/>
      <c r="P4" s="3541" t="s">
        <v>521</v>
      </c>
      <c r="Q4" s="3542"/>
      <c r="R4" s="3527" t="s">
        <v>517</v>
      </c>
      <c r="S4" s="3528"/>
      <c r="T4" s="3527" t="s">
        <v>518</v>
      </c>
      <c r="U4" s="3528"/>
      <c r="V4" s="3547" t="s">
        <v>519</v>
      </c>
      <c r="W4" s="3547"/>
      <c r="X4" s="1501"/>
      <c r="Y4" s="3527" t="s">
        <v>521</v>
      </c>
      <c r="Z4" s="3528"/>
      <c r="AA4" s="3522" t="s">
        <v>517</v>
      </c>
      <c r="AB4" s="3522" t="s">
        <v>518</v>
      </c>
      <c r="AC4" s="3522" t="s">
        <v>519</v>
      </c>
    </row>
    <row r="5" spans="1:29" ht="15">
      <c r="A5" s="509"/>
      <c r="B5" s="510"/>
      <c r="C5" s="3552" t="s">
        <v>2891</v>
      </c>
      <c r="D5" s="3551"/>
      <c r="E5" s="3550" t="s">
        <v>3230</v>
      </c>
      <c r="F5" s="3551"/>
      <c r="G5" s="3550" t="s">
        <v>3231</v>
      </c>
      <c r="H5" s="3551"/>
      <c r="I5" s="3550" t="s">
        <v>3232</v>
      </c>
      <c r="J5" s="3551"/>
      <c r="K5" s="843"/>
      <c r="L5" s="2015"/>
      <c r="M5" s="2016"/>
      <c r="N5" s="2016"/>
      <c r="O5" s="2016"/>
      <c r="P5" s="3543"/>
      <c r="Q5" s="3544"/>
      <c r="R5" s="3529"/>
      <c r="S5" s="3530"/>
      <c r="T5" s="3529"/>
      <c r="U5" s="3530"/>
      <c r="V5" s="3547"/>
      <c r="W5" s="3547"/>
      <c r="X5" s="1501"/>
      <c r="Y5" s="3529"/>
      <c r="Z5" s="3530"/>
      <c r="AA5" s="3523"/>
      <c r="AB5" s="3523"/>
      <c r="AC5" s="3523"/>
    </row>
    <row r="6" spans="1:29" ht="15.75" thickBot="1">
      <c r="A6" s="511"/>
      <c r="B6" s="512"/>
      <c r="C6" s="3548" t="s">
        <v>2895</v>
      </c>
      <c r="D6" s="3549"/>
      <c r="E6" s="3569" t="s">
        <v>2895</v>
      </c>
      <c r="F6" s="3570"/>
      <c r="G6" s="3548" t="s">
        <v>2895</v>
      </c>
      <c r="H6" s="3549"/>
      <c r="I6" s="3548" t="s">
        <v>2895</v>
      </c>
      <c r="J6" s="3549"/>
      <c r="K6" s="843" t="s">
        <v>522</v>
      </c>
      <c r="L6" s="2015"/>
      <c r="M6" s="2016"/>
      <c r="N6" s="2016"/>
      <c r="O6" s="2016"/>
      <c r="P6" s="3545"/>
      <c r="Q6" s="3546"/>
      <c r="R6" s="3529"/>
      <c r="S6" s="3530"/>
      <c r="T6" s="3531"/>
      <c r="U6" s="3532"/>
      <c r="V6" s="3547"/>
      <c r="W6" s="3547"/>
      <c r="X6" s="1501"/>
      <c r="Y6" s="3531"/>
      <c r="Z6" s="3532"/>
      <c r="AA6" s="3524"/>
      <c r="AB6" s="3524"/>
      <c r="AC6" s="3524"/>
    </row>
    <row r="7" spans="1:29" s="1203" customFormat="1" ht="15.75" thickBot="1">
      <c r="A7" s="2629"/>
      <c r="B7" s="2636" t="s">
        <v>523</v>
      </c>
      <c r="C7" s="513">
        <f>'数据-取费表'!B2</f>
        <v>44127</v>
      </c>
      <c r="D7" s="514">
        <v>100</v>
      </c>
      <c r="E7" s="515">
        <f>C7</f>
        <v>44127</v>
      </c>
      <c r="F7" s="516">
        <f>SUMIF(58:58,YEAR(E7)&amp;"-"&amp;MONTH(E7),59:59)</f>
        <v>100</v>
      </c>
      <c r="G7" s="517">
        <f>E7</f>
        <v>44127</v>
      </c>
      <c r="H7" s="514">
        <f>SUMIF(58:58,YEAR(G7)&amp;"-"&amp;MONTH(G7),59:59)</f>
        <v>100</v>
      </c>
      <c r="I7" s="517">
        <f>E7</f>
        <v>44127</v>
      </c>
      <c r="J7" s="514">
        <f>SUMIF(58:58,YEAR(I7)&amp;"-"&amp;MONTH(I7),59:59)</f>
        <v>100</v>
      </c>
      <c r="K7" s="844"/>
      <c r="L7" s="2017"/>
      <c r="M7" s="2018"/>
      <c r="N7" s="2018"/>
      <c r="O7" s="2018"/>
      <c r="P7" s="3525" t="s">
        <v>524</v>
      </c>
      <c r="Q7" s="3534"/>
      <c r="R7" s="1502" t="s">
        <v>13</v>
      </c>
      <c r="S7" s="1503">
        <f t="shared" ref="S7:S15" si="0">F7</f>
        <v>100</v>
      </c>
      <c r="T7" s="1502" t="s">
        <v>13</v>
      </c>
      <c r="U7" s="1503">
        <f t="shared" ref="U7:U15" si="1">H7</f>
        <v>100</v>
      </c>
      <c r="V7" s="1502" t="s">
        <v>13</v>
      </c>
      <c r="W7" s="1503">
        <f t="shared" ref="W7:W15" si="2">J7</f>
        <v>100</v>
      </c>
      <c r="X7" s="1504"/>
      <c r="Y7" s="3525" t="s">
        <v>524</v>
      </c>
      <c r="Z7" s="3526"/>
      <c r="AA7" s="1505">
        <f>D7/F7</f>
        <v>1</v>
      </c>
      <c r="AB7" s="1505">
        <f>D7/H7</f>
        <v>1</v>
      </c>
      <c r="AC7" s="1505">
        <f>D7/J7</f>
        <v>1</v>
      </c>
    </row>
    <row r="8" spans="1:29" s="1203" customFormat="1" ht="15.75" thickBot="1">
      <c r="A8" s="2630"/>
      <c r="B8" s="2637" t="s">
        <v>525</v>
      </c>
      <c r="C8" s="519" t="s">
        <v>570</v>
      </c>
      <c r="D8" s="514">
        <v>100</v>
      </c>
      <c r="E8" s="845" t="s">
        <v>3090</v>
      </c>
      <c r="F8" s="516">
        <f>SUMIF(61:61,E8,62:62)-SUMIF(61:61,C8,62:62)+100</f>
        <v>100</v>
      </c>
      <c r="G8" s="519" t="s">
        <v>3090</v>
      </c>
      <c r="H8" s="514">
        <f>SUMIF(61:61,G8,62:62)-SUMIF(61:61,C8,62:62)+100</f>
        <v>100</v>
      </c>
      <c r="I8" s="845" t="s">
        <v>3090</v>
      </c>
      <c r="J8" s="514">
        <f>SUMIF(61:61,I8,62:62)-SUMIF(61:61,C8,62:62)+100</f>
        <v>100</v>
      </c>
      <c r="K8" s="844"/>
      <c r="L8" s="2017"/>
      <c r="M8" s="2018"/>
      <c r="N8" s="2018"/>
      <c r="O8" s="2018"/>
      <c r="P8" s="3525" t="s">
        <v>527</v>
      </c>
      <c r="Q8" s="3526"/>
      <c r="R8" s="1502" t="s">
        <v>13</v>
      </c>
      <c r="S8" s="1503">
        <f t="shared" si="0"/>
        <v>100</v>
      </c>
      <c r="T8" s="1502" t="s">
        <v>13</v>
      </c>
      <c r="U8" s="1503">
        <f t="shared" si="1"/>
        <v>100</v>
      </c>
      <c r="V8" s="1502" t="s">
        <v>13</v>
      </c>
      <c r="W8" s="1503">
        <f t="shared" si="2"/>
        <v>100</v>
      </c>
      <c r="X8" s="1504"/>
      <c r="Y8" s="3525" t="s">
        <v>527</v>
      </c>
      <c r="Z8" s="3526"/>
      <c r="AA8" s="1505">
        <f t="shared" ref="AA8:AA46" si="3">D8/F8</f>
        <v>1</v>
      </c>
      <c r="AB8" s="1505">
        <f t="shared" ref="AB8:AB46" si="4">D8/H8</f>
        <v>1</v>
      </c>
      <c r="AC8" s="1505">
        <f t="shared" ref="AC8:AC46" si="5">D8/J8</f>
        <v>1</v>
      </c>
    </row>
    <row r="9" spans="1:29" s="1203" customFormat="1" ht="15">
      <c r="A9" s="2631"/>
      <c r="B9" s="2638" t="s">
        <v>2734</v>
      </c>
      <c r="C9" s="3331" t="s">
        <v>3233</v>
      </c>
      <c r="D9" s="252">
        <v>100</v>
      </c>
      <c r="E9" s="3332" t="s">
        <v>3233</v>
      </c>
      <c r="F9" s="848">
        <f>SUMIF(63:63,E9,64:64)-SUMIF(63:63,C9,64:64)+100</f>
        <v>100</v>
      </c>
      <c r="G9" s="3333" t="s">
        <v>3233</v>
      </c>
      <c r="H9" s="252">
        <f>SUMIF(63:63,G9,64:64)-SUMIF(63:63,C9,64:64)+100</f>
        <v>100</v>
      </c>
      <c r="I9" s="3333" t="s">
        <v>3233</v>
      </c>
      <c r="J9" s="252">
        <f>SUMIF(63:63,I9,64:64)-SUMIF(63:63,C9,64:64)+100</f>
        <v>100</v>
      </c>
      <c r="K9" s="844"/>
      <c r="L9" s="2017"/>
      <c r="M9" s="2018"/>
      <c r="N9" s="2018"/>
      <c r="O9" s="2019"/>
      <c r="P9" s="3533" t="s">
        <v>529</v>
      </c>
      <c r="Q9" s="1134" t="str">
        <f t="shared" ref="Q9:Q15" si="6">B9</f>
        <v>用途</v>
      </c>
      <c r="R9" s="1502" t="s">
        <v>8</v>
      </c>
      <c r="S9" s="1503">
        <f t="shared" si="0"/>
        <v>100</v>
      </c>
      <c r="T9" s="1502" t="s">
        <v>8</v>
      </c>
      <c r="U9" s="1503">
        <f t="shared" si="1"/>
        <v>100</v>
      </c>
      <c r="V9" s="1502" t="s">
        <v>8</v>
      </c>
      <c r="W9" s="1503">
        <f t="shared" si="2"/>
        <v>100</v>
      </c>
      <c r="X9" s="1504"/>
      <c r="Y9" s="3484" t="s">
        <v>530</v>
      </c>
      <c r="Z9" s="1133" t="str">
        <f t="shared" ref="Z9:Z15" si="7">Q9</f>
        <v>用途</v>
      </c>
      <c r="AA9" s="1505">
        <f t="shared" si="3"/>
        <v>1</v>
      </c>
      <c r="AB9" s="1505">
        <f t="shared" si="4"/>
        <v>1</v>
      </c>
      <c r="AC9" s="1505">
        <f t="shared" si="5"/>
        <v>1</v>
      </c>
    </row>
    <row r="10" spans="1:29" s="1292" customFormat="1" ht="27">
      <c r="A10" s="2632"/>
      <c r="B10" s="2637" t="s">
        <v>2735</v>
      </c>
      <c r="C10" s="850" t="s">
        <v>3234</v>
      </c>
      <c r="D10" s="253">
        <v>100</v>
      </c>
      <c r="E10" s="851" t="s">
        <v>3234</v>
      </c>
      <c r="F10" s="852">
        <f>SUMIF(65:65,E10,66:66)-SUMIF(65:65,C10,66:66)+100</f>
        <v>100</v>
      </c>
      <c r="G10" s="850" t="s">
        <v>3234</v>
      </c>
      <c r="H10" s="253">
        <f>SUMIF(65:65,G10,66:66)-SUMIF(65:65,C10,66:66)+100</f>
        <v>100</v>
      </c>
      <c r="I10" s="850" t="s">
        <v>3234</v>
      </c>
      <c r="J10" s="253">
        <f>SUMIF(65:65,I10,66:66)-SUMIF(65:65,C10,66:66)+100</f>
        <v>100</v>
      </c>
      <c r="K10" s="853"/>
      <c r="L10" s="2020"/>
      <c r="M10" s="2059"/>
      <c r="N10" s="2059"/>
      <c r="O10" s="2021"/>
      <c r="P10" s="3533"/>
      <c r="Q10" s="1134" t="str">
        <f t="shared" si="6"/>
        <v>土地使用年限（年）</v>
      </c>
      <c r="R10" s="1502" t="s">
        <v>8</v>
      </c>
      <c r="S10" s="1503">
        <f t="shared" si="0"/>
        <v>100</v>
      </c>
      <c r="T10" s="1502" t="s">
        <v>8</v>
      </c>
      <c r="U10" s="1503">
        <f t="shared" si="1"/>
        <v>100</v>
      </c>
      <c r="V10" s="1502" t="s">
        <v>8</v>
      </c>
      <c r="W10" s="1503">
        <f t="shared" si="2"/>
        <v>100</v>
      </c>
      <c r="X10" s="1504"/>
      <c r="Y10" s="3484"/>
      <c r="Z10" s="1133" t="str">
        <f t="shared" si="7"/>
        <v>土地使用年限（年）</v>
      </c>
      <c r="AA10" s="1505">
        <f t="shared" si="3"/>
        <v>1</v>
      </c>
      <c r="AB10" s="1505">
        <f t="shared" si="4"/>
        <v>1</v>
      </c>
      <c r="AC10" s="1505">
        <f t="shared" si="5"/>
        <v>1</v>
      </c>
    </row>
    <row r="11" spans="1:29" ht="15">
      <c r="A11" s="2633"/>
      <c r="B11" s="2637" t="s">
        <v>2736</v>
      </c>
      <c r="C11" s="527"/>
      <c r="D11" s="253">
        <v>100</v>
      </c>
      <c r="E11" s="528"/>
      <c r="F11" s="852">
        <f>LOOKUP(E11,68:68,69:69)-LOOKUP(C11,68:68,69:69)+100</f>
        <v>100</v>
      </c>
      <c r="G11" s="527"/>
      <c r="H11" s="253">
        <f>LOOKUP(G11,68:68,69:69)-LOOKUP(C11,68:68,69:69)+100</f>
        <v>100</v>
      </c>
      <c r="I11" s="527"/>
      <c r="J11" s="253">
        <f>LOOKUP(I11,68:68,69:69)-LOOKUP(C11,68:68,69:69)+100</f>
        <v>100</v>
      </c>
      <c r="K11" s="853"/>
      <c r="L11" s="2022"/>
      <c r="M11" s="2016"/>
      <c r="N11" s="2016"/>
      <c r="O11" s="2023"/>
      <c r="P11" s="3533"/>
      <c r="Q11" s="1134" t="str">
        <f t="shared" si="6"/>
        <v>容积率</v>
      </c>
      <c r="R11" s="1502" t="s">
        <v>11</v>
      </c>
      <c r="S11" s="1503">
        <f t="shared" si="0"/>
        <v>100</v>
      </c>
      <c r="T11" s="1502" t="s">
        <v>11</v>
      </c>
      <c r="U11" s="1503">
        <f t="shared" si="1"/>
        <v>100</v>
      </c>
      <c r="V11" s="1502" t="s">
        <v>11</v>
      </c>
      <c r="W11" s="1503">
        <f t="shared" si="2"/>
        <v>100</v>
      </c>
      <c r="X11" s="1504"/>
      <c r="Y11" s="3484"/>
      <c r="Z11" s="1133" t="str">
        <f t="shared" si="7"/>
        <v>容积率</v>
      </c>
      <c r="AA11" s="1505">
        <f t="shared" si="3"/>
        <v>1</v>
      </c>
      <c r="AB11" s="1505">
        <f t="shared" si="4"/>
        <v>1</v>
      </c>
      <c r="AC11" s="1505">
        <f t="shared" si="5"/>
        <v>1</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33"/>
      <c r="Q12" s="1134">
        <f t="shared" si="6"/>
        <v>111</v>
      </c>
      <c r="R12" s="1502" t="s">
        <v>11</v>
      </c>
      <c r="S12" s="1503">
        <f t="shared" si="0"/>
        <v>100</v>
      </c>
      <c r="T12" s="1502" t="s">
        <v>11</v>
      </c>
      <c r="U12" s="1503">
        <f t="shared" si="1"/>
        <v>100</v>
      </c>
      <c r="V12" s="1502" t="s">
        <v>11</v>
      </c>
      <c r="W12" s="1503">
        <f t="shared" si="2"/>
        <v>100</v>
      </c>
      <c r="X12" s="1504"/>
      <c r="Y12" s="3484"/>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33"/>
      <c r="Q13" s="1134">
        <f t="shared" si="6"/>
        <v>111</v>
      </c>
      <c r="R13" s="1502" t="s">
        <v>11</v>
      </c>
      <c r="S13" s="1503">
        <f t="shared" si="0"/>
        <v>100</v>
      </c>
      <c r="T13" s="1502" t="s">
        <v>11</v>
      </c>
      <c r="U13" s="1503">
        <f t="shared" si="1"/>
        <v>100</v>
      </c>
      <c r="V13" s="1502" t="s">
        <v>11</v>
      </c>
      <c r="W13" s="1503">
        <f t="shared" si="2"/>
        <v>100</v>
      </c>
      <c r="X13" s="1504"/>
      <c r="Y13" s="3484"/>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33"/>
      <c r="Q14" s="1134">
        <f t="shared" si="6"/>
        <v>111</v>
      </c>
      <c r="R14" s="1502" t="s">
        <v>11</v>
      </c>
      <c r="S14" s="1503">
        <f t="shared" si="0"/>
        <v>100</v>
      </c>
      <c r="T14" s="1502" t="s">
        <v>11</v>
      </c>
      <c r="U14" s="1503">
        <f t="shared" si="1"/>
        <v>100</v>
      </c>
      <c r="V14" s="1502" t="s">
        <v>11</v>
      </c>
      <c r="W14" s="1503">
        <f t="shared" si="2"/>
        <v>100</v>
      </c>
      <c r="X14" s="1504"/>
      <c r="Y14" s="3484"/>
      <c r="Z14" s="1133">
        <f t="shared" si="7"/>
        <v>111</v>
      </c>
      <c r="AA14" s="1505">
        <f t="shared" si="3"/>
        <v>1</v>
      </c>
      <c r="AB14" s="1505">
        <f t="shared" si="4"/>
        <v>1</v>
      </c>
      <c r="AC14" s="1505">
        <f t="shared" si="5"/>
        <v>1</v>
      </c>
    </row>
    <row r="15" spans="1:29" ht="99.75">
      <c r="A15" s="2627" t="s">
        <v>2732</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35" t="s">
        <v>534</v>
      </c>
      <c r="Q15" s="1506" t="str">
        <f t="shared" si="6"/>
        <v>居住社区成熟度</v>
      </c>
      <c r="R15" s="1507" t="s">
        <v>11</v>
      </c>
      <c r="S15" s="1508">
        <f t="shared" si="0"/>
        <v>100</v>
      </c>
      <c r="T15" s="1507" t="s">
        <v>11</v>
      </c>
      <c r="U15" s="1508">
        <f t="shared" si="1"/>
        <v>100</v>
      </c>
      <c r="V15" s="1507" t="s">
        <v>11</v>
      </c>
      <c r="W15" s="1508">
        <f t="shared" si="2"/>
        <v>100</v>
      </c>
      <c r="X15" s="1501"/>
      <c r="Y15" s="3535"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536"/>
      <c r="Q16" s="1506"/>
      <c r="R16" s="1507"/>
      <c r="S16" s="1508"/>
      <c r="T16" s="1507"/>
      <c r="U16" s="1508"/>
      <c r="V16" s="1507"/>
      <c r="W16" s="1508"/>
      <c r="X16" s="1501"/>
      <c r="Y16" s="353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36"/>
      <c r="Q17" s="1506" t="str">
        <f>B17</f>
        <v>交通便捷度</v>
      </c>
      <c r="R17" s="1507" t="s">
        <v>11</v>
      </c>
      <c r="S17" s="1508">
        <f>F17</f>
        <v>100</v>
      </c>
      <c r="T17" s="1507" t="s">
        <v>11</v>
      </c>
      <c r="U17" s="1508">
        <f>H17</f>
        <v>100</v>
      </c>
      <c r="V17" s="1507" t="s">
        <v>11</v>
      </c>
      <c r="W17" s="1508">
        <f>J17</f>
        <v>100</v>
      </c>
      <c r="X17" s="1501"/>
      <c r="Y17" s="353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536"/>
      <c r="Q18" s="1506"/>
      <c r="R18" s="1507"/>
      <c r="S18" s="1508"/>
      <c r="T18" s="1507"/>
      <c r="U18" s="1508"/>
      <c r="V18" s="1507"/>
      <c r="W18" s="1508"/>
      <c r="X18" s="1501"/>
      <c r="Y18" s="3536"/>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36"/>
      <c r="Q19" s="1506" t="str">
        <f>B19</f>
        <v>公共配套设施</v>
      </c>
      <c r="R19" s="1507" t="s">
        <v>11</v>
      </c>
      <c r="S19" s="1508">
        <f>F19</f>
        <v>100</v>
      </c>
      <c r="T19" s="1507" t="s">
        <v>11</v>
      </c>
      <c r="U19" s="1508">
        <f>H19</f>
        <v>100</v>
      </c>
      <c r="V19" s="1507" t="s">
        <v>11</v>
      </c>
      <c r="W19" s="1508">
        <f>J19</f>
        <v>100</v>
      </c>
      <c r="X19" s="1501"/>
      <c r="Y19" s="353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536"/>
      <c r="Q20" s="1506"/>
      <c r="R20" s="1507"/>
      <c r="S20" s="1508"/>
      <c r="T20" s="1507"/>
      <c r="U20" s="1508"/>
      <c r="V20" s="1507"/>
      <c r="W20" s="1508"/>
      <c r="X20" s="1501"/>
      <c r="Y20" s="3536"/>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36"/>
      <c r="Q21" s="2429" t="str">
        <f>B21</f>
        <v>基础设施水平</v>
      </c>
      <c r="R21" s="1507" t="s">
        <v>11</v>
      </c>
      <c r="S21" s="1508">
        <f>F21</f>
        <v>100</v>
      </c>
      <c r="T21" s="1507" t="s">
        <v>11</v>
      </c>
      <c r="U21" s="1508">
        <f>H21</f>
        <v>100</v>
      </c>
      <c r="V21" s="1507" t="s">
        <v>11</v>
      </c>
      <c r="W21" s="1508">
        <f>J21</f>
        <v>100</v>
      </c>
      <c r="X21" s="2431"/>
      <c r="Y21" s="3536"/>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536"/>
      <c r="Q22" s="2429"/>
      <c r="R22" s="1507"/>
      <c r="S22" s="1508"/>
      <c r="T22" s="1507"/>
      <c r="U22" s="1508"/>
      <c r="V22" s="1507"/>
      <c r="W22" s="1508"/>
      <c r="X22" s="2431"/>
      <c r="Y22" s="3536"/>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36"/>
      <c r="Q23" s="1506" t="str">
        <f>B23</f>
        <v>自然及人文环境</v>
      </c>
      <c r="R23" s="1507" t="s">
        <v>11</v>
      </c>
      <c r="S23" s="1508">
        <f>F23</f>
        <v>100</v>
      </c>
      <c r="T23" s="1507" t="s">
        <v>11</v>
      </c>
      <c r="U23" s="1508">
        <f>H23</f>
        <v>100</v>
      </c>
      <c r="V23" s="1507" t="s">
        <v>11</v>
      </c>
      <c r="W23" s="1508">
        <f>J23</f>
        <v>100</v>
      </c>
      <c r="X23" s="1501"/>
      <c r="Y23" s="353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536"/>
      <c r="Q24" s="1506"/>
      <c r="R24" s="1507"/>
      <c r="S24" s="1508"/>
      <c r="T24" s="1507"/>
      <c r="U24" s="1508"/>
      <c r="V24" s="1507"/>
      <c r="W24" s="1508"/>
      <c r="X24" s="1501"/>
      <c r="Y24" s="3536"/>
      <c r="Z24" s="1509"/>
      <c r="AA24" s="1510">
        <v>1</v>
      </c>
      <c r="AB24" s="1510">
        <v>1</v>
      </c>
      <c r="AC24" s="1510">
        <v>1</v>
      </c>
    </row>
    <row r="25" spans="1:29" ht="15">
      <c r="A25" s="526"/>
      <c r="B25" s="1809" t="s">
        <v>2243</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36"/>
      <c r="Q25" s="1506" t="str">
        <f t="shared" ref="Q25:Q46" si="11">B25</f>
        <v>楼层-1</v>
      </c>
      <c r="R25" s="1507" t="s">
        <v>11</v>
      </c>
      <c r="S25" s="1508">
        <f>F25</f>
        <v>100</v>
      </c>
      <c r="T25" s="1507" t="s">
        <v>11</v>
      </c>
      <c r="U25" s="1508">
        <f>H25</f>
        <v>100</v>
      </c>
      <c r="V25" s="1507" t="s">
        <v>11</v>
      </c>
      <c r="W25" s="1508">
        <f>J25</f>
        <v>100</v>
      </c>
      <c r="X25" s="1501"/>
      <c r="Y25" s="3536"/>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36"/>
      <c r="Q26" s="1506" t="str">
        <f t="shared" si="11"/>
        <v>朝向</v>
      </c>
      <c r="R26" s="1507" t="s">
        <v>11</v>
      </c>
      <c r="S26" s="1508">
        <f>F26</f>
        <v>100</v>
      </c>
      <c r="T26" s="1507" t="s">
        <v>11</v>
      </c>
      <c r="U26" s="1508">
        <f>H26</f>
        <v>100</v>
      </c>
      <c r="V26" s="1507" t="s">
        <v>11</v>
      </c>
      <c r="W26" s="1508">
        <f>J26</f>
        <v>100</v>
      </c>
      <c r="X26" s="1501"/>
      <c r="Y26" s="3536"/>
      <c r="Z26" s="1509" t="str">
        <f>Q26</f>
        <v>朝向</v>
      </c>
      <c r="AA26" s="1510">
        <f t="shared" si="3"/>
        <v>1</v>
      </c>
      <c r="AB26" s="1510">
        <f t="shared" si="4"/>
        <v>1</v>
      </c>
      <c r="AC26" s="1510">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36"/>
      <c r="Q27" s="1134" t="str">
        <f t="shared" si="11"/>
        <v>道路级别</v>
      </c>
      <c r="R27" s="1502" t="s">
        <v>11</v>
      </c>
      <c r="S27" s="1503">
        <f>F27</f>
        <v>100</v>
      </c>
      <c r="T27" s="1502" t="s">
        <v>11</v>
      </c>
      <c r="U27" s="1503">
        <f>H27</f>
        <v>100</v>
      </c>
      <c r="V27" s="1502" t="s">
        <v>11</v>
      </c>
      <c r="W27" s="1503">
        <f>J27</f>
        <v>100</v>
      </c>
      <c r="X27" s="1504"/>
      <c r="Y27" s="3536"/>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36"/>
      <c r="Q28" s="1506">
        <f t="shared" si="11"/>
        <v>111</v>
      </c>
      <c r="R28" s="1507" t="s">
        <v>11</v>
      </c>
      <c r="S28" s="1508">
        <f t="shared" ref="S28:S46" si="12">F28</f>
        <v>100</v>
      </c>
      <c r="T28" s="1507" t="s">
        <v>11</v>
      </c>
      <c r="U28" s="1508">
        <f t="shared" ref="U28:U46" si="13">H28</f>
        <v>100</v>
      </c>
      <c r="V28" s="1507" t="s">
        <v>11</v>
      </c>
      <c r="W28" s="1508">
        <f t="shared" ref="W28:W46" si="14">J28</f>
        <v>100</v>
      </c>
      <c r="X28" s="1501"/>
      <c r="Y28" s="353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36"/>
      <c r="Q29" s="1506">
        <f t="shared" si="11"/>
        <v>111</v>
      </c>
      <c r="R29" s="1507" t="s">
        <v>11</v>
      </c>
      <c r="S29" s="1508">
        <f t="shared" si="12"/>
        <v>100</v>
      </c>
      <c r="T29" s="1507" t="s">
        <v>11</v>
      </c>
      <c r="U29" s="1508">
        <f t="shared" si="13"/>
        <v>100</v>
      </c>
      <c r="V29" s="1507" t="s">
        <v>11</v>
      </c>
      <c r="W29" s="1508">
        <f t="shared" si="14"/>
        <v>100</v>
      </c>
      <c r="X29" s="1501"/>
      <c r="Y29" s="353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36"/>
      <c r="Q30" s="1506">
        <f t="shared" si="11"/>
        <v>111</v>
      </c>
      <c r="R30" s="1507" t="s">
        <v>11</v>
      </c>
      <c r="S30" s="1508">
        <f t="shared" si="12"/>
        <v>100</v>
      </c>
      <c r="T30" s="1507" t="s">
        <v>11</v>
      </c>
      <c r="U30" s="1508">
        <f t="shared" si="13"/>
        <v>100</v>
      </c>
      <c r="V30" s="1507" t="s">
        <v>11</v>
      </c>
      <c r="W30" s="1508">
        <f t="shared" si="14"/>
        <v>100</v>
      </c>
      <c r="X30" s="1501"/>
      <c r="Y30" s="353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36"/>
      <c r="Q31" s="1506">
        <f t="shared" si="11"/>
        <v>111</v>
      </c>
      <c r="R31" s="1507" t="s">
        <v>11</v>
      </c>
      <c r="S31" s="1508">
        <f t="shared" si="12"/>
        <v>100</v>
      </c>
      <c r="T31" s="1507" t="s">
        <v>11</v>
      </c>
      <c r="U31" s="1508">
        <f t="shared" si="13"/>
        <v>100</v>
      </c>
      <c r="V31" s="1507" t="s">
        <v>11</v>
      </c>
      <c r="W31" s="1508">
        <f t="shared" si="14"/>
        <v>100</v>
      </c>
      <c r="X31" s="1501"/>
      <c r="Y31" s="3536"/>
      <c r="Z31" s="1509">
        <f t="shared" si="15"/>
        <v>111</v>
      </c>
      <c r="AA31" s="1510">
        <f t="shared" si="3"/>
        <v>1</v>
      </c>
      <c r="AB31" s="1510">
        <f t="shared" si="4"/>
        <v>1</v>
      </c>
      <c r="AC31" s="1510">
        <f t="shared" si="5"/>
        <v>1</v>
      </c>
    </row>
    <row r="32" spans="1:29" ht="15">
      <c r="A32" s="2624" t="s">
        <v>2733</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37" t="s">
        <v>544</v>
      </c>
      <c r="Q32" s="1506" t="str">
        <f t="shared" si="11"/>
        <v>建筑类型</v>
      </c>
      <c r="R32" s="1507" t="s">
        <v>11</v>
      </c>
      <c r="S32" s="1508">
        <f t="shared" si="12"/>
        <v>100</v>
      </c>
      <c r="T32" s="1507" t="s">
        <v>11</v>
      </c>
      <c r="U32" s="1508">
        <f t="shared" si="13"/>
        <v>100</v>
      </c>
      <c r="V32" s="1507" t="s">
        <v>11</v>
      </c>
      <c r="W32" s="1508">
        <f t="shared" si="14"/>
        <v>100</v>
      </c>
      <c r="X32" s="1501"/>
      <c r="Y32" s="3538" t="s">
        <v>544</v>
      </c>
      <c r="Z32" s="1509" t="str">
        <f t="shared" si="15"/>
        <v>建筑类型</v>
      </c>
      <c r="AA32" s="1510">
        <f t="shared" si="3"/>
        <v>1</v>
      </c>
      <c r="AB32" s="1510">
        <f t="shared" si="4"/>
        <v>1</v>
      </c>
      <c r="AC32" s="1510">
        <f t="shared" si="5"/>
        <v>1</v>
      </c>
    </row>
    <row r="33" spans="1:29" s="1293" customFormat="1" ht="15">
      <c r="A33" s="597"/>
      <c r="B33" s="521" t="s">
        <v>720</v>
      </c>
      <c r="C33" s="869">
        <f>'剩余法-待开发'!C9</f>
        <v>33313</v>
      </c>
      <c r="D33" s="253">
        <v>100</v>
      </c>
      <c r="E33" s="528">
        <v>26496</v>
      </c>
      <c r="F33" s="852">
        <f>LOOKUP(E33,103:103,104:104)-LOOKUP(C33,103:103,104:104)+100</f>
        <v>100</v>
      </c>
      <c r="G33" s="527">
        <v>89000</v>
      </c>
      <c r="H33" s="253">
        <f>LOOKUP(G33,103:103,104:104)-LOOKUP(C33,103:103,104:104)+100</f>
        <v>106</v>
      </c>
      <c r="I33" s="528">
        <v>59152</v>
      </c>
      <c r="J33" s="253">
        <f>LOOKUP(I33,103:103,104:104)-LOOKUP(C33,103:103,104:104)+100</f>
        <v>102</v>
      </c>
      <c r="K33" s="854"/>
      <c r="L33" s="2022"/>
      <c r="M33" s="2052"/>
      <c r="N33" s="2052"/>
      <c r="O33" s="2025"/>
      <c r="P33" s="3538"/>
      <c r="Q33" s="1535" t="str">
        <f t="shared" si="11"/>
        <v>项目建筑规模</v>
      </c>
      <c r="R33" s="1511" t="s">
        <v>11</v>
      </c>
      <c r="S33" s="1512">
        <f t="shared" si="12"/>
        <v>100</v>
      </c>
      <c r="T33" s="1511" t="s">
        <v>11</v>
      </c>
      <c r="U33" s="1512">
        <f t="shared" si="13"/>
        <v>106</v>
      </c>
      <c r="V33" s="1511" t="s">
        <v>11</v>
      </c>
      <c r="W33" s="1512">
        <f t="shared" si="14"/>
        <v>102</v>
      </c>
      <c r="X33" s="1513"/>
      <c r="Y33" s="3538"/>
      <c r="Z33" s="1514" t="str">
        <f t="shared" si="15"/>
        <v>项目建筑规模</v>
      </c>
      <c r="AA33" s="1510">
        <f t="shared" si="3"/>
        <v>1</v>
      </c>
      <c r="AB33" s="1510">
        <f t="shared" si="4"/>
        <v>0.94339622641509435</v>
      </c>
      <c r="AC33" s="1510">
        <f t="shared" si="5"/>
        <v>0.98039215686274506</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38"/>
      <c r="Q34" s="1506" t="str">
        <f t="shared" si="11"/>
        <v>建筑结构</v>
      </c>
      <c r="R34" s="1507" t="s">
        <v>11</v>
      </c>
      <c r="S34" s="1508">
        <f t="shared" si="12"/>
        <v>100</v>
      </c>
      <c r="T34" s="1507" t="s">
        <v>11</v>
      </c>
      <c r="U34" s="1508">
        <f t="shared" si="13"/>
        <v>100</v>
      </c>
      <c r="V34" s="1507" t="s">
        <v>11</v>
      </c>
      <c r="W34" s="1508">
        <f t="shared" si="14"/>
        <v>100</v>
      </c>
      <c r="X34" s="1501"/>
      <c r="Y34" s="353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38"/>
      <c r="Q35" s="1506" t="str">
        <f t="shared" si="11"/>
        <v>建筑品质</v>
      </c>
      <c r="R35" s="1507" t="s">
        <v>11</v>
      </c>
      <c r="S35" s="1508">
        <f t="shared" si="12"/>
        <v>100</v>
      </c>
      <c r="T35" s="1507" t="s">
        <v>11</v>
      </c>
      <c r="U35" s="1508">
        <f t="shared" si="13"/>
        <v>100</v>
      </c>
      <c r="V35" s="1507" t="s">
        <v>11</v>
      </c>
      <c r="W35" s="1508">
        <f t="shared" si="14"/>
        <v>100</v>
      </c>
      <c r="X35" s="1501"/>
      <c r="Y35" s="3538"/>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38"/>
      <c r="Q36" s="1506" t="str">
        <f t="shared" si="11"/>
        <v>公共部分装修</v>
      </c>
      <c r="R36" s="1507" t="s">
        <v>11</v>
      </c>
      <c r="S36" s="1508">
        <f t="shared" si="12"/>
        <v>100</v>
      </c>
      <c r="T36" s="1507" t="s">
        <v>11</v>
      </c>
      <c r="U36" s="1508">
        <f t="shared" si="13"/>
        <v>100</v>
      </c>
      <c r="V36" s="1507" t="s">
        <v>11</v>
      </c>
      <c r="W36" s="1508">
        <f t="shared" si="14"/>
        <v>100</v>
      </c>
      <c r="X36" s="1501"/>
      <c r="Y36" s="3538"/>
      <c r="Z36" s="1509" t="str">
        <f t="shared" si="15"/>
        <v>公共部分装修</v>
      </c>
      <c r="AA36" s="1510">
        <f t="shared" si="3"/>
        <v>1</v>
      </c>
      <c r="AB36" s="1510">
        <f t="shared" si="4"/>
        <v>1</v>
      </c>
      <c r="AC36" s="1510">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7"/>
      <c r="M37" s="2018"/>
      <c r="N37" s="2018"/>
      <c r="O37" s="2019"/>
      <c r="P37" s="3538"/>
      <c r="Q37" s="1134" t="str">
        <f t="shared" si="11"/>
        <v>成新度</v>
      </c>
      <c r="R37" s="1502" t="s">
        <v>11</v>
      </c>
      <c r="S37" s="1503">
        <f t="shared" si="12"/>
        <v>100</v>
      </c>
      <c r="T37" s="1502" t="s">
        <v>11</v>
      </c>
      <c r="U37" s="1503">
        <f t="shared" si="13"/>
        <v>100</v>
      </c>
      <c r="V37" s="1502" t="s">
        <v>11</v>
      </c>
      <c r="W37" s="1503">
        <f t="shared" si="14"/>
        <v>100</v>
      </c>
      <c r="X37" s="1504"/>
      <c r="Y37" s="3538"/>
      <c r="Z37" s="1133"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38" t="s">
        <v>544</v>
      </c>
      <c r="Q38" s="1506" t="str">
        <f t="shared" si="11"/>
        <v>物业管理</v>
      </c>
      <c r="R38" s="1507" t="s">
        <v>11</v>
      </c>
      <c r="S38" s="1508">
        <f t="shared" si="12"/>
        <v>100</v>
      </c>
      <c r="T38" s="1507" t="s">
        <v>11</v>
      </c>
      <c r="U38" s="1508">
        <f t="shared" si="13"/>
        <v>100</v>
      </c>
      <c r="V38" s="1507" t="s">
        <v>11</v>
      </c>
      <c r="W38" s="1508">
        <f t="shared" si="14"/>
        <v>100</v>
      </c>
      <c r="X38" s="1501"/>
      <c r="Y38" s="3538" t="s">
        <v>544</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38"/>
      <c r="Q39" s="1506" t="str">
        <f t="shared" si="11"/>
        <v>市政基础设施</v>
      </c>
      <c r="R39" s="1507" t="s">
        <v>11</v>
      </c>
      <c r="S39" s="1508">
        <f t="shared" si="12"/>
        <v>100</v>
      </c>
      <c r="T39" s="1507" t="s">
        <v>11</v>
      </c>
      <c r="U39" s="1508">
        <f t="shared" si="13"/>
        <v>100</v>
      </c>
      <c r="V39" s="1507" t="s">
        <v>11</v>
      </c>
      <c r="W39" s="1508">
        <f t="shared" si="14"/>
        <v>100</v>
      </c>
      <c r="X39" s="1501"/>
      <c r="Y39" s="353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38"/>
      <c r="Q40" s="1506" t="str">
        <f t="shared" si="11"/>
        <v>房型</v>
      </c>
      <c r="R40" s="1507" t="s">
        <v>11</v>
      </c>
      <c r="S40" s="1508">
        <f t="shared" si="12"/>
        <v>100</v>
      </c>
      <c r="T40" s="1507" t="s">
        <v>11</v>
      </c>
      <c r="U40" s="1508">
        <f t="shared" si="13"/>
        <v>100</v>
      </c>
      <c r="V40" s="1507" t="s">
        <v>11</v>
      </c>
      <c r="W40" s="1508">
        <f t="shared" si="14"/>
        <v>100</v>
      </c>
      <c r="X40" s="1501"/>
      <c r="Y40" s="3538"/>
      <c r="Z40" s="1509" t="str">
        <f t="shared" si="15"/>
        <v>房型</v>
      </c>
      <c r="AA40" s="1510">
        <f t="shared" si="3"/>
        <v>1</v>
      </c>
      <c r="AB40" s="1510">
        <f t="shared" si="4"/>
        <v>1</v>
      </c>
      <c r="AC40" s="15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38"/>
      <c r="Q41" s="1535" t="str">
        <f t="shared" si="11"/>
        <v>单套/主力户型建筑面积</v>
      </c>
      <c r="R41" s="1511" t="s">
        <v>11</v>
      </c>
      <c r="S41" s="1512">
        <f t="shared" si="12"/>
        <v>100</v>
      </c>
      <c r="T41" s="1511" t="s">
        <v>11</v>
      </c>
      <c r="U41" s="1512">
        <f t="shared" si="13"/>
        <v>100</v>
      </c>
      <c r="V41" s="1511" t="s">
        <v>11</v>
      </c>
      <c r="W41" s="1512">
        <f t="shared" si="14"/>
        <v>100</v>
      </c>
      <c r="X41" s="1513"/>
      <c r="Y41" s="3538"/>
      <c r="Z41" s="1514" t="str">
        <f t="shared" si="15"/>
        <v>单套/主力户型建筑面积</v>
      </c>
      <c r="AA41" s="1510">
        <f t="shared" si="3"/>
        <v>1</v>
      </c>
      <c r="AB41" s="1510">
        <f t="shared" si="4"/>
        <v>1</v>
      </c>
      <c r="AC41" s="1510">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38"/>
      <c r="Q42" s="1506" t="str">
        <f t="shared" si="11"/>
        <v>内部装修</v>
      </c>
      <c r="R42" s="1507" t="s">
        <v>11</v>
      </c>
      <c r="S42" s="1508">
        <f t="shared" si="12"/>
        <v>100</v>
      </c>
      <c r="T42" s="1507" t="s">
        <v>11</v>
      </c>
      <c r="U42" s="1508">
        <f t="shared" si="13"/>
        <v>100</v>
      </c>
      <c r="V42" s="1507" t="s">
        <v>11</v>
      </c>
      <c r="W42" s="1508">
        <f t="shared" si="14"/>
        <v>100</v>
      </c>
      <c r="X42" s="1501"/>
      <c r="Y42" s="3538"/>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38"/>
      <c r="Q43" s="1506" t="str">
        <f t="shared" si="11"/>
        <v>内部装修维护情况</v>
      </c>
      <c r="R43" s="1507" t="s">
        <v>11</v>
      </c>
      <c r="S43" s="1508">
        <f t="shared" si="12"/>
        <v>100</v>
      </c>
      <c r="T43" s="1507" t="s">
        <v>11</v>
      </c>
      <c r="U43" s="1508">
        <f t="shared" si="13"/>
        <v>100</v>
      </c>
      <c r="V43" s="1507" t="s">
        <v>11</v>
      </c>
      <c r="W43" s="1508">
        <f t="shared" si="14"/>
        <v>100</v>
      </c>
      <c r="X43" s="1501"/>
      <c r="Y43" s="3538"/>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38"/>
      <c r="Q44" s="1134">
        <f t="shared" si="11"/>
        <v>111</v>
      </c>
      <c r="R44" s="1502" t="s">
        <v>11</v>
      </c>
      <c r="S44" s="1503">
        <f t="shared" si="12"/>
        <v>100</v>
      </c>
      <c r="T44" s="1502" t="s">
        <v>11</v>
      </c>
      <c r="U44" s="1503">
        <f t="shared" si="13"/>
        <v>100</v>
      </c>
      <c r="V44" s="1502" t="s">
        <v>11</v>
      </c>
      <c r="W44" s="1503">
        <f t="shared" si="14"/>
        <v>100</v>
      </c>
      <c r="X44" s="1504"/>
      <c r="Y44" s="3538"/>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38"/>
      <c r="Q45" s="1506">
        <f t="shared" si="11"/>
        <v>111</v>
      </c>
      <c r="R45" s="1507" t="s">
        <v>11</v>
      </c>
      <c r="S45" s="1508">
        <f t="shared" si="12"/>
        <v>100</v>
      </c>
      <c r="T45" s="1507" t="s">
        <v>11</v>
      </c>
      <c r="U45" s="1508">
        <f t="shared" si="13"/>
        <v>100</v>
      </c>
      <c r="V45" s="1507" t="s">
        <v>11</v>
      </c>
      <c r="W45" s="1508">
        <f t="shared" si="14"/>
        <v>100</v>
      </c>
      <c r="X45" s="1501"/>
      <c r="Y45" s="3538"/>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38"/>
      <c r="Q46" s="1506">
        <f t="shared" si="11"/>
        <v>111</v>
      </c>
      <c r="R46" s="1507" t="s">
        <v>10</v>
      </c>
      <c r="S46" s="1508">
        <f t="shared" si="12"/>
        <v>100</v>
      </c>
      <c r="T46" s="1507" t="s">
        <v>10</v>
      </c>
      <c r="U46" s="1508">
        <f t="shared" si="13"/>
        <v>100</v>
      </c>
      <c r="V46" s="1507" t="s">
        <v>10</v>
      </c>
      <c r="W46" s="1508">
        <f t="shared" si="14"/>
        <v>100</v>
      </c>
      <c r="X46" s="1501"/>
      <c r="Y46" s="3638"/>
      <c r="Z46" s="1509">
        <f t="shared" si="15"/>
        <v>111</v>
      </c>
      <c r="AA46" s="1510">
        <f t="shared" si="3"/>
        <v>1</v>
      </c>
      <c r="AB46" s="1510">
        <f t="shared" si="4"/>
        <v>1</v>
      </c>
      <c r="AC46" s="1510">
        <f t="shared" si="5"/>
        <v>1</v>
      </c>
    </row>
    <row r="47" spans="1:29" ht="15">
      <c r="A47" s="601" t="s">
        <v>730</v>
      </c>
      <c r="B47" s="876"/>
      <c r="C47" s="2470" t="s">
        <v>9</v>
      </c>
      <c r="D47" s="2471"/>
      <c r="E47" s="2472">
        <v>165000</v>
      </c>
      <c r="F47" s="2473"/>
      <c r="G47" s="2474">
        <v>190000</v>
      </c>
      <c r="H47" s="2475"/>
      <c r="I47" s="2472">
        <v>189000</v>
      </c>
      <c r="J47" s="2475"/>
      <c r="K47" s="1536"/>
      <c r="L47" s="2026"/>
      <c r="M47" s="2027"/>
      <c r="N47" s="2016"/>
      <c r="O47" s="2027"/>
      <c r="P47" s="3533" t="str">
        <f>A47</f>
        <v>成交单价（元/平方米）</v>
      </c>
      <c r="Q47" s="3533"/>
      <c r="R47" s="3637">
        <f>E47</f>
        <v>165000</v>
      </c>
      <c r="S47" s="3637"/>
      <c r="T47" s="3637">
        <f>G47</f>
        <v>190000</v>
      </c>
      <c r="U47" s="3637"/>
      <c r="V47" s="3637">
        <f>I47</f>
        <v>189000</v>
      </c>
      <c r="W47" s="3637"/>
      <c r="X47" s="1496"/>
      <c r="Y47" s="1515"/>
      <c r="Z47" s="1496"/>
      <c r="AA47" s="1496"/>
      <c r="AB47" s="1496"/>
      <c r="AC47" s="1496"/>
    </row>
    <row r="48" spans="1:29" ht="15.75" thickBot="1">
      <c r="A48" s="609" t="s">
        <v>2738</v>
      </c>
      <c r="B48" s="877"/>
      <c r="C48" s="2476">
        <f>R49</f>
        <v>176513</v>
      </c>
      <c r="D48" s="3014" t="s">
        <v>2965</v>
      </c>
      <c r="E48" s="2477">
        <f>R48</f>
        <v>165000</v>
      </c>
      <c r="F48" s="3015"/>
      <c r="G48" s="2476">
        <f>T48</f>
        <v>179245</v>
      </c>
      <c r="H48" s="3015"/>
      <c r="I48" s="2477">
        <f>V48</f>
        <v>185294</v>
      </c>
      <c r="J48" s="3015"/>
      <c r="K48" s="3023">
        <f>F48+H48+J48</f>
        <v>0</v>
      </c>
      <c r="L48" s="2026"/>
      <c r="M48" s="2027"/>
      <c r="N48" s="2027"/>
      <c r="O48" s="2027"/>
      <c r="P48" s="3533" t="str">
        <f>A48</f>
        <v>比较价格（元/平方米）</v>
      </c>
      <c r="Q48" s="3533"/>
      <c r="R48" s="3637">
        <f>IF(F1="售价",ROUND(PRODUCT(R47,AA7:AA46),0),ROUND(PRODUCT(R47,AA7:AA46),1))</f>
        <v>165000</v>
      </c>
      <c r="S48" s="3637"/>
      <c r="T48" s="3637">
        <f>IF(F1="售价",ROUND(PRODUCT(T47,AB7:AB46),0),ROUND(PRODUCT(T47,AB7:AB46),1))</f>
        <v>179245</v>
      </c>
      <c r="U48" s="3637"/>
      <c r="V48" s="3637">
        <f>IF(F1="售价",ROUND(PRODUCT(V47,AC7:AC46),0),ROUND(PRODUCT(V47,AC7:AC46),1))</f>
        <v>185294</v>
      </c>
      <c r="W48" s="3637"/>
      <c r="X48" s="1496"/>
      <c r="Y48" s="1496"/>
      <c r="Z48" s="1496"/>
      <c r="AA48" s="1496"/>
      <c r="AB48" s="1496"/>
      <c r="AC48" s="1496"/>
    </row>
    <row r="49" spans="1:29" ht="15.75" thickBot="1">
      <c r="A49" s="613" t="s">
        <v>2897</v>
      </c>
      <c r="B49" s="614"/>
      <c r="C49" s="2478">
        <f>R49</f>
        <v>176513</v>
      </c>
      <c r="D49" s="2478"/>
      <c r="E49" s="2478"/>
      <c r="F49" s="2478"/>
      <c r="G49" s="2478"/>
      <c r="H49" s="2478"/>
      <c r="I49" s="2478"/>
      <c r="J49" s="2478"/>
      <c r="K49" s="1537"/>
      <c r="L49" s="2026"/>
      <c r="M49" s="2027"/>
      <c r="N49" s="2027"/>
      <c r="O49" s="2027"/>
      <c r="P49" s="3555" t="str">
        <f>A49</f>
        <v>估价对象XX用房的比较价格（楼面单价，元/平方米）</v>
      </c>
      <c r="Q49" s="3556"/>
      <c r="R49" s="3636">
        <f>IF(F1="售价",ROUND(IF(D48="简单平均",AVERAGE(R48:V48),R48*F48+T48*H48+V48*J48),0),ROUND(IF(D48="简单平均",AVERAGE(R48:V48),R48*F48+T48*H48+V48*J48),1))</f>
        <v>176513</v>
      </c>
      <c r="S49" s="3636"/>
      <c r="T49" s="3636"/>
      <c r="U49" s="3636"/>
      <c r="V49" s="3636"/>
      <c r="W49" s="3636"/>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0</v>
      </c>
      <c r="F52" s="619" t="str">
        <f>IF(OR(E52&gt;=0.3,E52&lt;=-0.3),"超过30%","")</f>
        <v/>
      </c>
      <c r="G52" s="618">
        <f>IF(G47&lt;G48,G48/G47-1,G47/G48-1)</f>
        <v>6.0001673686853163E-2</v>
      </c>
      <c r="H52" s="619" t="str">
        <f>IF(OR(G52&gt;=0.3,G52&lt;=-0.3),"超过30%","")</f>
        <v/>
      </c>
      <c r="I52" s="618">
        <f>IF(I47&lt;I48,I48/I47-1,I47/I48-1)</f>
        <v>2.0000647619458745E-2</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8.6333333333333373E-2</v>
      </c>
      <c r="F53" s="619" t="str">
        <f>IF(OR(E53&gt;=0.2,E53&lt;=-0.2),"超过20%","")</f>
        <v/>
      </c>
      <c r="G53" s="618">
        <f>IF(G48&lt;I48,I48/G48-1,G48/I48-1)</f>
        <v>3.3747105916483111E-2</v>
      </c>
      <c r="H53" s="619" t="str">
        <f>IF(OR(G53&gt;=0.2,G53&lt;=-0.2),"超过20%","")</f>
        <v/>
      </c>
      <c r="I53" s="618">
        <f>IF(I48&lt;E48,E48/I48-1,I48/E48-1)</f>
        <v>0.12299393939393943</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f>IF(E47&lt;G47,G47/E47-1,E47/G47-1)</f>
        <v>0.1515151515151516</v>
      </c>
      <c r="F54" s="619" t="str">
        <f>IF(OR(E54&gt;=0.3,E54&lt;=-0.3),"超过30%","")</f>
        <v/>
      </c>
      <c r="G54" s="618">
        <f>IF(G47&lt;I47,I47/G47-1,G47/I47-1)</f>
        <v>5.2910052910053462E-3</v>
      </c>
      <c r="H54" s="619" t="str">
        <f>IF(OR(G54&gt;=0.3,G54&lt;=-0.3),"超过30%","")</f>
        <v/>
      </c>
      <c r="I54" s="618">
        <f>IF(I47&lt;E47,E47/I47-1,I47/E47-1)</f>
        <v>0.1454545454545455</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2020-10</v>
      </c>
      <c r="D58" s="2521">
        <f>EDATE(C58,-1)</f>
        <v>44075</v>
      </c>
      <c r="E58" s="2521">
        <f t="shared" ref="E58:O58" si="16">EDATE(D58,-1)</f>
        <v>44044</v>
      </c>
      <c r="F58" s="2521">
        <f t="shared" si="16"/>
        <v>44013</v>
      </c>
      <c r="G58" s="2521">
        <f t="shared" si="16"/>
        <v>43983</v>
      </c>
      <c r="H58" s="2521">
        <f t="shared" si="16"/>
        <v>43952</v>
      </c>
      <c r="I58" s="2521">
        <f t="shared" si="16"/>
        <v>43922</v>
      </c>
      <c r="J58" s="2521">
        <f t="shared" si="16"/>
        <v>43891</v>
      </c>
      <c r="K58" s="2521">
        <f t="shared" si="16"/>
        <v>43862</v>
      </c>
      <c r="L58" s="2521">
        <f t="shared" si="16"/>
        <v>43831</v>
      </c>
      <c r="M58" s="2521">
        <f t="shared" si="16"/>
        <v>43800</v>
      </c>
      <c r="N58" s="2521">
        <f t="shared" si="16"/>
        <v>43770</v>
      </c>
      <c r="O58" s="2521">
        <f t="shared" si="16"/>
        <v>43739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2244</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0(含)-20000</v>
      </c>
      <c r="D102" s="700" t="str">
        <f t="shared" ref="D102:L102" si="23">D103&amp;"(含)"&amp;"-"&amp;E103</f>
        <v>20000(含)-40000</v>
      </c>
      <c r="E102" s="700" t="str">
        <f t="shared" si="23"/>
        <v>40000(含)-60000</v>
      </c>
      <c r="F102" s="700" t="str">
        <f t="shared" si="23"/>
        <v>60000(含)-80000</v>
      </c>
      <c r="G102" s="700" t="str">
        <f t="shared" si="23"/>
        <v>80000(含)-100000</v>
      </c>
      <c r="H102" s="700" t="str">
        <f t="shared" si="23"/>
        <v>100000(含)-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v>0</v>
      </c>
      <c r="D103" s="722">
        <v>20000</v>
      </c>
      <c r="E103" s="722">
        <v>40000</v>
      </c>
      <c r="F103" s="722">
        <v>60000</v>
      </c>
      <c r="G103" s="722">
        <v>80000</v>
      </c>
      <c r="H103" s="722">
        <v>100000</v>
      </c>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v>100</v>
      </c>
      <c r="D104" s="663">
        <v>102</v>
      </c>
      <c r="E104" s="663">
        <v>104</v>
      </c>
      <c r="F104" s="663">
        <v>106</v>
      </c>
      <c r="G104" s="663">
        <v>108</v>
      </c>
      <c r="H104" s="663">
        <v>110</v>
      </c>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2245</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2246</v>
      </c>
      <c r="C137" s="1833"/>
      <c r="D137" s="1833"/>
      <c r="E137" s="1833"/>
      <c r="F137" s="1833"/>
      <c r="G137" s="1834"/>
      <c r="H137" s="1835"/>
      <c r="I137" s="1836" t="s">
        <v>2247</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2248</v>
      </c>
      <c r="D138" s="1839" t="s">
        <v>2249</v>
      </c>
      <c r="E138" s="1840" t="s">
        <v>2250</v>
      </c>
      <c r="F138" s="1841" t="s">
        <v>2251</v>
      </c>
      <c r="G138" s="1839" t="s">
        <v>2252</v>
      </c>
      <c r="H138" s="1842" t="s">
        <v>2253</v>
      </c>
      <c r="I138" s="1843"/>
      <c r="J138" s="1839" t="s">
        <v>2254</v>
      </c>
      <c r="K138" s="1842" t="s">
        <v>2255</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2256</v>
      </c>
      <c r="E139" s="1813">
        <v>100</v>
      </c>
      <c r="F139" s="1814">
        <v>102.5</v>
      </c>
      <c r="G139" s="1844" t="s">
        <v>2257</v>
      </c>
      <c r="H139" s="1815">
        <v>105</v>
      </c>
      <c r="I139" s="1845" t="s">
        <v>2258</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2259</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2260</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2261</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2262</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2263</v>
      </c>
      <c r="E144" s="1819">
        <v>102</v>
      </c>
      <c r="F144" s="1825">
        <v>100</v>
      </c>
      <c r="G144" s="1848" t="s">
        <v>2263</v>
      </c>
      <c r="H144" s="1821">
        <v>105</v>
      </c>
      <c r="I144" s="1847" t="s">
        <v>2262</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2264</v>
      </c>
      <c r="C145" s="1826">
        <f>ROUND(MAX(C139:C144)/MIN(C139:C144)-1,3)</f>
        <v>7.2999999999999995E-2</v>
      </c>
      <c r="D145" s="1850"/>
      <c r="E145" s="1850"/>
      <c r="F145" s="1851" t="s">
        <v>2265</v>
      </c>
      <c r="G145" s="1852"/>
      <c r="H145" s="1853"/>
      <c r="I145" s="1854" t="s">
        <v>2262</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2273</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2274</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39" t="s">
        <v>516</v>
      </c>
      <c r="D4" s="3540"/>
      <c r="E4" s="3565" t="s">
        <v>517</v>
      </c>
      <c r="F4" s="3566"/>
      <c r="G4" s="3539" t="s">
        <v>518</v>
      </c>
      <c r="H4" s="3540"/>
      <c r="I4" s="3539" t="s">
        <v>519</v>
      </c>
      <c r="J4" s="3540"/>
      <c r="K4" s="508" t="s">
        <v>520</v>
      </c>
      <c r="L4" s="2015"/>
      <c r="M4" s="2016"/>
      <c r="N4" s="2016"/>
      <c r="O4" s="2016"/>
      <c r="P4" s="3541" t="s">
        <v>521</v>
      </c>
      <c r="Q4" s="3542"/>
      <c r="R4" s="3527" t="s">
        <v>517</v>
      </c>
      <c r="S4" s="3528"/>
      <c r="T4" s="3527" t="s">
        <v>518</v>
      </c>
      <c r="U4" s="3528"/>
      <c r="V4" s="3547" t="s">
        <v>519</v>
      </c>
      <c r="W4" s="3547"/>
      <c r="X4" s="1501"/>
      <c r="Y4" s="3527" t="s">
        <v>521</v>
      </c>
      <c r="Z4" s="3528"/>
      <c r="AA4" s="3522" t="s">
        <v>517</v>
      </c>
      <c r="AB4" s="3547" t="s">
        <v>518</v>
      </c>
      <c r="AC4" s="3522" t="s">
        <v>519</v>
      </c>
    </row>
    <row r="5" spans="1:29" ht="15">
      <c r="A5" s="509"/>
      <c r="B5" s="510"/>
      <c r="C5" s="3552" t="s">
        <v>2891</v>
      </c>
      <c r="D5" s="3551"/>
      <c r="E5" s="3567" t="s">
        <v>2892</v>
      </c>
      <c r="F5" s="3568"/>
      <c r="G5" s="3552" t="s">
        <v>2893</v>
      </c>
      <c r="H5" s="3551"/>
      <c r="I5" s="3552" t="s">
        <v>2894</v>
      </c>
      <c r="J5" s="3551"/>
      <c r="K5" s="508"/>
      <c r="L5" s="2015"/>
      <c r="M5" s="2016"/>
      <c r="N5" s="2016"/>
      <c r="O5" s="2016"/>
      <c r="P5" s="3543"/>
      <c r="Q5" s="3544"/>
      <c r="R5" s="3529"/>
      <c r="S5" s="3530"/>
      <c r="T5" s="3529"/>
      <c r="U5" s="3530"/>
      <c r="V5" s="3547"/>
      <c r="W5" s="3547"/>
      <c r="X5" s="1501"/>
      <c r="Y5" s="3529"/>
      <c r="Z5" s="3530"/>
      <c r="AA5" s="3523"/>
      <c r="AB5" s="3547"/>
      <c r="AC5" s="3523"/>
    </row>
    <row r="6" spans="1:29" ht="15.75" thickBot="1">
      <c r="A6" s="511"/>
      <c r="B6" s="512"/>
      <c r="C6" s="3548" t="s">
        <v>2895</v>
      </c>
      <c r="D6" s="3549"/>
      <c r="E6" s="3569" t="s">
        <v>2895</v>
      </c>
      <c r="F6" s="3570"/>
      <c r="G6" s="3548" t="s">
        <v>2895</v>
      </c>
      <c r="H6" s="3549"/>
      <c r="I6" s="3548" t="s">
        <v>2895</v>
      </c>
      <c r="J6" s="3549"/>
      <c r="K6" s="508" t="s">
        <v>522</v>
      </c>
      <c r="L6" s="2015"/>
      <c r="M6" s="2016"/>
      <c r="N6" s="2016"/>
      <c r="O6" s="2016"/>
      <c r="P6" s="3545"/>
      <c r="Q6" s="3546"/>
      <c r="R6" s="3529"/>
      <c r="S6" s="3530"/>
      <c r="T6" s="3531"/>
      <c r="U6" s="3532"/>
      <c r="V6" s="3547"/>
      <c r="W6" s="3547"/>
      <c r="X6" s="1501"/>
      <c r="Y6" s="3531"/>
      <c r="Z6" s="3532"/>
      <c r="AA6" s="3524"/>
      <c r="AB6" s="3547"/>
      <c r="AC6" s="3524"/>
    </row>
    <row r="7" spans="1:29" s="1203" customFormat="1" ht="15.75" thickBot="1">
      <c r="A7" s="2629"/>
      <c r="B7" s="2636" t="s">
        <v>523</v>
      </c>
      <c r="C7" s="513">
        <f>'数据-取费表'!B2</f>
        <v>44127</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25" t="s">
        <v>524</v>
      </c>
      <c r="Q7" s="3534"/>
      <c r="R7" s="1502" t="s">
        <v>8</v>
      </c>
      <c r="S7" s="1503">
        <f t="shared" ref="S7:S15" si="0">F7</f>
        <v>0</v>
      </c>
      <c r="T7" s="1502" t="s">
        <v>8</v>
      </c>
      <c r="U7" s="1503">
        <f t="shared" ref="U7:U15" si="1">H7</f>
        <v>0</v>
      </c>
      <c r="V7" s="1502" t="s">
        <v>8</v>
      </c>
      <c r="W7" s="1503">
        <f t="shared" ref="W7:W15" si="2">J7</f>
        <v>0</v>
      </c>
      <c r="X7" s="1504"/>
      <c r="Y7" s="3525" t="s">
        <v>524</v>
      </c>
      <c r="Z7" s="3526"/>
      <c r="AA7" s="1505" t="e">
        <f>D7/F7</f>
        <v>#DIV/0!</v>
      </c>
      <c r="AB7" s="1505" t="e">
        <f>D7/H7</f>
        <v>#DIV/0!</v>
      </c>
      <c r="AC7" s="1505"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25" t="s">
        <v>527</v>
      </c>
      <c r="Q8" s="3526"/>
      <c r="R8" s="1502" t="s">
        <v>8</v>
      </c>
      <c r="S8" s="1503">
        <f t="shared" si="0"/>
        <v>0</v>
      </c>
      <c r="T8" s="1502" t="s">
        <v>8</v>
      </c>
      <c r="U8" s="1503">
        <f t="shared" si="1"/>
        <v>0</v>
      </c>
      <c r="V8" s="1502" t="s">
        <v>8</v>
      </c>
      <c r="W8" s="1503">
        <f t="shared" si="2"/>
        <v>0</v>
      </c>
      <c r="X8" s="1504"/>
      <c r="Y8" s="3525" t="s">
        <v>527</v>
      </c>
      <c r="Z8" s="3526"/>
      <c r="AA8" s="1505" t="e">
        <f t="shared" ref="AA8:AA46" si="3">D8/F8</f>
        <v>#DIV/0!</v>
      </c>
      <c r="AB8" s="1505" t="e">
        <f t="shared" ref="AB8:AB46" si="4">D8/H8</f>
        <v>#DIV/0!</v>
      </c>
      <c r="AC8" s="1505" t="e">
        <f t="shared" ref="AC8:AC46" si="5">D8/J8</f>
        <v>#DIV/0!</v>
      </c>
    </row>
    <row r="9" spans="1:29" s="1203" customFormat="1" ht="15">
      <c r="A9" s="2631"/>
      <c r="B9" s="2638" t="s">
        <v>2734</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33" t="s">
        <v>529</v>
      </c>
      <c r="Q9" s="1134" t="str">
        <f t="shared" ref="Q9:Q15" si="6">B9</f>
        <v>用途</v>
      </c>
      <c r="R9" s="1502" t="s">
        <v>8</v>
      </c>
      <c r="S9" s="1503">
        <f t="shared" si="0"/>
        <v>100</v>
      </c>
      <c r="T9" s="1502" t="s">
        <v>8</v>
      </c>
      <c r="U9" s="1503">
        <f t="shared" si="1"/>
        <v>100</v>
      </c>
      <c r="V9" s="1502" t="s">
        <v>8</v>
      </c>
      <c r="W9" s="1503">
        <f t="shared" si="2"/>
        <v>100</v>
      </c>
      <c r="X9" s="1504"/>
      <c r="Y9" s="3484" t="s">
        <v>530</v>
      </c>
      <c r="Z9" s="1133" t="str">
        <f t="shared" ref="Z9:Z15" si="7">Q9</f>
        <v>用途</v>
      </c>
      <c r="AA9" s="1505">
        <f t="shared" si="3"/>
        <v>1</v>
      </c>
      <c r="AB9" s="1505">
        <f t="shared" si="4"/>
        <v>1</v>
      </c>
      <c r="AC9" s="1505">
        <f t="shared" si="5"/>
        <v>1</v>
      </c>
    </row>
    <row r="10" spans="1:29" s="1292" customFormat="1" ht="27">
      <c r="A10" s="2632"/>
      <c r="B10" s="2637" t="s">
        <v>2735</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33"/>
      <c r="Q10" s="1134" t="str">
        <f t="shared" si="6"/>
        <v>土地使用年限（年）</v>
      </c>
      <c r="R10" s="1502" t="s">
        <v>8</v>
      </c>
      <c r="S10" s="1503">
        <f t="shared" si="0"/>
        <v>100</v>
      </c>
      <c r="T10" s="1502" t="s">
        <v>8</v>
      </c>
      <c r="U10" s="1503">
        <f t="shared" si="1"/>
        <v>100</v>
      </c>
      <c r="V10" s="1502" t="s">
        <v>8</v>
      </c>
      <c r="W10" s="1503">
        <f t="shared" si="2"/>
        <v>100</v>
      </c>
      <c r="X10" s="1504"/>
      <c r="Y10" s="3484"/>
      <c r="Z10" s="1133" t="str">
        <f t="shared" si="7"/>
        <v>土地使用年限（年）</v>
      </c>
      <c r="AA10" s="1505">
        <f t="shared" si="3"/>
        <v>1</v>
      </c>
      <c r="AB10" s="1505">
        <f t="shared" si="4"/>
        <v>1</v>
      </c>
      <c r="AC10" s="1505">
        <f t="shared" si="5"/>
        <v>1</v>
      </c>
    </row>
    <row r="11" spans="1:29" ht="15">
      <c r="A11" s="2633"/>
      <c r="B11" s="2637" t="s">
        <v>2736</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33"/>
      <c r="Q11" s="1134" t="str">
        <f t="shared" si="6"/>
        <v>容积率</v>
      </c>
      <c r="R11" s="1502" t="s">
        <v>8</v>
      </c>
      <c r="S11" s="1503" t="e">
        <f t="shared" si="0"/>
        <v>#N/A</v>
      </c>
      <c r="T11" s="1502" t="s">
        <v>8</v>
      </c>
      <c r="U11" s="1503" t="e">
        <f t="shared" si="1"/>
        <v>#N/A</v>
      </c>
      <c r="V11" s="1502" t="s">
        <v>8</v>
      </c>
      <c r="W11" s="1503" t="e">
        <f t="shared" si="2"/>
        <v>#N/A</v>
      </c>
      <c r="X11" s="1504"/>
      <c r="Y11" s="3484"/>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33"/>
      <c r="Q12" s="1134">
        <f t="shared" si="6"/>
        <v>111</v>
      </c>
      <c r="R12" s="1502" t="s">
        <v>8</v>
      </c>
      <c r="S12" s="1503">
        <f t="shared" si="0"/>
        <v>100</v>
      </c>
      <c r="T12" s="1502" t="s">
        <v>8</v>
      </c>
      <c r="U12" s="1503">
        <f t="shared" si="1"/>
        <v>100</v>
      </c>
      <c r="V12" s="1502" t="s">
        <v>8</v>
      </c>
      <c r="W12" s="1503">
        <f t="shared" si="2"/>
        <v>100</v>
      </c>
      <c r="X12" s="1504"/>
      <c r="Y12" s="3484"/>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33"/>
      <c r="Q13" s="1134">
        <f t="shared" si="6"/>
        <v>111</v>
      </c>
      <c r="R13" s="1502" t="s">
        <v>8</v>
      </c>
      <c r="S13" s="1503">
        <f t="shared" si="0"/>
        <v>100</v>
      </c>
      <c r="T13" s="1502" t="s">
        <v>8</v>
      </c>
      <c r="U13" s="1503">
        <f t="shared" si="1"/>
        <v>100</v>
      </c>
      <c r="V13" s="1502" t="s">
        <v>8</v>
      </c>
      <c r="W13" s="1503">
        <f t="shared" si="2"/>
        <v>100</v>
      </c>
      <c r="X13" s="1504"/>
      <c r="Y13" s="3484"/>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33"/>
      <c r="Q14" s="1134">
        <f t="shared" si="6"/>
        <v>111</v>
      </c>
      <c r="R14" s="1502" t="s">
        <v>8</v>
      </c>
      <c r="S14" s="1503">
        <f t="shared" si="0"/>
        <v>100</v>
      </c>
      <c r="T14" s="1502" t="s">
        <v>8</v>
      </c>
      <c r="U14" s="1503">
        <f t="shared" si="1"/>
        <v>100</v>
      </c>
      <c r="V14" s="1502" t="s">
        <v>8</v>
      </c>
      <c r="W14" s="1503">
        <f t="shared" si="2"/>
        <v>100</v>
      </c>
      <c r="X14" s="1504"/>
      <c r="Y14" s="3484"/>
      <c r="Z14" s="1133">
        <f t="shared" si="7"/>
        <v>111</v>
      </c>
      <c r="AA14" s="1505">
        <f t="shared" si="3"/>
        <v>1</v>
      </c>
      <c r="AB14" s="1505">
        <f t="shared" si="4"/>
        <v>1</v>
      </c>
      <c r="AC14" s="1505">
        <f t="shared" si="5"/>
        <v>1</v>
      </c>
    </row>
    <row r="15" spans="1:29" ht="71.25">
      <c r="A15" s="2627" t="s">
        <v>2732</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35" t="s">
        <v>534</v>
      </c>
      <c r="Q15" s="1506" t="str">
        <f t="shared" si="6"/>
        <v>商业繁华度</v>
      </c>
      <c r="R15" s="1507" t="s">
        <v>8</v>
      </c>
      <c r="S15" s="1508">
        <f t="shared" si="0"/>
        <v>100</v>
      </c>
      <c r="T15" s="1507" t="s">
        <v>8</v>
      </c>
      <c r="U15" s="1508">
        <f t="shared" si="1"/>
        <v>100</v>
      </c>
      <c r="V15" s="1507" t="s">
        <v>8</v>
      </c>
      <c r="W15" s="1508">
        <f t="shared" si="2"/>
        <v>100</v>
      </c>
      <c r="X15" s="1501"/>
      <c r="Y15" s="353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36"/>
      <c r="Q16" s="1506"/>
      <c r="R16" s="1507"/>
      <c r="S16" s="1508"/>
      <c r="T16" s="1507"/>
      <c r="U16" s="1508"/>
      <c r="V16" s="1507"/>
      <c r="W16" s="1508"/>
      <c r="X16" s="1501"/>
      <c r="Y16" s="353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36"/>
      <c r="Q17" s="1506" t="str">
        <f>B17</f>
        <v>交通便捷度</v>
      </c>
      <c r="R17" s="1507" t="s">
        <v>8</v>
      </c>
      <c r="S17" s="1508">
        <f>F17</f>
        <v>100</v>
      </c>
      <c r="T17" s="1507" t="s">
        <v>8</v>
      </c>
      <c r="U17" s="1508">
        <f>H17</f>
        <v>100</v>
      </c>
      <c r="V17" s="1507" t="s">
        <v>8</v>
      </c>
      <c r="W17" s="1508">
        <f>J17</f>
        <v>100</v>
      </c>
      <c r="X17" s="1501"/>
      <c r="Y17" s="353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36"/>
      <c r="Q18" s="1506"/>
      <c r="R18" s="1507"/>
      <c r="S18" s="1508"/>
      <c r="T18" s="1507"/>
      <c r="U18" s="1508"/>
      <c r="V18" s="1507"/>
      <c r="W18" s="1508"/>
      <c r="X18" s="1501"/>
      <c r="Y18" s="3536"/>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36"/>
      <c r="Q19" s="1506" t="str">
        <f>B19</f>
        <v>公共配套设施</v>
      </c>
      <c r="R19" s="1507" t="s">
        <v>8</v>
      </c>
      <c r="S19" s="1508">
        <f>F19</f>
        <v>100</v>
      </c>
      <c r="T19" s="1507" t="s">
        <v>8</v>
      </c>
      <c r="U19" s="1508">
        <f>H19</f>
        <v>100</v>
      </c>
      <c r="V19" s="1507" t="s">
        <v>8</v>
      </c>
      <c r="W19" s="1508">
        <f>J19</f>
        <v>100</v>
      </c>
      <c r="X19" s="1501"/>
      <c r="Y19" s="353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536"/>
      <c r="Q20" s="1506"/>
      <c r="R20" s="1507"/>
      <c r="S20" s="1508"/>
      <c r="T20" s="1507"/>
      <c r="U20" s="1508"/>
      <c r="V20" s="1507"/>
      <c r="W20" s="1508"/>
      <c r="X20" s="1501"/>
      <c r="Y20" s="3536"/>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36"/>
      <c r="Q21" s="2429" t="str">
        <f>B21</f>
        <v>基础设施水平</v>
      </c>
      <c r="R21" s="1507" t="s">
        <v>8</v>
      </c>
      <c r="S21" s="1508">
        <f>F21</f>
        <v>100</v>
      </c>
      <c r="T21" s="1507" t="s">
        <v>8</v>
      </c>
      <c r="U21" s="1508">
        <f>H21</f>
        <v>100</v>
      </c>
      <c r="V21" s="1507" t="s">
        <v>8</v>
      </c>
      <c r="W21" s="1508">
        <f>J21</f>
        <v>100</v>
      </c>
      <c r="X21" s="2431"/>
      <c r="Y21" s="3536"/>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536"/>
      <c r="Q22" s="2429"/>
      <c r="R22" s="1507"/>
      <c r="S22" s="1508"/>
      <c r="T22" s="1507"/>
      <c r="U22" s="1508"/>
      <c r="V22" s="1507"/>
      <c r="W22" s="1508"/>
      <c r="X22" s="2431"/>
      <c r="Y22" s="3536"/>
      <c r="Z22" s="2430"/>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36"/>
      <c r="Q23" s="1506" t="str">
        <f>B23</f>
        <v>自然及人文环境</v>
      </c>
      <c r="R23" s="1507" t="s">
        <v>8</v>
      </c>
      <c r="S23" s="1508">
        <f>F23</f>
        <v>100</v>
      </c>
      <c r="T23" s="1507" t="s">
        <v>8</v>
      </c>
      <c r="U23" s="1508">
        <f>H23</f>
        <v>100</v>
      </c>
      <c r="V23" s="1507" t="s">
        <v>8</v>
      </c>
      <c r="W23" s="1508">
        <f>J23</f>
        <v>100</v>
      </c>
      <c r="X23" s="1501"/>
      <c r="Y23" s="353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536"/>
      <c r="Q24" s="1506"/>
      <c r="R24" s="1507"/>
      <c r="S24" s="1508"/>
      <c r="T24" s="1507"/>
      <c r="U24" s="1508"/>
      <c r="V24" s="1507"/>
      <c r="W24" s="1508"/>
      <c r="X24" s="1501"/>
      <c r="Y24" s="353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36"/>
      <c r="Q25" s="1506" t="str">
        <f t="shared" ref="Q25:Q46" si="11">B25</f>
        <v>临街状况</v>
      </c>
      <c r="R25" s="1507" t="s">
        <v>8</v>
      </c>
      <c r="S25" s="1508">
        <f>F25</f>
        <v>100</v>
      </c>
      <c r="T25" s="1507" t="s">
        <v>8</v>
      </c>
      <c r="U25" s="1508">
        <f>H25</f>
        <v>100</v>
      </c>
      <c r="V25" s="1507" t="s">
        <v>8</v>
      </c>
      <c r="W25" s="1508">
        <f>J25</f>
        <v>100</v>
      </c>
      <c r="X25" s="1501"/>
      <c r="Y25" s="353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36"/>
      <c r="Q26" s="1506" t="str">
        <f t="shared" si="11"/>
        <v>平面位置/可视性</v>
      </c>
      <c r="R26" s="1507" t="s">
        <v>8</v>
      </c>
      <c r="S26" s="1508">
        <f>F26</f>
        <v>100</v>
      </c>
      <c r="T26" s="1507" t="s">
        <v>8</v>
      </c>
      <c r="U26" s="1508">
        <f>H26</f>
        <v>100</v>
      </c>
      <c r="V26" s="1507" t="s">
        <v>8</v>
      </c>
      <c r="W26" s="1508">
        <f>J26</f>
        <v>100</v>
      </c>
      <c r="X26" s="1501"/>
      <c r="Y26" s="3536"/>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36"/>
      <c r="Q27" s="1134" t="str">
        <f t="shared" si="11"/>
        <v>人流量</v>
      </c>
      <c r="R27" s="1502" t="s">
        <v>8</v>
      </c>
      <c r="S27" s="1503">
        <f>F27</f>
        <v>100</v>
      </c>
      <c r="T27" s="1502" t="s">
        <v>8</v>
      </c>
      <c r="U27" s="1503">
        <f>H27</f>
        <v>100</v>
      </c>
      <c r="V27" s="1502" t="s">
        <v>8</v>
      </c>
      <c r="W27" s="1503">
        <f>J27</f>
        <v>100</v>
      </c>
      <c r="X27" s="1504"/>
      <c r="Y27" s="3536"/>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3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3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36"/>
      <c r="Q29" s="1506">
        <f t="shared" si="11"/>
        <v>111</v>
      </c>
      <c r="R29" s="1507" t="s">
        <v>8</v>
      </c>
      <c r="S29" s="1508">
        <f t="shared" si="12"/>
        <v>100</v>
      </c>
      <c r="T29" s="1507" t="s">
        <v>8</v>
      </c>
      <c r="U29" s="1508">
        <f t="shared" si="13"/>
        <v>100</v>
      </c>
      <c r="V29" s="1507" t="s">
        <v>8</v>
      </c>
      <c r="W29" s="1508">
        <f t="shared" si="14"/>
        <v>100</v>
      </c>
      <c r="X29" s="1501"/>
      <c r="Y29" s="353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36"/>
      <c r="Q30" s="1506">
        <f t="shared" si="11"/>
        <v>111</v>
      </c>
      <c r="R30" s="1507" t="s">
        <v>8</v>
      </c>
      <c r="S30" s="1508">
        <f t="shared" si="12"/>
        <v>100</v>
      </c>
      <c r="T30" s="1507" t="s">
        <v>8</v>
      </c>
      <c r="U30" s="1508">
        <f t="shared" si="13"/>
        <v>100</v>
      </c>
      <c r="V30" s="1507" t="s">
        <v>8</v>
      </c>
      <c r="W30" s="1508">
        <f t="shared" si="14"/>
        <v>100</v>
      </c>
      <c r="X30" s="1501"/>
      <c r="Y30" s="353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36"/>
      <c r="Q31" s="1506">
        <f t="shared" si="11"/>
        <v>111</v>
      </c>
      <c r="R31" s="1507" t="s">
        <v>8</v>
      </c>
      <c r="S31" s="1508">
        <f t="shared" si="12"/>
        <v>100</v>
      </c>
      <c r="T31" s="1507" t="s">
        <v>8</v>
      </c>
      <c r="U31" s="1508">
        <f t="shared" si="13"/>
        <v>100</v>
      </c>
      <c r="V31" s="1507" t="s">
        <v>8</v>
      </c>
      <c r="W31" s="1508">
        <f t="shared" si="14"/>
        <v>100</v>
      </c>
      <c r="X31" s="1501"/>
      <c r="Y31" s="3536"/>
      <c r="Z31" s="1509">
        <f t="shared" si="15"/>
        <v>111</v>
      </c>
      <c r="AA31" s="1510">
        <f t="shared" si="3"/>
        <v>1</v>
      </c>
      <c r="AB31" s="1510">
        <f t="shared" si="4"/>
        <v>1</v>
      </c>
      <c r="AC31" s="1510">
        <f t="shared" si="5"/>
        <v>1</v>
      </c>
    </row>
    <row r="32" spans="1:29" ht="15">
      <c r="A32" s="2624" t="s">
        <v>2733</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37" t="s">
        <v>544</v>
      </c>
      <c r="Q32" s="1506" t="str">
        <f t="shared" si="11"/>
        <v>商业类型</v>
      </c>
      <c r="R32" s="1507" t="s">
        <v>8</v>
      </c>
      <c r="S32" s="1508">
        <f t="shared" si="12"/>
        <v>100</v>
      </c>
      <c r="T32" s="1507" t="s">
        <v>8</v>
      </c>
      <c r="U32" s="1508">
        <f t="shared" si="13"/>
        <v>100</v>
      </c>
      <c r="V32" s="1507" t="s">
        <v>8</v>
      </c>
      <c r="W32" s="1508">
        <f t="shared" si="14"/>
        <v>100</v>
      </c>
      <c r="X32" s="1501"/>
      <c r="Y32" s="3538"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38"/>
      <c r="Q33" s="1535" t="str">
        <f t="shared" si="11"/>
        <v>项目建筑规模</v>
      </c>
      <c r="R33" s="1511" t="s">
        <v>8</v>
      </c>
      <c r="S33" s="1512" t="e">
        <f t="shared" si="12"/>
        <v>#N/A</v>
      </c>
      <c r="T33" s="1511" t="s">
        <v>8</v>
      </c>
      <c r="U33" s="1512" t="e">
        <f t="shared" si="13"/>
        <v>#N/A</v>
      </c>
      <c r="V33" s="1511" t="s">
        <v>8</v>
      </c>
      <c r="W33" s="1512" t="e">
        <f t="shared" si="14"/>
        <v>#N/A</v>
      </c>
      <c r="X33" s="1513"/>
      <c r="Y33" s="3538"/>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38"/>
      <c r="Q34" s="1506" t="str">
        <f t="shared" si="11"/>
        <v>建筑结构</v>
      </c>
      <c r="R34" s="1507" t="s">
        <v>8</v>
      </c>
      <c r="S34" s="1508">
        <f t="shared" si="12"/>
        <v>100</v>
      </c>
      <c r="T34" s="1507" t="s">
        <v>8</v>
      </c>
      <c r="U34" s="1508">
        <f t="shared" si="13"/>
        <v>100</v>
      </c>
      <c r="V34" s="1507" t="s">
        <v>8</v>
      </c>
      <c r="W34" s="1508">
        <f t="shared" si="14"/>
        <v>100</v>
      </c>
      <c r="X34" s="1501"/>
      <c r="Y34" s="353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38"/>
      <c r="Q35" s="1506" t="str">
        <f t="shared" si="11"/>
        <v>公共部分装修</v>
      </c>
      <c r="R35" s="1507" t="s">
        <v>8</v>
      </c>
      <c r="S35" s="1508">
        <f t="shared" si="12"/>
        <v>100</v>
      </c>
      <c r="T35" s="1507" t="s">
        <v>8</v>
      </c>
      <c r="U35" s="1508">
        <f t="shared" si="13"/>
        <v>100</v>
      </c>
      <c r="V35" s="1507" t="s">
        <v>8</v>
      </c>
      <c r="W35" s="1508">
        <f t="shared" si="14"/>
        <v>100</v>
      </c>
      <c r="X35" s="1501"/>
      <c r="Y35" s="3538"/>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38"/>
      <c r="Q36" s="1506" t="str">
        <f t="shared" si="11"/>
        <v>成新度</v>
      </c>
      <c r="R36" s="1507" t="s">
        <v>8</v>
      </c>
      <c r="S36" s="1508" t="e">
        <f t="shared" si="12"/>
        <v>#N/A</v>
      </c>
      <c r="T36" s="1507" t="s">
        <v>8</v>
      </c>
      <c r="U36" s="1508" t="e">
        <f t="shared" si="13"/>
        <v>#N/A</v>
      </c>
      <c r="V36" s="1507" t="s">
        <v>8</v>
      </c>
      <c r="W36" s="1508" t="e">
        <f t="shared" si="14"/>
        <v>#N/A</v>
      </c>
      <c r="X36" s="1501"/>
      <c r="Y36" s="3538"/>
      <c r="Z36" s="1509" t="str">
        <f t="shared" si="15"/>
        <v>成新度</v>
      </c>
      <c r="AA36" s="1510" t="e">
        <f t="shared" si="3"/>
        <v>#N/A</v>
      </c>
      <c r="AB36" s="1510" t="e">
        <f t="shared" si="4"/>
        <v>#N/A</v>
      </c>
      <c r="AC36" s="1510" t="e">
        <f t="shared" si="5"/>
        <v>#N/A</v>
      </c>
    </row>
    <row r="37" spans="1:29" s="1203"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38"/>
      <c r="Q37" s="1134" t="str">
        <f t="shared" si="11"/>
        <v>市政基础设施</v>
      </c>
      <c r="R37" s="1502" t="s">
        <v>8</v>
      </c>
      <c r="S37" s="1503">
        <f t="shared" si="12"/>
        <v>100</v>
      </c>
      <c r="T37" s="1502" t="s">
        <v>8</v>
      </c>
      <c r="U37" s="1503">
        <f t="shared" si="13"/>
        <v>100</v>
      </c>
      <c r="V37" s="1502" t="s">
        <v>8</v>
      </c>
      <c r="W37" s="1503">
        <f t="shared" si="14"/>
        <v>100</v>
      </c>
      <c r="X37" s="1504"/>
      <c r="Y37" s="3538"/>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38" t="s">
        <v>760</v>
      </c>
      <c r="Q38" s="1506" t="str">
        <f t="shared" si="11"/>
        <v>业态</v>
      </c>
      <c r="R38" s="1507" t="s">
        <v>8</v>
      </c>
      <c r="S38" s="1508">
        <f t="shared" si="12"/>
        <v>100</v>
      </c>
      <c r="T38" s="1507" t="s">
        <v>8</v>
      </c>
      <c r="U38" s="1508">
        <f t="shared" si="13"/>
        <v>100</v>
      </c>
      <c r="V38" s="1507" t="s">
        <v>8</v>
      </c>
      <c r="W38" s="1508">
        <f t="shared" si="14"/>
        <v>100</v>
      </c>
      <c r="X38" s="1501"/>
      <c r="Y38" s="353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38"/>
      <c r="Q39" s="1506" t="str">
        <f t="shared" si="11"/>
        <v>层高</v>
      </c>
      <c r="R39" s="1507" t="s">
        <v>8</v>
      </c>
      <c r="S39" s="1508">
        <f t="shared" si="12"/>
        <v>100</v>
      </c>
      <c r="T39" s="1507" t="s">
        <v>8</v>
      </c>
      <c r="U39" s="1508">
        <f t="shared" si="13"/>
        <v>100</v>
      </c>
      <c r="V39" s="1507" t="s">
        <v>8</v>
      </c>
      <c r="W39" s="1508">
        <f t="shared" si="14"/>
        <v>100</v>
      </c>
      <c r="X39" s="1501"/>
      <c r="Y39" s="3538"/>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38"/>
      <c r="Q40" s="1506" t="str">
        <f t="shared" si="11"/>
        <v>单套建筑面积</v>
      </c>
      <c r="R40" s="1507" t="s">
        <v>8</v>
      </c>
      <c r="S40" s="1508">
        <f t="shared" si="12"/>
        <v>100</v>
      </c>
      <c r="T40" s="1507" t="s">
        <v>8</v>
      </c>
      <c r="U40" s="1508">
        <f t="shared" si="13"/>
        <v>100</v>
      </c>
      <c r="V40" s="1507" t="s">
        <v>8</v>
      </c>
      <c r="W40" s="1508">
        <f t="shared" si="14"/>
        <v>100</v>
      </c>
      <c r="X40" s="1501"/>
      <c r="Y40" s="3538"/>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38"/>
      <c r="Q41" s="1535" t="str">
        <f t="shared" si="11"/>
        <v>进深比</v>
      </c>
      <c r="R41" s="1511" t="s">
        <v>8</v>
      </c>
      <c r="S41" s="1512">
        <f t="shared" si="12"/>
        <v>100</v>
      </c>
      <c r="T41" s="1511" t="s">
        <v>8</v>
      </c>
      <c r="U41" s="1512">
        <f t="shared" si="13"/>
        <v>100</v>
      </c>
      <c r="V41" s="1511" t="s">
        <v>8</v>
      </c>
      <c r="W41" s="1512">
        <f t="shared" si="14"/>
        <v>100</v>
      </c>
      <c r="X41" s="1513"/>
      <c r="Y41" s="353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38"/>
      <c r="Q42" s="1506" t="str">
        <f t="shared" si="11"/>
        <v>内部装修</v>
      </c>
      <c r="R42" s="1507" t="s">
        <v>8</v>
      </c>
      <c r="S42" s="1508">
        <f t="shared" si="12"/>
        <v>100</v>
      </c>
      <c r="T42" s="1507" t="s">
        <v>8</v>
      </c>
      <c r="U42" s="1508">
        <f t="shared" si="13"/>
        <v>100</v>
      </c>
      <c r="V42" s="1507" t="s">
        <v>8</v>
      </c>
      <c r="W42" s="1508">
        <f t="shared" si="14"/>
        <v>100</v>
      </c>
      <c r="X42" s="1501"/>
      <c r="Y42" s="353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38"/>
      <c r="Q43" s="1506" t="str">
        <f t="shared" si="11"/>
        <v>内部装修维护情况</v>
      </c>
      <c r="R43" s="1507" t="s">
        <v>8</v>
      </c>
      <c r="S43" s="1508">
        <f t="shared" si="12"/>
        <v>100</v>
      </c>
      <c r="T43" s="1507" t="s">
        <v>8</v>
      </c>
      <c r="U43" s="1508">
        <f t="shared" si="13"/>
        <v>100</v>
      </c>
      <c r="V43" s="1507" t="s">
        <v>8</v>
      </c>
      <c r="W43" s="1508">
        <f t="shared" si="14"/>
        <v>100</v>
      </c>
      <c r="X43" s="1501"/>
      <c r="Y43" s="3538"/>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38"/>
      <c r="Q44" s="1134">
        <f t="shared" si="11"/>
        <v>111</v>
      </c>
      <c r="R44" s="1502" t="s">
        <v>8</v>
      </c>
      <c r="S44" s="1503">
        <f t="shared" si="12"/>
        <v>100</v>
      </c>
      <c r="T44" s="1502" t="s">
        <v>8</v>
      </c>
      <c r="U44" s="1503">
        <f t="shared" si="13"/>
        <v>100</v>
      </c>
      <c r="V44" s="1502" t="s">
        <v>8</v>
      </c>
      <c r="W44" s="1503">
        <f t="shared" si="14"/>
        <v>100</v>
      </c>
      <c r="X44" s="1504"/>
      <c r="Y44" s="3538"/>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38"/>
      <c r="Q45" s="1506">
        <f t="shared" si="11"/>
        <v>111</v>
      </c>
      <c r="R45" s="1507" t="s">
        <v>8</v>
      </c>
      <c r="S45" s="1508">
        <f t="shared" si="12"/>
        <v>100</v>
      </c>
      <c r="T45" s="1507" t="s">
        <v>8</v>
      </c>
      <c r="U45" s="1508">
        <f t="shared" si="13"/>
        <v>100</v>
      </c>
      <c r="V45" s="1507" t="s">
        <v>8</v>
      </c>
      <c r="W45" s="1508">
        <f t="shared" si="14"/>
        <v>100</v>
      </c>
      <c r="X45" s="1501"/>
      <c r="Y45" s="3538"/>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38"/>
      <c r="Q46" s="1506">
        <f t="shared" si="11"/>
        <v>111</v>
      </c>
      <c r="R46" s="1507" t="s">
        <v>8</v>
      </c>
      <c r="S46" s="1508">
        <f t="shared" si="12"/>
        <v>100</v>
      </c>
      <c r="T46" s="1507" t="s">
        <v>8</v>
      </c>
      <c r="U46" s="1508">
        <f t="shared" si="13"/>
        <v>100</v>
      </c>
      <c r="V46" s="1507" t="s">
        <v>8</v>
      </c>
      <c r="W46" s="1508">
        <f t="shared" si="14"/>
        <v>100</v>
      </c>
      <c r="X46" s="1501"/>
      <c r="Y46" s="3638"/>
      <c r="Z46" s="1509">
        <f t="shared" si="15"/>
        <v>111</v>
      </c>
      <c r="AA46" s="1510">
        <f t="shared" si="3"/>
        <v>1</v>
      </c>
      <c r="AB46" s="1510">
        <f t="shared" si="4"/>
        <v>1</v>
      </c>
      <c r="AC46" s="1510">
        <f t="shared" si="5"/>
        <v>1</v>
      </c>
    </row>
    <row r="47" spans="1:29" ht="15">
      <c r="A47" s="601" t="s">
        <v>730</v>
      </c>
      <c r="B47" s="876"/>
      <c r="C47" s="2470" t="s">
        <v>1</v>
      </c>
      <c r="D47" s="2471"/>
      <c r="E47" s="2472"/>
      <c r="F47" s="2473"/>
      <c r="G47" s="2474"/>
      <c r="H47" s="2475"/>
      <c r="I47" s="2472"/>
      <c r="J47" s="2475"/>
      <c r="K47" s="1540"/>
      <c r="L47" s="2026"/>
      <c r="M47" s="2027"/>
      <c r="N47" s="2016"/>
      <c r="O47" s="2027"/>
      <c r="P47" s="3533" t="str">
        <f>A47</f>
        <v>成交单价（元/平方米）</v>
      </c>
      <c r="Q47" s="3533"/>
      <c r="R47" s="3637">
        <f>E47</f>
        <v>0</v>
      </c>
      <c r="S47" s="3637"/>
      <c r="T47" s="3637">
        <f>G47</f>
        <v>0</v>
      </c>
      <c r="U47" s="3637"/>
      <c r="V47" s="3637">
        <f>I47</f>
        <v>0</v>
      </c>
      <c r="W47" s="3637"/>
      <c r="X47" s="1496"/>
      <c r="Y47" s="1515"/>
      <c r="Z47" s="1496"/>
      <c r="AA47" s="1496"/>
      <c r="AB47" s="1496"/>
      <c r="AC47" s="1496"/>
    </row>
    <row r="48" spans="1:29" ht="15.75" thickBot="1">
      <c r="A48" s="609" t="s">
        <v>2738</v>
      </c>
      <c r="B48" s="877"/>
      <c r="C48" s="2476" t="e">
        <f>R49</f>
        <v>#DIV/0!</v>
      </c>
      <c r="D48" s="3014" t="s">
        <v>2965</v>
      </c>
      <c r="E48" s="2477" t="e">
        <f>R48</f>
        <v>#DIV/0!</v>
      </c>
      <c r="F48" s="3015"/>
      <c r="G48" s="2476" t="e">
        <f>T48</f>
        <v>#DIV/0!</v>
      </c>
      <c r="H48" s="3015"/>
      <c r="I48" s="2477" t="e">
        <f>V48</f>
        <v>#DIV/0!</v>
      </c>
      <c r="J48" s="3015"/>
      <c r="K48" s="3023">
        <f>F48+H48+J48</f>
        <v>0</v>
      </c>
      <c r="L48" s="2026"/>
      <c r="M48" s="2027"/>
      <c r="N48" s="2016"/>
      <c r="O48" s="2027"/>
      <c r="P48" s="3533" t="str">
        <f>A48</f>
        <v>比较价格（元/平方米）</v>
      </c>
      <c r="Q48" s="3533"/>
      <c r="R48" s="3637" t="e">
        <f>IF(F1="售价",ROUND(PRODUCT(R47,AA7:AA46),0),ROUND(PRODUCT(R47,AA7:AA46),1))</f>
        <v>#DIV/0!</v>
      </c>
      <c r="S48" s="3637"/>
      <c r="T48" s="3637" t="e">
        <f>IF(F1="售价",ROUND(PRODUCT(T47,AB7:AB46),0),ROUND(PRODUCT(T47,AB7:AB46),1))</f>
        <v>#DIV/0!</v>
      </c>
      <c r="U48" s="3637"/>
      <c r="V48" s="3637" t="e">
        <f>IF(F1="售价",ROUND(PRODUCT(V47,AC7:AC46),0),ROUND(PRODUCT(V47,AC7:AC46),1))</f>
        <v>#DIV/0!</v>
      </c>
      <c r="W48" s="3637"/>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55" t="str">
        <f>A49</f>
        <v>估价对象XX用房的比较价格（楼面单价，元/平方米）</v>
      </c>
      <c r="Q49" s="3556"/>
      <c r="R49" s="3636" t="e">
        <f>IF(F1="售价",ROUND(IF(D48="简单平均",AVERAGE(R48:V48),R48*F48+T48*H48+V48*J48),0),ROUND(IF(D48="简单平均",AVERAGE(R48:V48),R48*F48+T48*H48+V48*J48),1))</f>
        <v>#DIV/0!</v>
      </c>
      <c r="S49" s="3636"/>
      <c r="T49" s="3636"/>
      <c r="U49" s="3636"/>
      <c r="V49" s="3636"/>
      <c r="W49" s="3636"/>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2020-10</v>
      </c>
      <c r="D58" s="2521">
        <f>EDATE(C58,-1)</f>
        <v>44075</v>
      </c>
      <c r="E58" s="2521">
        <f t="shared" ref="E58:O58" si="16">EDATE(D58,-1)</f>
        <v>44044</v>
      </c>
      <c r="F58" s="2521">
        <f t="shared" si="16"/>
        <v>44013</v>
      </c>
      <c r="G58" s="2521">
        <f t="shared" si="16"/>
        <v>43983</v>
      </c>
      <c r="H58" s="2521">
        <f t="shared" si="16"/>
        <v>43952</v>
      </c>
      <c r="I58" s="2521">
        <f t="shared" si="16"/>
        <v>43922</v>
      </c>
      <c r="J58" s="2521">
        <f t="shared" si="16"/>
        <v>43891</v>
      </c>
      <c r="K58" s="2521">
        <f t="shared" si="16"/>
        <v>43862</v>
      </c>
      <c r="L58" s="2521">
        <f t="shared" si="16"/>
        <v>43831</v>
      </c>
      <c r="M58" s="2521">
        <f t="shared" si="16"/>
        <v>43800</v>
      </c>
      <c r="N58" s="2521">
        <f t="shared" si="16"/>
        <v>43770</v>
      </c>
      <c r="O58" s="2521">
        <f t="shared" si="16"/>
        <v>43739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39" t="s">
        <v>516</v>
      </c>
      <c r="D4" s="3540"/>
      <c r="E4" s="3565" t="s">
        <v>517</v>
      </c>
      <c r="F4" s="3566"/>
      <c r="G4" s="3539" t="s">
        <v>518</v>
      </c>
      <c r="H4" s="3540"/>
      <c r="I4" s="3539" t="s">
        <v>519</v>
      </c>
      <c r="J4" s="3540"/>
      <c r="K4" s="508" t="s">
        <v>520</v>
      </c>
      <c r="L4" s="2015"/>
      <c r="M4" s="2016"/>
      <c r="N4" s="2016"/>
      <c r="O4" s="2016"/>
      <c r="P4" s="3639" t="s">
        <v>521</v>
      </c>
      <c r="Q4" s="3542"/>
      <c r="R4" s="3527" t="s">
        <v>517</v>
      </c>
      <c r="S4" s="3528"/>
      <c r="T4" s="3527" t="s">
        <v>518</v>
      </c>
      <c r="U4" s="3528"/>
      <c r="V4" s="3547" t="s">
        <v>519</v>
      </c>
      <c r="W4" s="3547"/>
      <c r="X4" s="1501"/>
      <c r="Y4" s="3527" t="s">
        <v>521</v>
      </c>
      <c r="Z4" s="3528"/>
      <c r="AA4" s="3522" t="s">
        <v>517</v>
      </c>
      <c r="AB4" s="3522" t="s">
        <v>518</v>
      </c>
      <c r="AC4" s="3522" t="s">
        <v>519</v>
      </c>
    </row>
    <row r="5" spans="1:29" ht="15">
      <c r="A5" s="509"/>
      <c r="B5" s="510"/>
      <c r="C5" s="3552" t="s">
        <v>2891</v>
      </c>
      <c r="D5" s="3551"/>
      <c r="E5" s="3567" t="s">
        <v>2892</v>
      </c>
      <c r="F5" s="3568"/>
      <c r="G5" s="3552" t="s">
        <v>2893</v>
      </c>
      <c r="H5" s="3551"/>
      <c r="I5" s="3552" t="s">
        <v>2894</v>
      </c>
      <c r="J5" s="3551"/>
      <c r="K5" s="508"/>
      <c r="L5" s="2015"/>
      <c r="M5" s="2016"/>
      <c r="N5" s="2016"/>
      <c r="O5" s="2016"/>
      <c r="P5" s="3640"/>
      <c r="Q5" s="3544"/>
      <c r="R5" s="3529"/>
      <c r="S5" s="3530"/>
      <c r="T5" s="3529"/>
      <c r="U5" s="3530"/>
      <c r="V5" s="3547"/>
      <c r="W5" s="3547"/>
      <c r="X5" s="1501"/>
      <c r="Y5" s="3529"/>
      <c r="Z5" s="3530"/>
      <c r="AA5" s="3523"/>
      <c r="AB5" s="3523"/>
      <c r="AC5" s="3523"/>
    </row>
    <row r="6" spans="1:29" ht="15.75" thickBot="1">
      <c r="A6" s="511"/>
      <c r="B6" s="512"/>
      <c r="C6" s="3548" t="s">
        <v>2895</v>
      </c>
      <c r="D6" s="3549"/>
      <c r="E6" s="3569" t="s">
        <v>2895</v>
      </c>
      <c r="F6" s="3570"/>
      <c r="G6" s="3548" t="s">
        <v>2895</v>
      </c>
      <c r="H6" s="3549"/>
      <c r="I6" s="3548" t="s">
        <v>2895</v>
      </c>
      <c r="J6" s="3549"/>
      <c r="K6" s="508" t="s">
        <v>522</v>
      </c>
      <c r="L6" s="2015"/>
      <c r="M6" s="2016"/>
      <c r="N6" s="2016"/>
      <c r="O6" s="2016"/>
      <c r="P6" s="3641"/>
      <c r="Q6" s="3546"/>
      <c r="R6" s="3529"/>
      <c r="S6" s="3530"/>
      <c r="T6" s="3531"/>
      <c r="U6" s="3532"/>
      <c r="V6" s="3547"/>
      <c r="W6" s="3547"/>
      <c r="X6" s="1501"/>
      <c r="Y6" s="3531"/>
      <c r="Z6" s="3532"/>
      <c r="AA6" s="3524"/>
      <c r="AB6" s="3524"/>
      <c r="AC6" s="3524"/>
    </row>
    <row r="7" spans="1:29" s="1203" customFormat="1" ht="15.75" thickBot="1">
      <c r="A7" s="2629"/>
      <c r="B7" s="2636" t="s">
        <v>523</v>
      </c>
      <c r="C7" s="513">
        <f>'数据-取费表'!B2</f>
        <v>44127</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34" t="s">
        <v>524</v>
      </c>
      <c r="Q7" s="3534"/>
      <c r="R7" s="1502" t="s">
        <v>8</v>
      </c>
      <c r="S7" s="1503">
        <f t="shared" ref="S7:S15" si="0">F7</f>
        <v>0</v>
      </c>
      <c r="T7" s="1502" t="s">
        <v>8</v>
      </c>
      <c r="U7" s="1503">
        <f t="shared" ref="U7:U15" si="1">H7</f>
        <v>0</v>
      </c>
      <c r="V7" s="1502" t="s">
        <v>8</v>
      </c>
      <c r="W7" s="1503">
        <f t="shared" ref="W7:W15" si="2">J7</f>
        <v>0</v>
      </c>
      <c r="X7" s="1504"/>
      <c r="Y7" s="3525" t="s">
        <v>524</v>
      </c>
      <c r="Z7" s="3526"/>
      <c r="AA7" s="1505" t="e">
        <f>D7/F7</f>
        <v>#DIV/0!</v>
      </c>
      <c r="AB7" s="1505" t="e">
        <f>D7/H7</f>
        <v>#DIV/0!</v>
      </c>
      <c r="AC7" s="1505"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34" t="s">
        <v>527</v>
      </c>
      <c r="Q8" s="3526"/>
      <c r="R8" s="1502" t="s">
        <v>8</v>
      </c>
      <c r="S8" s="1503">
        <f t="shared" si="0"/>
        <v>0</v>
      </c>
      <c r="T8" s="1502" t="s">
        <v>8</v>
      </c>
      <c r="U8" s="1503">
        <f t="shared" si="1"/>
        <v>0</v>
      </c>
      <c r="V8" s="1502" t="s">
        <v>8</v>
      </c>
      <c r="W8" s="1503">
        <f t="shared" si="2"/>
        <v>0</v>
      </c>
      <c r="X8" s="1504"/>
      <c r="Y8" s="3525" t="s">
        <v>527</v>
      </c>
      <c r="Z8" s="3526"/>
      <c r="AA8" s="1505" t="e">
        <f t="shared" ref="AA8:AA47" si="3">D8/F8</f>
        <v>#DIV/0!</v>
      </c>
      <c r="AB8" s="1505" t="e">
        <f t="shared" ref="AB8:AB47" si="4">D8/H8</f>
        <v>#DIV/0!</v>
      </c>
      <c r="AC8" s="1505" t="e">
        <f t="shared" ref="AC8:AC47" si="5">D8/J8</f>
        <v>#DIV/0!</v>
      </c>
    </row>
    <row r="9" spans="1:29" s="1203" customFormat="1" ht="15">
      <c r="A9" s="2631"/>
      <c r="B9" s="2638" t="s">
        <v>2734</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33" t="s">
        <v>529</v>
      </c>
      <c r="Q9" s="1134" t="str">
        <f t="shared" ref="Q9:Q15" si="6">B9</f>
        <v>用途</v>
      </c>
      <c r="R9" s="1502" t="s">
        <v>8</v>
      </c>
      <c r="S9" s="1503">
        <f t="shared" si="0"/>
        <v>100</v>
      </c>
      <c r="T9" s="1502" t="s">
        <v>8</v>
      </c>
      <c r="U9" s="1503">
        <f t="shared" si="1"/>
        <v>100</v>
      </c>
      <c r="V9" s="1502" t="s">
        <v>8</v>
      </c>
      <c r="W9" s="1503">
        <f t="shared" si="2"/>
        <v>100</v>
      </c>
      <c r="X9" s="1504"/>
      <c r="Y9" s="3484" t="s">
        <v>530</v>
      </c>
      <c r="Z9" s="1133" t="str">
        <f t="shared" ref="Z9:Z15" si="7">Q9</f>
        <v>用途</v>
      </c>
      <c r="AA9" s="1505">
        <f t="shared" si="3"/>
        <v>1</v>
      </c>
      <c r="AB9" s="1505">
        <f t="shared" si="4"/>
        <v>1</v>
      </c>
      <c r="AC9" s="1505">
        <f t="shared" si="5"/>
        <v>1</v>
      </c>
    </row>
    <row r="10" spans="1:29" s="1292" customFormat="1" ht="27">
      <c r="A10" s="2632"/>
      <c r="B10" s="2637" t="s">
        <v>2735</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33"/>
      <c r="Q10" s="1134" t="str">
        <f t="shared" si="6"/>
        <v>土地使用年限（年）</v>
      </c>
      <c r="R10" s="1502" t="s">
        <v>8</v>
      </c>
      <c r="S10" s="1503">
        <f t="shared" si="0"/>
        <v>100</v>
      </c>
      <c r="T10" s="1502" t="s">
        <v>8</v>
      </c>
      <c r="U10" s="1503">
        <f t="shared" si="1"/>
        <v>100</v>
      </c>
      <c r="V10" s="1502" t="s">
        <v>8</v>
      </c>
      <c r="W10" s="1503">
        <f t="shared" si="2"/>
        <v>100</v>
      </c>
      <c r="X10" s="1504"/>
      <c r="Y10" s="3484"/>
      <c r="Z10" s="1133" t="str">
        <f t="shared" si="7"/>
        <v>土地使用年限（年）</v>
      </c>
      <c r="AA10" s="1505">
        <f t="shared" si="3"/>
        <v>1</v>
      </c>
      <c r="AB10" s="1505">
        <f t="shared" si="4"/>
        <v>1</v>
      </c>
      <c r="AC10" s="1505">
        <f t="shared" si="5"/>
        <v>1</v>
      </c>
    </row>
    <row r="11" spans="1:29" ht="15">
      <c r="A11" s="2633"/>
      <c r="B11" s="2637" t="s">
        <v>2736</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33"/>
      <c r="Q11" s="1134" t="str">
        <f t="shared" si="6"/>
        <v>容积率</v>
      </c>
      <c r="R11" s="1502" t="s">
        <v>8</v>
      </c>
      <c r="S11" s="1503" t="e">
        <f t="shared" si="0"/>
        <v>#N/A</v>
      </c>
      <c r="T11" s="1502" t="s">
        <v>8</v>
      </c>
      <c r="U11" s="1503" t="e">
        <f t="shared" si="1"/>
        <v>#N/A</v>
      </c>
      <c r="V11" s="1502" t="s">
        <v>8</v>
      </c>
      <c r="W11" s="1503" t="e">
        <f t="shared" si="2"/>
        <v>#N/A</v>
      </c>
      <c r="X11" s="1504"/>
      <c r="Y11" s="3484"/>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33"/>
      <c r="Q12" s="1134">
        <f t="shared" si="6"/>
        <v>111</v>
      </c>
      <c r="R12" s="1502" t="s">
        <v>8</v>
      </c>
      <c r="S12" s="1503">
        <f t="shared" si="0"/>
        <v>100</v>
      </c>
      <c r="T12" s="1502" t="s">
        <v>8</v>
      </c>
      <c r="U12" s="1503">
        <f t="shared" si="1"/>
        <v>100</v>
      </c>
      <c r="V12" s="1502" t="s">
        <v>8</v>
      </c>
      <c r="W12" s="1503">
        <f t="shared" si="2"/>
        <v>100</v>
      </c>
      <c r="X12" s="1504"/>
      <c r="Y12" s="3484"/>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33"/>
      <c r="Q13" s="1134">
        <f t="shared" si="6"/>
        <v>111</v>
      </c>
      <c r="R13" s="1502" t="s">
        <v>8</v>
      </c>
      <c r="S13" s="1503">
        <f t="shared" si="0"/>
        <v>100</v>
      </c>
      <c r="T13" s="1502" t="s">
        <v>8</v>
      </c>
      <c r="U13" s="1503">
        <f t="shared" si="1"/>
        <v>100</v>
      </c>
      <c r="V13" s="1502" t="s">
        <v>8</v>
      </c>
      <c r="W13" s="1503">
        <f t="shared" si="2"/>
        <v>100</v>
      </c>
      <c r="X13" s="1504"/>
      <c r="Y13" s="3484"/>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33"/>
      <c r="Q14" s="1134">
        <f t="shared" si="6"/>
        <v>111</v>
      </c>
      <c r="R14" s="1502" t="s">
        <v>8</v>
      </c>
      <c r="S14" s="1503">
        <f t="shared" si="0"/>
        <v>100</v>
      </c>
      <c r="T14" s="1502" t="s">
        <v>8</v>
      </c>
      <c r="U14" s="1503">
        <f t="shared" si="1"/>
        <v>100</v>
      </c>
      <c r="V14" s="1502" t="s">
        <v>8</v>
      </c>
      <c r="W14" s="1503">
        <f t="shared" si="2"/>
        <v>100</v>
      </c>
      <c r="X14" s="1504"/>
      <c r="Y14" s="3484"/>
      <c r="Z14" s="1133">
        <f t="shared" si="7"/>
        <v>111</v>
      </c>
      <c r="AA14" s="1505">
        <f t="shared" si="3"/>
        <v>1</v>
      </c>
      <c r="AB14" s="1505">
        <f t="shared" si="4"/>
        <v>1</v>
      </c>
      <c r="AC14" s="1505">
        <f t="shared" si="5"/>
        <v>1</v>
      </c>
    </row>
    <row r="15" spans="1:29" ht="71.25">
      <c r="A15" s="2627" t="s">
        <v>2732</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35" t="s">
        <v>534</v>
      </c>
      <c r="Q15" s="1506" t="str">
        <f t="shared" si="6"/>
        <v>办公集聚程度</v>
      </c>
      <c r="R15" s="1507" t="s">
        <v>8</v>
      </c>
      <c r="S15" s="1508">
        <f t="shared" si="0"/>
        <v>100</v>
      </c>
      <c r="T15" s="1507" t="s">
        <v>8</v>
      </c>
      <c r="U15" s="1508">
        <f t="shared" si="1"/>
        <v>100</v>
      </c>
      <c r="V15" s="1507" t="s">
        <v>8</v>
      </c>
      <c r="W15" s="1508">
        <f t="shared" si="2"/>
        <v>100</v>
      </c>
      <c r="X15" s="1501"/>
      <c r="Y15" s="353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536"/>
      <c r="Q16" s="1506"/>
      <c r="R16" s="1507"/>
      <c r="S16" s="1508"/>
      <c r="T16" s="1507"/>
      <c r="U16" s="1508"/>
      <c r="V16" s="1507"/>
      <c r="W16" s="1508"/>
      <c r="X16" s="1501"/>
      <c r="Y16" s="3536"/>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36"/>
      <c r="Q17" s="1506" t="str">
        <f>B17</f>
        <v>交通便捷度</v>
      </c>
      <c r="R17" s="1507" t="s">
        <v>8</v>
      </c>
      <c r="S17" s="1508">
        <f>F17</f>
        <v>100</v>
      </c>
      <c r="T17" s="1507" t="s">
        <v>8</v>
      </c>
      <c r="U17" s="1508">
        <f>H17</f>
        <v>100</v>
      </c>
      <c r="V17" s="1507" t="s">
        <v>8</v>
      </c>
      <c r="W17" s="1508">
        <f>J17</f>
        <v>100</v>
      </c>
      <c r="X17" s="1501"/>
      <c r="Y17" s="353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536"/>
      <c r="Q18" s="1506"/>
      <c r="R18" s="1507"/>
      <c r="S18" s="1508"/>
      <c r="T18" s="1507"/>
      <c r="U18" s="1508"/>
      <c r="V18" s="1507"/>
      <c r="W18" s="1508"/>
      <c r="X18" s="1501"/>
      <c r="Y18" s="3536"/>
      <c r="Z18" s="1509"/>
      <c r="AA18" s="1510">
        <v>1</v>
      </c>
      <c r="AB18" s="1510">
        <v>1</v>
      </c>
      <c r="AC18" s="1510">
        <v>1</v>
      </c>
    </row>
    <row r="19" spans="1:29" ht="42.75">
      <c r="A19" s="526"/>
      <c r="B19" s="2447"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36"/>
      <c r="Q19" s="1506" t="str">
        <f>B19</f>
        <v>公共配套设施</v>
      </c>
      <c r="R19" s="1507" t="s">
        <v>8</v>
      </c>
      <c r="S19" s="1508">
        <f>F19</f>
        <v>100</v>
      </c>
      <c r="T19" s="1507" t="s">
        <v>8</v>
      </c>
      <c r="U19" s="1508">
        <f>H19</f>
        <v>100</v>
      </c>
      <c r="V19" s="1507" t="s">
        <v>8</v>
      </c>
      <c r="W19" s="1508">
        <f>J19</f>
        <v>100</v>
      </c>
      <c r="X19" s="1501"/>
      <c r="Y19" s="353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536"/>
      <c r="Q20" s="1506"/>
      <c r="R20" s="1507"/>
      <c r="S20" s="1508"/>
      <c r="T20" s="1507"/>
      <c r="U20" s="1508"/>
      <c r="V20" s="1507"/>
      <c r="W20" s="1508"/>
      <c r="X20" s="1501"/>
      <c r="Y20" s="3536"/>
      <c r="Z20" s="1509"/>
      <c r="AA20" s="1510">
        <v>1</v>
      </c>
      <c r="AB20" s="1510">
        <v>1</v>
      </c>
      <c r="AC20" s="1510">
        <v>1</v>
      </c>
    </row>
    <row r="21" spans="1:29" ht="28.5">
      <c r="A21" s="526"/>
      <c r="B21" s="2435"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36"/>
      <c r="Q21" s="2429" t="str">
        <f>B21</f>
        <v>基础设施水平</v>
      </c>
      <c r="R21" s="1507" t="s">
        <v>8</v>
      </c>
      <c r="S21" s="1508">
        <f>F21</f>
        <v>100</v>
      </c>
      <c r="T21" s="1507" t="s">
        <v>8</v>
      </c>
      <c r="U21" s="1508">
        <f>H21</f>
        <v>100</v>
      </c>
      <c r="V21" s="1507" t="s">
        <v>8</v>
      </c>
      <c r="W21" s="1508">
        <f>J21</f>
        <v>100</v>
      </c>
      <c r="X21" s="2431"/>
      <c r="Y21" s="353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36"/>
      <c r="Q22" s="2429"/>
      <c r="R22" s="1507"/>
      <c r="S22" s="1508"/>
      <c r="T22" s="1507"/>
      <c r="U22" s="1508"/>
      <c r="V22" s="1507"/>
      <c r="W22" s="1508"/>
      <c r="X22" s="2431"/>
      <c r="Y22" s="3536"/>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36"/>
      <c r="Q23" s="1506" t="str">
        <f>B23</f>
        <v>环境质量</v>
      </c>
      <c r="R23" s="1507" t="s">
        <v>8</v>
      </c>
      <c r="S23" s="1508">
        <f>F23</f>
        <v>100</v>
      </c>
      <c r="T23" s="1507" t="s">
        <v>8</v>
      </c>
      <c r="U23" s="1508">
        <f>H23</f>
        <v>100</v>
      </c>
      <c r="V23" s="1507" t="s">
        <v>8</v>
      </c>
      <c r="W23" s="1508">
        <f>J23</f>
        <v>100</v>
      </c>
      <c r="X23" s="1501"/>
      <c r="Y23" s="353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536"/>
      <c r="Q24" s="1506"/>
      <c r="R24" s="1507"/>
      <c r="S24" s="1508"/>
      <c r="T24" s="1507"/>
      <c r="U24" s="1508"/>
      <c r="V24" s="1507"/>
      <c r="W24" s="1508"/>
      <c r="X24" s="1501"/>
      <c r="Y24" s="3536"/>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36"/>
      <c r="Q25" s="1506" t="str">
        <f>B25</f>
        <v>毗邻道路的类型与等级</v>
      </c>
      <c r="R25" s="1507" t="s">
        <v>8</v>
      </c>
      <c r="S25" s="1508">
        <f>F25</f>
        <v>100</v>
      </c>
      <c r="T25" s="1507" t="s">
        <v>8</v>
      </c>
      <c r="U25" s="1508">
        <f>H25</f>
        <v>100</v>
      </c>
      <c r="V25" s="1507" t="s">
        <v>8</v>
      </c>
      <c r="W25" s="1508">
        <f>J25</f>
        <v>100</v>
      </c>
      <c r="X25" s="1501"/>
      <c r="Y25" s="353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536"/>
      <c r="Q26" s="1506"/>
      <c r="R26" s="1507"/>
      <c r="S26" s="1508"/>
      <c r="T26" s="1507"/>
      <c r="U26" s="1508"/>
      <c r="V26" s="1507"/>
      <c r="W26" s="1508"/>
      <c r="X26" s="1501"/>
      <c r="Y26" s="353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36"/>
      <c r="Q27" s="1506" t="str">
        <f t="shared" ref="Q27:Q47" si="11">B27</f>
        <v>楼层</v>
      </c>
      <c r="R27" s="1507" t="s">
        <v>8</v>
      </c>
      <c r="S27" s="1508">
        <f>F27</f>
        <v>100</v>
      </c>
      <c r="T27" s="1507" t="s">
        <v>8</v>
      </c>
      <c r="U27" s="1508">
        <f>H27</f>
        <v>100</v>
      </c>
      <c r="V27" s="1507" t="s">
        <v>8</v>
      </c>
      <c r="W27" s="1508">
        <f>J27</f>
        <v>100</v>
      </c>
      <c r="X27" s="1501"/>
      <c r="Y27" s="3536"/>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36"/>
      <c r="Q28" s="1134" t="str">
        <f t="shared" si="11"/>
        <v>朝向</v>
      </c>
      <c r="R28" s="1502" t="s">
        <v>8</v>
      </c>
      <c r="S28" s="1503">
        <f>F28</f>
        <v>100</v>
      </c>
      <c r="T28" s="1502" t="s">
        <v>8</v>
      </c>
      <c r="U28" s="1503">
        <f>H28</f>
        <v>100</v>
      </c>
      <c r="V28" s="1502" t="s">
        <v>8</v>
      </c>
      <c r="W28" s="1503">
        <f>J28</f>
        <v>100</v>
      </c>
      <c r="X28" s="1504"/>
      <c r="Y28" s="3536"/>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36"/>
      <c r="Q29" s="1506">
        <f t="shared" si="11"/>
        <v>111</v>
      </c>
      <c r="R29" s="1507" t="s">
        <v>8</v>
      </c>
      <c r="S29" s="1508">
        <f t="shared" ref="S29:S47" si="12">F29</f>
        <v>100</v>
      </c>
      <c r="T29" s="1507" t="s">
        <v>8</v>
      </c>
      <c r="U29" s="1508">
        <f t="shared" ref="U29:U47" si="13">H29</f>
        <v>100</v>
      </c>
      <c r="V29" s="1507" t="s">
        <v>8</v>
      </c>
      <c r="W29" s="1508">
        <f t="shared" ref="W29:W47" si="14">J29</f>
        <v>100</v>
      </c>
      <c r="X29" s="1501"/>
      <c r="Y29" s="3536"/>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36"/>
      <c r="Q30" s="1506">
        <f t="shared" si="11"/>
        <v>111</v>
      </c>
      <c r="R30" s="1507" t="s">
        <v>8</v>
      </c>
      <c r="S30" s="1508">
        <f t="shared" si="12"/>
        <v>100</v>
      </c>
      <c r="T30" s="1507" t="s">
        <v>8</v>
      </c>
      <c r="U30" s="1508">
        <f t="shared" si="13"/>
        <v>100</v>
      </c>
      <c r="V30" s="1507" t="s">
        <v>8</v>
      </c>
      <c r="W30" s="1508">
        <f t="shared" si="14"/>
        <v>100</v>
      </c>
      <c r="X30" s="1501"/>
      <c r="Y30" s="3536"/>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36"/>
      <c r="Q31" s="1506">
        <f t="shared" si="11"/>
        <v>111</v>
      </c>
      <c r="R31" s="1507" t="s">
        <v>8</v>
      </c>
      <c r="S31" s="1508">
        <f t="shared" si="12"/>
        <v>100</v>
      </c>
      <c r="T31" s="1507" t="s">
        <v>8</v>
      </c>
      <c r="U31" s="1508">
        <f t="shared" si="13"/>
        <v>100</v>
      </c>
      <c r="V31" s="1507" t="s">
        <v>8</v>
      </c>
      <c r="W31" s="1508">
        <f t="shared" si="14"/>
        <v>100</v>
      </c>
      <c r="X31" s="1501"/>
      <c r="Y31" s="3536"/>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36"/>
      <c r="Q32" s="1506">
        <f t="shared" si="11"/>
        <v>111</v>
      </c>
      <c r="R32" s="1507" t="s">
        <v>8</v>
      </c>
      <c r="S32" s="1508">
        <f t="shared" si="12"/>
        <v>100</v>
      </c>
      <c r="T32" s="1507" t="s">
        <v>8</v>
      </c>
      <c r="U32" s="1508">
        <f t="shared" si="13"/>
        <v>100</v>
      </c>
      <c r="V32" s="1507" t="s">
        <v>8</v>
      </c>
      <c r="W32" s="1508">
        <f t="shared" si="14"/>
        <v>100</v>
      </c>
      <c r="X32" s="1501"/>
      <c r="Y32" s="3536"/>
      <c r="Z32" s="1509">
        <f t="shared" si="15"/>
        <v>111</v>
      </c>
      <c r="AA32" s="1510">
        <f t="shared" si="3"/>
        <v>1</v>
      </c>
      <c r="AB32" s="1510">
        <f t="shared" si="4"/>
        <v>1</v>
      </c>
      <c r="AC32" s="1510">
        <f t="shared" si="5"/>
        <v>1</v>
      </c>
    </row>
    <row r="33" spans="1:29" ht="15">
      <c r="A33" s="2624" t="s">
        <v>2733</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37" t="s">
        <v>544</v>
      </c>
      <c r="Q33" s="1506" t="str">
        <f t="shared" si="11"/>
        <v>建筑类型</v>
      </c>
      <c r="R33" s="1507" t="s">
        <v>8</v>
      </c>
      <c r="S33" s="1508">
        <f t="shared" si="12"/>
        <v>100</v>
      </c>
      <c r="T33" s="1507" t="s">
        <v>8</v>
      </c>
      <c r="U33" s="1508">
        <f t="shared" si="13"/>
        <v>100</v>
      </c>
      <c r="V33" s="1507" t="s">
        <v>8</v>
      </c>
      <c r="W33" s="1508">
        <f t="shared" si="14"/>
        <v>100</v>
      </c>
      <c r="X33" s="1501"/>
      <c r="Y33" s="3538"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38"/>
      <c r="Q34" s="1535" t="str">
        <f t="shared" si="11"/>
        <v>项目建筑规模</v>
      </c>
      <c r="R34" s="1511" t="s">
        <v>8</v>
      </c>
      <c r="S34" s="1512" t="e">
        <f t="shared" si="12"/>
        <v>#N/A</v>
      </c>
      <c r="T34" s="1511" t="s">
        <v>8</v>
      </c>
      <c r="U34" s="1512" t="e">
        <f t="shared" si="13"/>
        <v>#N/A</v>
      </c>
      <c r="V34" s="1511" t="s">
        <v>8</v>
      </c>
      <c r="W34" s="1512" t="e">
        <f t="shared" si="14"/>
        <v>#N/A</v>
      </c>
      <c r="X34" s="1513"/>
      <c r="Y34" s="353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38"/>
      <c r="Q35" s="1506" t="str">
        <f t="shared" si="11"/>
        <v>建筑结构</v>
      </c>
      <c r="R35" s="1507" t="s">
        <v>8</v>
      </c>
      <c r="S35" s="1508">
        <f t="shared" si="12"/>
        <v>100</v>
      </c>
      <c r="T35" s="1507" t="s">
        <v>8</v>
      </c>
      <c r="U35" s="1508">
        <f t="shared" si="13"/>
        <v>100</v>
      </c>
      <c r="V35" s="1507" t="s">
        <v>8</v>
      </c>
      <c r="W35" s="1508">
        <f t="shared" si="14"/>
        <v>100</v>
      </c>
      <c r="X35" s="1501"/>
      <c r="Y35" s="353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38"/>
      <c r="Q36" s="1506" t="str">
        <f t="shared" si="11"/>
        <v>公共部分装修</v>
      </c>
      <c r="R36" s="1507" t="s">
        <v>8</v>
      </c>
      <c r="S36" s="1508">
        <f t="shared" si="12"/>
        <v>100</v>
      </c>
      <c r="T36" s="1507" t="s">
        <v>8</v>
      </c>
      <c r="U36" s="1508">
        <f t="shared" si="13"/>
        <v>100</v>
      </c>
      <c r="V36" s="1507" t="s">
        <v>8</v>
      </c>
      <c r="W36" s="1508">
        <f t="shared" si="14"/>
        <v>100</v>
      </c>
      <c r="X36" s="1501"/>
      <c r="Y36" s="3538"/>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38"/>
      <c r="Q37" s="1506" t="str">
        <f t="shared" si="11"/>
        <v>成新度</v>
      </c>
      <c r="R37" s="1507" t="s">
        <v>8</v>
      </c>
      <c r="S37" s="1508" t="e">
        <f t="shared" si="12"/>
        <v>#N/A</v>
      </c>
      <c r="T37" s="1507" t="s">
        <v>8</v>
      </c>
      <c r="U37" s="1508" t="e">
        <f t="shared" si="13"/>
        <v>#N/A</v>
      </c>
      <c r="V37" s="1507" t="s">
        <v>8</v>
      </c>
      <c r="W37" s="1508" t="e">
        <f t="shared" si="14"/>
        <v>#N/A</v>
      </c>
      <c r="X37" s="1501"/>
      <c r="Y37" s="3538"/>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38"/>
      <c r="Q38" s="1134" t="str">
        <f t="shared" si="11"/>
        <v>写字楼等级</v>
      </c>
      <c r="R38" s="1502" t="s">
        <v>8</v>
      </c>
      <c r="S38" s="1503">
        <f t="shared" si="12"/>
        <v>100</v>
      </c>
      <c r="T38" s="1502" t="s">
        <v>8</v>
      </c>
      <c r="U38" s="1503">
        <f t="shared" si="13"/>
        <v>100</v>
      </c>
      <c r="V38" s="1502" t="s">
        <v>8</v>
      </c>
      <c r="W38" s="1503">
        <f t="shared" si="14"/>
        <v>100</v>
      </c>
      <c r="X38" s="1504"/>
      <c r="Y38" s="3538"/>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38" t="s">
        <v>544</v>
      </c>
      <c r="Q39" s="1506" t="str">
        <f t="shared" si="11"/>
        <v>物业管理</v>
      </c>
      <c r="R39" s="1507" t="s">
        <v>8</v>
      </c>
      <c r="S39" s="1508">
        <f t="shared" si="12"/>
        <v>100</v>
      </c>
      <c r="T39" s="1507" t="s">
        <v>8</v>
      </c>
      <c r="U39" s="1508">
        <f t="shared" si="13"/>
        <v>100</v>
      </c>
      <c r="V39" s="1507" t="s">
        <v>8</v>
      </c>
      <c r="W39" s="1508">
        <f t="shared" si="14"/>
        <v>100</v>
      </c>
      <c r="X39" s="1501"/>
      <c r="Y39" s="3538" t="s">
        <v>544</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38"/>
      <c r="Q40" s="1506" t="str">
        <f t="shared" si="11"/>
        <v>市政基础设施</v>
      </c>
      <c r="R40" s="1507" t="s">
        <v>8</v>
      </c>
      <c r="S40" s="1508">
        <f t="shared" si="12"/>
        <v>100</v>
      </c>
      <c r="T40" s="1507" t="s">
        <v>8</v>
      </c>
      <c r="U40" s="1508">
        <f t="shared" si="13"/>
        <v>100</v>
      </c>
      <c r="V40" s="1507" t="s">
        <v>8</v>
      </c>
      <c r="W40" s="1508">
        <f t="shared" si="14"/>
        <v>100</v>
      </c>
      <c r="X40" s="1501"/>
      <c r="Y40" s="353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38"/>
      <c r="Q41" s="1506" t="str">
        <f t="shared" si="11"/>
        <v>层高</v>
      </c>
      <c r="R41" s="1507" t="s">
        <v>8</v>
      </c>
      <c r="S41" s="1508">
        <f t="shared" si="12"/>
        <v>100</v>
      </c>
      <c r="T41" s="1507" t="s">
        <v>8</v>
      </c>
      <c r="U41" s="1508">
        <f t="shared" si="13"/>
        <v>100</v>
      </c>
      <c r="V41" s="1507" t="s">
        <v>8</v>
      </c>
      <c r="W41" s="1508">
        <f t="shared" si="14"/>
        <v>100</v>
      </c>
      <c r="X41" s="1501"/>
      <c r="Y41" s="3538"/>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38"/>
      <c r="Q42" s="1535" t="str">
        <f t="shared" si="11"/>
        <v>单套建筑面积</v>
      </c>
      <c r="R42" s="1511" t="s">
        <v>8</v>
      </c>
      <c r="S42" s="1512">
        <f t="shared" si="12"/>
        <v>100</v>
      </c>
      <c r="T42" s="1511" t="s">
        <v>8</v>
      </c>
      <c r="U42" s="1512">
        <f t="shared" si="13"/>
        <v>100</v>
      </c>
      <c r="V42" s="1511" t="s">
        <v>8</v>
      </c>
      <c r="W42" s="1512">
        <f t="shared" si="14"/>
        <v>100</v>
      </c>
      <c r="X42" s="1513"/>
      <c r="Y42" s="353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38"/>
      <c r="Q43" s="1506" t="str">
        <f t="shared" si="11"/>
        <v>内部装修</v>
      </c>
      <c r="R43" s="1507" t="s">
        <v>8</v>
      </c>
      <c r="S43" s="1508">
        <f t="shared" si="12"/>
        <v>100</v>
      </c>
      <c r="T43" s="1507" t="s">
        <v>8</v>
      </c>
      <c r="U43" s="1508">
        <f t="shared" si="13"/>
        <v>100</v>
      </c>
      <c r="V43" s="1507" t="s">
        <v>8</v>
      </c>
      <c r="W43" s="1508">
        <f t="shared" si="14"/>
        <v>100</v>
      </c>
      <c r="X43" s="1501"/>
      <c r="Y43" s="353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38"/>
      <c r="Q44" s="1506" t="str">
        <f t="shared" si="11"/>
        <v>内部装修维护情况</v>
      </c>
      <c r="R44" s="1507" t="s">
        <v>8</v>
      </c>
      <c r="S44" s="1508">
        <f t="shared" si="12"/>
        <v>100</v>
      </c>
      <c r="T44" s="1507" t="s">
        <v>8</v>
      </c>
      <c r="U44" s="1508">
        <f t="shared" si="13"/>
        <v>100</v>
      </c>
      <c r="V44" s="1507" t="s">
        <v>8</v>
      </c>
      <c r="W44" s="1508">
        <f t="shared" si="14"/>
        <v>100</v>
      </c>
      <c r="X44" s="1501"/>
      <c r="Y44" s="3538"/>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38"/>
      <c r="Q45" s="1134">
        <f t="shared" si="11"/>
        <v>111</v>
      </c>
      <c r="R45" s="1502" t="s">
        <v>8</v>
      </c>
      <c r="S45" s="1503">
        <f t="shared" si="12"/>
        <v>100</v>
      </c>
      <c r="T45" s="1502" t="s">
        <v>8</v>
      </c>
      <c r="U45" s="1503">
        <f t="shared" si="13"/>
        <v>100</v>
      </c>
      <c r="V45" s="1502" t="s">
        <v>8</v>
      </c>
      <c r="W45" s="1503">
        <f t="shared" si="14"/>
        <v>100</v>
      </c>
      <c r="X45" s="1504"/>
      <c r="Y45" s="3538"/>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38"/>
      <c r="Q46" s="1506">
        <f t="shared" si="11"/>
        <v>111</v>
      </c>
      <c r="R46" s="1507" t="s">
        <v>8</v>
      </c>
      <c r="S46" s="1508">
        <f t="shared" si="12"/>
        <v>100</v>
      </c>
      <c r="T46" s="1507" t="s">
        <v>8</v>
      </c>
      <c r="U46" s="1508">
        <f t="shared" si="13"/>
        <v>100</v>
      </c>
      <c r="V46" s="1507" t="s">
        <v>8</v>
      </c>
      <c r="W46" s="1508">
        <f t="shared" si="14"/>
        <v>100</v>
      </c>
      <c r="X46" s="1501"/>
      <c r="Y46" s="3538"/>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38"/>
      <c r="Q47" s="1506">
        <f t="shared" si="11"/>
        <v>111</v>
      </c>
      <c r="R47" s="1507" t="s">
        <v>8</v>
      </c>
      <c r="S47" s="1508">
        <f t="shared" si="12"/>
        <v>100</v>
      </c>
      <c r="T47" s="1507" t="s">
        <v>8</v>
      </c>
      <c r="U47" s="1508">
        <f t="shared" si="13"/>
        <v>100</v>
      </c>
      <c r="V47" s="1507" t="s">
        <v>8</v>
      </c>
      <c r="W47" s="1508">
        <f t="shared" si="14"/>
        <v>100</v>
      </c>
      <c r="X47" s="1501"/>
      <c r="Y47" s="3638"/>
      <c r="Z47" s="1509">
        <f t="shared" si="15"/>
        <v>111</v>
      </c>
      <c r="AA47" s="1510">
        <f t="shared" si="3"/>
        <v>1</v>
      </c>
      <c r="AB47" s="1510">
        <f t="shared" si="4"/>
        <v>1</v>
      </c>
      <c r="AC47" s="1510">
        <f t="shared" si="5"/>
        <v>1</v>
      </c>
    </row>
    <row r="48" spans="1:29" ht="15">
      <c r="A48" s="601" t="s">
        <v>730</v>
      </c>
      <c r="B48" s="876"/>
      <c r="C48" s="2470" t="s">
        <v>1</v>
      </c>
      <c r="D48" s="2471"/>
      <c r="E48" s="2472"/>
      <c r="F48" s="2473"/>
      <c r="G48" s="2474"/>
      <c r="H48" s="2475"/>
      <c r="I48" s="2472"/>
      <c r="J48" s="2475"/>
      <c r="K48" s="1540"/>
      <c r="L48" s="2026"/>
      <c r="M48" s="2016"/>
      <c r="N48" s="2016"/>
      <c r="O48" s="2016"/>
      <c r="P48" s="3556" t="str">
        <f>A48</f>
        <v>成交单价（元/平方米）</v>
      </c>
      <c r="Q48" s="3533"/>
      <c r="R48" s="3637">
        <f>E48</f>
        <v>0</v>
      </c>
      <c r="S48" s="3637"/>
      <c r="T48" s="3637">
        <f>G48</f>
        <v>0</v>
      </c>
      <c r="U48" s="3637"/>
      <c r="V48" s="3637">
        <f>I48</f>
        <v>0</v>
      </c>
      <c r="W48" s="3637"/>
      <c r="X48" s="1496"/>
      <c r="Y48" s="1515"/>
      <c r="Z48" s="1496"/>
      <c r="AA48" s="1496"/>
      <c r="AB48" s="1496"/>
      <c r="AC48" s="1496"/>
    </row>
    <row r="49" spans="1:29" ht="15.75" thickBot="1">
      <c r="A49" s="609" t="s">
        <v>2738</v>
      </c>
      <c r="B49" s="877"/>
      <c r="C49" s="2476" t="e">
        <f>R50</f>
        <v>#DIV/0!</v>
      </c>
      <c r="D49" s="3014" t="s">
        <v>2965</v>
      </c>
      <c r="E49" s="2477" t="e">
        <f>R49</f>
        <v>#DIV/0!</v>
      </c>
      <c r="F49" s="3015"/>
      <c r="G49" s="2476" t="e">
        <f>T49</f>
        <v>#DIV/0!</v>
      </c>
      <c r="H49" s="3015"/>
      <c r="I49" s="2477" t="e">
        <f>V49</f>
        <v>#DIV/0!</v>
      </c>
      <c r="J49" s="3015"/>
      <c r="K49" s="3023">
        <f>F49+H49+J49</f>
        <v>0</v>
      </c>
      <c r="L49" s="2026"/>
      <c r="M49" s="2016"/>
      <c r="N49" s="2016"/>
      <c r="O49" s="2016"/>
      <c r="P49" s="3556" t="str">
        <f>A49</f>
        <v>比较价格（元/平方米）</v>
      </c>
      <c r="Q49" s="3533"/>
      <c r="R49" s="3637" t="e">
        <f>IF(F1="售价",ROUND(PRODUCT(R48,AA7:AA47),0),ROUND(PRODUCT(R48,AA7:AA47),1))</f>
        <v>#DIV/0!</v>
      </c>
      <c r="S49" s="3637"/>
      <c r="T49" s="3637" t="e">
        <f>IF(F1="售价",ROUND(PRODUCT(T48,AB7:AB47),0),ROUND(PRODUCT(T48,AB7:AB47),1))</f>
        <v>#DIV/0!</v>
      </c>
      <c r="U49" s="3637"/>
      <c r="V49" s="3637" t="e">
        <f>IF(F1="售价",ROUND(PRODUCT(V48,AC7:AC47),0),ROUND(PRODUCT(V48,AC7:AC47),1))</f>
        <v>#DIV/0!</v>
      </c>
      <c r="W49" s="3637"/>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42" t="str">
        <f>A50</f>
        <v>估价对象XX用房的比较价格（楼面单价，元/平方米）</v>
      </c>
      <c r="Q50" s="3556"/>
      <c r="R50" s="3636" t="e">
        <f>IF(F1="售价",ROUND(IF(D49="简单平均",AVERAGE(R49:V49),R49*F49+T49*H49+V49*J49),0),ROUND(IF(D49="简单平均",AVERAGE(R49:V49),R49*F49+T49*H49+V49*J49),1))</f>
        <v>#DIV/0!</v>
      </c>
      <c r="S50" s="3636"/>
      <c r="T50" s="3636"/>
      <c r="U50" s="3636"/>
      <c r="V50" s="3636"/>
      <c r="W50" s="3636"/>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2020-10</v>
      </c>
      <c r="D59" s="2521">
        <f>EDATE(C59,-1)</f>
        <v>44075</v>
      </c>
      <c r="E59" s="2521">
        <f t="shared" ref="E59:O59" si="16">EDATE(D59,-1)</f>
        <v>44044</v>
      </c>
      <c r="F59" s="2521">
        <f t="shared" si="16"/>
        <v>44013</v>
      </c>
      <c r="G59" s="2521">
        <f t="shared" si="16"/>
        <v>43983</v>
      </c>
      <c r="H59" s="2521">
        <f t="shared" si="16"/>
        <v>43952</v>
      </c>
      <c r="I59" s="2521">
        <f t="shared" si="16"/>
        <v>43922</v>
      </c>
      <c r="J59" s="2521">
        <f t="shared" si="16"/>
        <v>43891</v>
      </c>
      <c r="K59" s="2521">
        <f t="shared" si="16"/>
        <v>43862</v>
      </c>
      <c r="L59" s="2521">
        <f t="shared" si="16"/>
        <v>43831</v>
      </c>
      <c r="M59" s="2521">
        <f t="shared" si="16"/>
        <v>43800</v>
      </c>
      <c r="N59" s="2521">
        <f t="shared" si="16"/>
        <v>43770</v>
      </c>
      <c r="O59" s="2521">
        <f t="shared" si="16"/>
        <v>43739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39" t="s">
        <v>516</v>
      </c>
      <c r="D4" s="3540"/>
      <c r="E4" s="3565" t="s">
        <v>517</v>
      </c>
      <c r="F4" s="3566"/>
      <c r="G4" s="3539" t="s">
        <v>518</v>
      </c>
      <c r="H4" s="3540"/>
      <c r="I4" s="3539" t="s">
        <v>519</v>
      </c>
      <c r="J4" s="3540"/>
      <c r="K4" s="508" t="s">
        <v>520</v>
      </c>
      <c r="L4" s="2015"/>
      <c r="M4" s="2016"/>
      <c r="N4" s="2016"/>
      <c r="O4" s="2016"/>
      <c r="P4" s="3541" t="s">
        <v>521</v>
      </c>
      <c r="Q4" s="3542"/>
      <c r="R4" s="3527" t="s">
        <v>517</v>
      </c>
      <c r="S4" s="3528"/>
      <c r="T4" s="3527" t="s">
        <v>518</v>
      </c>
      <c r="U4" s="3528"/>
      <c r="V4" s="3547" t="s">
        <v>519</v>
      </c>
      <c r="W4" s="3547"/>
      <c r="X4" s="1501"/>
      <c r="Y4" s="3527" t="s">
        <v>521</v>
      </c>
      <c r="Z4" s="3528"/>
      <c r="AA4" s="3522" t="s">
        <v>517</v>
      </c>
      <c r="AB4" s="3523" t="s">
        <v>518</v>
      </c>
      <c r="AC4" s="3522" t="s">
        <v>519</v>
      </c>
    </row>
    <row r="5" spans="1:29" ht="15">
      <c r="A5" s="509"/>
      <c r="B5" s="510"/>
      <c r="C5" s="3552" t="s">
        <v>2891</v>
      </c>
      <c r="D5" s="3551"/>
      <c r="E5" s="3567" t="s">
        <v>2892</v>
      </c>
      <c r="F5" s="3568"/>
      <c r="G5" s="3552" t="s">
        <v>2893</v>
      </c>
      <c r="H5" s="3551"/>
      <c r="I5" s="3552" t="s">
        <v>2894</v>
      </c>
      <c r="J5" s="3551"/>
      <c r="K5" s="508"/>
      <c r="L5" s="2015"/>
      <c r="M5" s="2016"/>
      <c r="N5" s="2016"/>
      <c r="O5" s="2016"/>
      <c r="P5" s="3543"/>
      <c r="Q5" s="3544"/>
      <c r="R5" s="3529"/>
      <c r="S5" s="3530"/>
      <c r="T5" s="3529"/>
      <c r="U5" s="3530"/>
      <c r="V5" s="3547"/>
      <c r="W5" s="3547"/>
      <c r="X5" s="1501"/>
      <c r="Y5" s="3529"/>
      <c r="Z5" s="3530"/>
      <c r="AA5" s="3523"/>
      <c r="AB5" s="3523"/>
      <c r="AC5" s="3523"/>
    </row>
    <row r="6" spans="1:29" ht="15.75" thickBot="1">
      <c r="A6" s="511"/>
      <c r="B6" s="512"/>
      <c r="C6" s="3548" t="s">
        <v>2895</v>
      </c>
      <c r="D6" s="3549"/>
      <c r="E6" s="3569" t="s">
        <v>2895</v>
      </c>
      <c r="F6" s="3570"/>
      <c r="G6" s="3548" t="s">
        <v>2895</v>
      </c>
      <c r="H6" s="3549"/>
      <c r="I6" s="3548" t="s">
        <v>2895</v>
      </c>
      <c r="J6" s="3549"/>
      <c r="K6" s="508" t="s">
        <v>522</v>
      </c>
      <c r="L6" s="2015"/>
      <c r="M6" s="2016"/>
      <c r="N6" s="2016"/>
      <c r="O6" s="2016"/>
      <c r="P6" s="3545"/>
      <c r="Q6" s="3546"/>
      <c r="R6" s="3529"/>
      <c r="S6" s="3530"/>
      <c r="T6" s="3531"/>
      <c r="U6" s="3532"/>
      <c r="V6" s="3547"/>
      <c r="W6" s="3547"/>
      <c r="X6" s="1501"/>
      <c r="Y6" s="3531"/>
      <c r="Z6" s="3532"/>
      <c r="AA6" s="3524"/>
      <c r="AB6" s="3524"/>
      <c r="AC6" s="3524"/>
    </row>
    <row r="7" spans="1:29" s="1203" customFormat="1" ht="15.75" thickBot="1">
      <c r="A7" s="2629"/>
      <c r="B7" s="2636" t="s">
        <v>523</v>
      </c>
      <c r="C7" s="513">
        <f>'数据-取费表'!B2</f>
        <v>44127</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25" t="s">
        <v>524</v>
      </c>
      <c r="Q7" s="3534"/>
      <c r="R7" s="1502" t="s">
        <v>8</v>
      </c>
      <c r="S7" s="1503">
        <f t="shared" ref="S7:S15" si="0">F7</f>
        <v>0</v>
      </c>
      <c r="T7" s="1502" t="s">
        <v>8</v>
      </c>
      <c r="U7" s="1503">
        <f t="shared" ref="U7:U15" si="1">H7</f>
        <v>0</v>
      </c>
      <c r="V7" s="1502" t="s">
        <v>8</v>
      </c>
      <c r="W7" s="1503">
        <f t="shared" ref="W7:W15" si="2">J7</f>
        <v>0</v>
      </c>
      <c r="X7" s="1504"/>
      <c r="Y7" s="3525" t="s">
        <v>524</v>
      </c>
      <c r="Z7" s="3526"/>
      <c r="AA7" s="1505" t="e">
        <f>D7/F7</f>
        <v>#DIV/0!</v>
      </c>
      <c r="AB7" s="1505" t="e">
        <f>D7/H7</f>
        <v>#DIV/0!</v>
      </c>
      <c r="AC7" s="1505"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25" t="s">
        <v>527</v>
      </c>
      <c r="Q8" s="3526"/>
      <c r="R8" s="1502" t="s">
        <v>8</v>
      </c>
      <c r="S8" s="1503">
        <f t="shared" si="0"/>
        <v>0</v>
      </c>
      <c r="T8" s="1502" t="s">
        <v>8</v>
      </c>
      <c r="U8" s="1503">
        <f t="shared" si="1"/>
        <v>0</v>
      </c>
      <c r="V8" s="1502" t="s">
        <v>8</v>
      </c>
      <c r="W8" s="1503">
        <f t="shared" si="2"/>
        <v>0</v>
      </c>
      <c r="X8" s="1504"/>
      <c r="Y8" s="3525" t="s">
        <v>527</v>
      </c>
      <c r="Z8" s="3526"/>
      <c r="AA8" s="1505" t="e">
        <f t="shared" ref="AA8:AA40" si="3">D8/F8</f>
        <v>#DIV/0!</v>
      </c>
      <c r="AB8" s="1505" t="e">
        <f t="shared" ref="AB8:AB40" si="4">D8/H8</f>
        <v>#DIV/0!</v>
      </c>
      <c r="AC8" s="1505" t="e">
        <f t="shared" ref="AC8:AC40" si="5">D8/J8</f>
        <v>#DIV/0!</v>
      </c>
    </row>
    <row r="9" spans="1:29" s="1203" customFormat="1" ht="15">
      <c r="A9" s="2631"/>
      <c r="B9" s="2638" t="s">
        <v>2734</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33" t="s">
        <v>529</v>
      </c>
      <c r="Q9" s="1134" t="str">
        <f t="shared" ref="Q9:Q15" si="6">B9</f>
        <v>用途</v>
      </c>
      <c r="R9" s="1502" t="s">
        <v>8</v>
      </c>
      <c r="S9" s="1503">
        <f t="shared" si="0"/>
        <v>100</v>
      </c>
      <c r="T9" s="1502" t="s">
        <v>8</v>
      </c>
      <c r="U9" s="1503">
        <f t="shared" si="1"/>
        <v>100</v>
      </c>
      <c r="V9" s="1502" t="s">
        <v>8</v>
      </c>
      <c r="W9" s="1503">
        <f t="shared" si="2"/>
        <v>100</v>
      </c>
      <c r="X9" s="1504"/>
      <c r="Y9" s="3484" t="s">
        <v>530</v>
      </c>
      <c r="Z9" s="1133" t="str">
        <f t="shared" ref="Z9:Z15" si="7">Q9</f>
        <v>用途</v>
      </c>
      <c r="AA9" s="1505">
        <f t="shared" si="3"/>
        <v>1</v>
      </c>
      <c r="AB9" s="1505">
        <f t="shared" si="4"/>
        <v>1</v>
      </c>
      <c r="AC9" s="1505">
        <f t="shared" si="5"/>
        <v>1</v>
      </c>
    </row>
    <row r="10" spans="1:29" s="1292" customFormat="1" ht="27">
      <c r="A10" s="2632"/>
      <c r="B10" s="2637" t="s">
        <v>2735</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33"/>
      <c r="Q10" s="1134" t="str">
        <f t="shared" si="6"/>
        <v>土地使用年限（年）</v>
      </c>
      <c r="R10" s="1502" t="s">
        <v>8</v>
      </c>
      <c r="S10" s="1503">
        <f t="shared" si="0"/>
        <v>100</v>
      </c>
      <c r="T10" s="1502" t="s">
        <v>8</v>
      </c>
      <c r="U10" s="1503">
        <f t="shared" si="1"/>
        <v>100</v>
      </c>
      <c r="V10" s="1502" t="s">
        <v>8</v>
      </c>
      <c r="W10" s="1503">
        <f t="shared" si="2"/>
        <v>100</v>
      </c>
      <c r="X10" s="1504"/>
      <c r="Y10" s="3484"/>
      <c r="Z10" s="1133" t="str">
        <f t="shared" si="7"/>
        <v>土地使用年限（年）</v>
      </c>
      <c r="AA10" s="1505">
        <f t="shared" si="3"/>
        <v>1</v>
      </c>
      <c r="AB10" s="1505">
        <f t="shared" si="4"/>
        <v>1</v>
      </c>
      <c r="AC10" s="1505">
        <f t="shared" si="5"/>
        <v>1</v>
      </c>
    </row>
    <row r="11" spans="1:29" ht="15">
      <c r="A11" s="2633"/>
      <c r="B11" s="2637" t="s">
        <v>2736</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33"/>
      <c r="Q11" s="1134" t="str">
        <f t="shared" si="6"/>
        <v>容积率</v>
      </c>
      <c r="R11" s="1502" t="s">
        <v>8</v>
      </c>
      <c r="S11" s="1503" t="e">
        <f t="shared" si="0"/>
        <v>#N/A</v>
      </c>
      <c r="T11" s="1502" t="s">
        <v>8</v>
      </c>
      <c r="U11" s="1503" t="e">
        <f t="shared" si="1"/>
        <v>#N/A</v>
      </c>
      <c r="V11" s="1502" t="s">
        <v>8</v>
      </c>
      <c r="W11" s="1503" t="e">
        <f t="shared" si="2"/>
        <v>#N/A</v>
      </c>
      <c r="X11" s="1504"/>
      <c r="Y11" s="3484"/>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33"/>
      <c r="Q12" s="1134">
        <f t="shared" si="6"/>
        <v>111</v>
      </c>
      <c r="R12" s="1502" t="s">
        <v>8</v>
      </c>
      <c r="S12" s="1503">
        <f t="shared" si="0"/>
        <v>100</v>
      </c>
      <c r="T12" s="1502" t="s">
        <v>8</v>
      </c>
      <c r="U12" s="1503">
        <f t="shared" si="1"/>
        <v>100</v>
      </c>
      <c r="V12" s="1502" t="s">
        <v>8</v>
      </c>
      <c r="W12" s="1503">
        <f t="shared" si="2"/>
        <v>100</v>
      </c>
      <c r="X12" s="1504"/>
      <c r="Y12" s="3484"/>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33"/>
      <c r="Q13" s="1134">
        <f t="shared" si="6"/>
        <v>111</v>
      </c>
      <c r="R13" s="1502" t="s">
        <v>8</v>
      </c>
      <c r="S13" s="1503">
        <f t="shared" si="0"/>
        <v>100</v>
      </c>
      <c r="T13" s="1502" t="s">
        <v>8</v>
      </c>
      <c r="U13" s="1503">
        <f t="shared" si="1"/>
        <v>100</v>
      </c>
      <c r="V13" s="1502" t="s">
        <v>8</v>
      </c>
      <c r="W13" s="1503">
        <f t="shared" si="2"/>
        <v>100</v>
      </c>
      <c r="X13" s="1504"/>
      <c r="Y13" s="3484"/>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33"/>
      <c r="Q14" s="1134">
        <f t="shared" si="6"/>
        <v>111</v>
      </c>
      <c r="R14" s="1502" t="s">
        <v>8</v>
      </c>
      <c r="S14" s="1503">
        <f t="shared" si="0"/>
        <v>100</v>
      </c>
      <c r="T14" s="1502" t="s">
        <v>8</v>
      </c>
      <c r="U14" s="1503">
        <f t="shared" si="1"/>
        <v>100</v>
      </c>
      <c r="V14" s="1502" t="s">
        <v>8</v>
      </c>
      <c r="W14" s="1503">
        <f t="shared" si="2"/>
        <v>100</v>
      </c>
      <c r="X14" s="1504"/>
      <c r="Y14" s="3484"/>
      <c r="Z14" s="1133">
        <f t="shared" si="7"/>
        <v>111</v>
      </c>
      <c r="AA14" s="1505">
        <f t="shared" si="3"/>
        <v>1</v>
      </c>
      <c r="AB14" s="1505">
        <f t="shared" si="4"/>
        <v>1</v>
      </c>
      <c r="AC14" s="1505">
        <f t="shared" si="5"/>
        <v>1</v>
      </c>
    </row>
    <row r="15" spans="1:29" ht="57">
      <c r="A15" s="2627" t="s">
        <v>2732</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35" t="s">
        <v>534</v>
      </c>
      <c r="Q15" s="1506" t="str">
        <f t="shared" si="6"/>
        <v>产业集聚程度</v>
      </c>
      <c r="R15" s="1507" t="s">
        <v>8</v>
      </c>
      <c r="S15" s="1508">
        <f t="shared" si="0"/>
        <v>100</v>
      </c>
      <c r="T15" s="1507" t="s">
        <v>8</v>
      </c>
      <c r="U15" s="1508">
        <f t="shared" si="1"/>
        <v>100</v>
      </c>
      <c r="V15" s="1507" t="s">
        <v>8</v>
      </c>
      <c r="W15" s="1508">
        <f t="shared" si="2"/>
        <v>100</v>
      </c>
      <c r="X15" s="1501"/>
      <c r="Y15" s="353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36"/>
      <c r="Q16" s="1506"/>
      <c r="R16" s="1507"/>
      <c r="S16" s="1508"/>
      <c r="T16" s="1507"/>
      <c r="U16" s="1508"/>
      <c r="V16" s="1507"/>
      <c r="W16" s="1508"/>
      <c r="X16" s="1501"/>
      <c r="Y16" s="353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36"/>
      <c r="Q17" s="1506" t="str">
        <f>B17</f>
        <v>交通便捷度</v>
      </c>
      <c r="R17" s="1507" t="s">
        <v>8</v>
      </c>
      <c r="S17" s="1508">
        <f>F17</f>
        <v>100</v>
      </c>
      <c r="T17" s="1507" t="s">
        <v>8</v>
      </c>
      <c r="U17" s="1508">
        <f>H17</f>
        <v>100</v>
      </c>
      <c r="V17" s="1507" t="s">
        <v>8</v>
      </c>
      <c r="W17" s="1508">
        <f>J17</f>
        <v>100</v>
      </c>
      <c r="X17" s="1501"/>
      <c r="Y17" s="353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36"/>
      <c r="Q18" s="1506"/>
      <c r="R18" s="1507"/>
      <c r="S18" s="1508"/>
      <c r="T18" s="1507"/>
      <c r="U18" s="1508"/>
      <c r="V18" s="1507"/>
      <c r="W18" s="1508"/>
      <c r="X18" s="1501"/>
      <c r="Y18" s="3536"/>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36"/>
      <c r="Q19" s="1506" t="str">
        <f>B19</f>
        <v>公共配套设施</v>
      </c>
      <c r="R19" s="1507" t="s">
        <v>8</v>
      </c>
      <c r="S19" s="1508">
        <f>F19</f>
        <v>100</v>
      </c>
      <c r="T19" s="1507" t="s">
        <v>8</v>
      </c>
      <c r="U19" s="1508">
        <f>H19</f>
        <v>100</v>
      </c>
      <c r="V19" s="1507" t="s">
        <v>8</v>
      </c>
      <c r="W19" s="1508">
        <f>J19</f>
        <v>100</v>
      </c>
      <c r="X19" s="1501"/>
      <c r="Y19" s="353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536"/>
      <c r="Q20" s="1506"/>
      <c r="R20" s="1507"/>
      <c r="S20" s="1508"/>
      <c r="T20" s="1507"/>
      <c r="U20" s="1508"/>
      <c r="V20" s="1507"/>
      <c r="W20" s="1508"/>
      <c r="X20" s="1501"/>
      <c r="Y20" s="3536"/>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36"/>
      <c r="Q21" s="2429" t="str">
        <f>B21</f>
        <v>基础设施水平</v>
      </c>
      <c r="R21" s="1507" t="s">
        <v>8</v>
      </c>
      <c r="S21" s="1508">
        <f>F21</f>
        <v>100</v>
      </c>
      <c r="T21" s="1507" t="s">
        <v>8</v>
      </c>
      <c r="U21" s="1508">
        <f>H21</f>
        <v>100</v>
      </c>
      <c r="V21" s="1507" t="s">
        <v>8</v>
      </c>
      <c r="W21" s="1508">
        <f>J21</f>
        <v>100</v>
      </c>
      <c r="X21" s="2431"/>
      <c r="Y21" s="353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36"/>
      <c r="Q22" s="2429"/>
      <c r="R22" s="1507"/>
      <c r="S22" s="1508"/>
      <c r="T22" s="1507"/>
      <c r="U22" s="1508"/>
      <c r="V22" s="1507"/>
      <c r="W22" s="1508"/>
      <c r="X22" s="2431"/>
      <c r="Y22" s="353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36"/>
      <c r="Q23" s="1506" t="str">
        <f>B23</f>
        <v>环境质量</v>
      </c>
      <c r="R23" s="1507" t="s">
        <v>8</v>
      </c>
      <c r="S23" s="1508">
        <f>F23</f>
        <v>100</v>
      </c>
      <c r="T23" s="1507" t="s">
        <v>8</v>
      </c>
      <c r="U23" s="1508">
        <f>H23</f>
        <v>100</v>
      </c>
      <c r="V23" s="1507" t="s">
        <v>8</v>
      </c>
      <c r="W23" s="1508">
        <f>J23</f>
        <v>100</v>
      </c>
      <c r="X23" s="1501"/>
      <c r="Y23" s="3536"/>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536"/>
      <c r="Q24" s="1506"/>
      <c r="R24" s="1507"/>
      <c r="S24" s="1508"/>
      <c r="T24" s="1507"/>
      <c r="U24" s="1508"/>
      <c r="V24" s="1507"/>
      <c r="W24" s="1508"/>
      <c r="X24" s="1501"/>
      <c r="Y24" s="353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36"/>
      <c r="Q25" s="1506">
        <f>B25</f>
        <v>111</v>
      </c>
      <c r="R25" s="1507" t="s">
        <v>8</v>
      </c>
      <c r="S25" s="1508">
        <f>F25</f>
        <v>100</v>
      </c>
      <c r="T25" s="1507" t="s">
        <v>8</v>
      </c>
      <c r="U25" s="1508">
        <f>H25</f>
        <v>100</v>
      </c>
      <c r="V25" s="1507" t="s">
        <v>8</v>
      </c>
      <c r="W25" s="1508">
        <f>J25</f>
        <v>100</v>
      </c>
      <c r="X25" s="1501"/>
      <c r="Y25" s="353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36"/>
      <c r="Q26" s="1506">
        <f t="shared" ref="Q26:Q40" si="11">B26</f>
        <v>111</v>
      </c>
      <c r="R26" s="1507" t="s">
        <v>8</v>
      </c>
      <c r="S26" s="1508">
        <f>F26</f>
        <v>100</v>
      </c>
      <c r="T26" s="1507" t="s">
        <v>8</v>
      </c>
      <c r="U26" s="1508">
        <f>H26</f>
        <v>100</v>
      </c>
      <c r="V26" s="1507" t="s">
        <v>8</v>
      </c>
      <c r="W26" s="1508">
        <f>J26</f>
        <v>100</v>
      </c>
      <c r="X26" s="1501"/>
      <c r="Y26" s="3536"/>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36"/>
      <c r="Q27" s="1134">
        <f t="shared" si="11"/>
        <v>111</v>
      </c>
      <c r="R27" s="1502" t="s">
        <v>8</v>
      </c>
      <c r="S27" s="1503">
        <f>F27</f>
        <v>100</v>
      </c>
      <c r="T27" s="1502" t="s">
        <v>8</v>
      </c>
      <c r="U27" s="1503">
        <f>H27</f>
        <v>100</v>
      </c>
      <c r="V27" s="1502" t="s">
        <v>8</v>
      </c>
      <c r="W27" s="1503">
        <f>J27</f>
        <v>100</v>
      </c>
      <c r="X27" s="1504"/>
      <c r="Y27" s="3536"/>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36"/>
      <c r="Q28" s="1506">
        <f t="shared" si="11"/>
        <v>111</v>
      </c>
      <c r="R28" s="1507" t="s">
        <v>8</v>
      </c>
      <c r="S28" s="1508">
        <f t="shared" ref="S28:S40" si="12">F28</f>
        <v>100</v>
      </c>
      <c r="T28" s="1507" t="s">
        <v>8</v>
      </c>
      <c r="U28" s="1508">
        <f t="shared" ref="U28:U40" si="13">H28</f>
        <v>100</v>
      </c>
      <c r="V28" s="1507" t="s">
        <v>8</v>
      </c>
      <c r="W28" s="1508">
        <f t="shared" ref="W28:W40" si="14">J28</f>
        <v>100</v>
      </c>
      <c r="X28" s="1501"/>
      <c r="Y28" s="3536"/>
      <c r="Z28" s="1509">
        <f t="shared" ref="Z28:Z40" si="15">Q28</f>
        <v>111</v>
      </c>
      <c r="AA28" s="1510">
        <f t="shared" si="3"/>
        <v>1</v>
      </c>
      <c r="AB28" s="1510">
        <f t="shared" si="4"/>
        <v>1</v>
      </c>
      <c r="AC28" s="1510">
        <f t="shared" si="5"/>
        <v>1</v>
      </c>
    </row>
    <row r="29" spans="1:29" ht="15">
      <c r="A29" s="2624" t="s">
        <v>2733</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37" t="s">
        <v>544</v>
      </c>
      <c r="Q29" s="1506" t="str">
        <f t="shared" si="11"/>
        <v>建筑类型</v>
      </c>
      <c r="R29" s="1507" t="s">
        <v>8</v>
      </c>
      <c r="S29" s="1508">
        <f t="shared" si="12"/>
        <v>100</v>
      </c>
      <c r="T29" s="1507" t="s">
        <v>8</v>
      </c>
      <c r="U29" s="1508">
        <f t="shared" si="13"/>
        <v>100</v>
      </c>
      <c r="V29" s="1507" t="s">
        <v>8</v>
      </c>
      <c r="W29" s="1508">
        <f t="shared" si="14"/>
        <v>100</v>
      </c>
      <c r="X29" s="1501"/>
      <c r="Y29" s="3538"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38"/>
      <c r="Q30" s="1535" t="str">
        <f t="shared" si="11"/>
        <v>项目建筑规模</v>
      </c>
      <c r="R30" s="1511" t="s">
        <v>8</v>
      </c>
      <c r="S30" s="1512" t="e">
        <f t="shared" si="12"/>
        <v>#N/A</v>
      </c>
      <c r="T30" s="1511" t="s">
        <v>8</v>
      </c>
      <c r="U30" s="1512" t="e">
        <f t="shared" si="13"/>
        <v>#N/A</v>
      </c>
      <c r="V30" s="1511" t="s">
        <v>8</v>
      </c>
      <c r="W30" s="1512" t="e">
        <f t="shared" si="14"/>
        <v>#N/A</v>
      </c>
      <c r="X30" s="1513"/>
      <c r="Y30" s="353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38"/>
      <c r="Q31" s="1506" t="str">
        <f t="shared" si="11"/>
        <v>建筑结构</v>
      </c>
      <c r="R31" s="1507" t="s">
        <v>8</v>
      </c>
      <c r="S31" s="1508">
        <f t="shared" si="12"/>
        <v>100</v>
      </c>
      <c r="T31" s="1507" t="s">
        <v>8</v>
      </c>
      <c r="U31" s="1508">
        <f t="shared" si="13"/>
        <v>100</v>
      </c>
      <c r="V31" s="1507" t="s">
        <v>8</v>
      </c>
      <c r="W31" s="1508">
        <f t="shared" si="14"/>
        <v>100</v>
      </c>
      <c r="X31" s="1501"/>
      <c r="Y31" s="353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38"/>
      <c r="Q32" s="1506" t="str">
        <f t="shared" si="11"/>
        <v>公共部分装修</v>
      </c>
      <c r="R32" s="1507" t="s">
        <v>8</v>
      </c>
      <c r="S32" s="1508">
        <f t="shared" si="12"/>
        <v>100</v>
      </c>
      <c r="T32" s="1507" t="s">
        <v>8</v>
      </c>
      <c r="U32" s="1508">
        <f t="shared" si="13"/>
        <v>100</v>
      </c>
      <c r="V32" s="1507" t="s">
        <v>8</v>
      </c>
      <c r="W32" s="1508">
        <f t="shared" si="14"/>
        <v>100</v>
      </c>
      <c r="X32" s="1501"/>
      <c r="Y32" s="3538"/>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38"/>
      <c r="Q33" s="1506" t="str">
        <f t="shared" si="11"/>
        <v>成新度</v>
      </c>
      <c r="R33" s="1507" t="s">
        <v>8</v>
      </c>
      <c r="S33" s="1508" t="e">
        <f t="shared" si="12"/>
        <v>#N/A</v>
      </c>
      <c r="T33" s="1507" t="s">
        <v>8</v>
      </c>
      <c r="U33" s="1508" t="e">
        <f t="shared" si="13"/>
        <v>#N/A</v>
      </c>
      <c r="V33" s="1507" t="s">
        <v>8</v>
      </c>
      <c r="W33" s="1508" t="e">
        <f t="shared" si="14"/>
        <v>#N/A</v>
      </c>
      <c r="X33" s="1501"/>
      <c r="Y33" s="3538"/>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38"/>
      <c r="Q34" s="1134" t="str">
        <f t="shared" si="11"/>
        <v>物业管理</v>
      </c>
      <c r="R34" s="1502" t="s">
        <v>8</v>
      </c>
      <c r="S34" s="1503">
        <f t="shared" si="12"/>
        <v>100</v>
      </c>
      <c r="T34" s="1502" t="s">
        <v>8</v>
      </c>
      <c r="U34" s="1503">
        <f t="shared" si="13"/>
        <v>100</v>
      </c>
      <c r="V34" s="1502" t="s">
        <v>8</v>
      </c>
      <c r="W34" s="1503">
        <f t="shared" si="14"/>
        <v>100</v>
      </c>
      <c r="X34" s="1504"/>
      <c r="Y34" s="3538"/>
      <c r="Z34" s="1133"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38" t="s">
        <v>544</v>
      </c>
      <c r="Q35" s="1506" t="str">
        <f t="shared" si="11"/>
        <v>市政基础设施</v>
      </c>
      <c r="R35" s="1507" t="s">
        <v>8</v>
      </c>
      <c r="S35" s="1508">
        <f t="shared" si="12"/>
        <v>100</v>
      </c>
      <c r="T35" s="1507" t="s">
        <v>8</v>
      </c>
      <c r="U35" s="1508">
        <f t="shared" si="13"/>
        <v>100</v>
      </c>
      <c r="V35" s="1507" t="s">
        <v>8</v>
      </c>
      <c r="W35" s="1508">
        <f t="shared" si="14"/>
        <v>100</v>
      </c>
      <c r="X35" s="1501"/>
      <c r="Y35" s="353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38"/>
      <c r="Q36" s="1506" t="str">
        <f t="shared" si="11"/>
        <v>内部装修</v>
      </c>
      <c r="R36" s="1507" t="s">
        <v>8</v>
      </c>
      <c r="S36" s="1508">
        <f t="shared" si="12"/>
        <v>100</v>
      </c>
      <c r="T36" s="1507" t="s">
        <v>8</v>
      </c>
      <c r="U36" s="1508">
        <f t="shared" si="13"/>
        <v>100</v>
      </c>
      <c r="V36" s="1507" t="s">
        <v>8</v>
      </c>
      <c r="W36" s="1508">
        <f t="shared" si="14"/>
        <v>100</v>
      </c>
      <c r="X36" s="1501"/>
      <c r="Y36" s="353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38"/>
      <c r="Q37" s="1506" t="str">
        <f t="shared" si="11"/>
        <v>内部装修状况</v>
      </c>
      <c r="R37" s="1507" t="s">
        <v>8</v>
      </c>
      <c r="S37" s="1508">
        <f t="shared" si="12"/>
        <v>100</v>
      </c>
      <c r="T37" s="1507" t="s">
        <v>8</v>
      </c>
      <c r="U37" s="1508">
        <f t="shared" si="13"/>
        <v>100</v>
      </c>
      <c r="V37" s="1507" t="s">
        <v>8</v>
      </c>
      <c r="W37" s="1508">
        <f t="shared" si="14"/>
        <v>100</v>
      </c>
      <c r="X37" s="1501"/>
      <c r="Y37" s="3538"/>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38"/>
      <c r="Q38" s="1535">
        <f t="shared" si="11"/>
        <v>111</v>
      </c>
      <c r="R38" s="1511" t="s">
        <v>8</v>
      </c>
      <c r="S38" s="1512">
        <f t="shared" si="12"/>
        <v>100</v>
      </c>
      <c r="T38" s="1511" t="s">
        <v>8</v>
      </c>
      <c r="U38" s="1512">
        <f t="shared" si="13"/>
        <v>100</v>
      </c>
      <c r="V38" s="1511" t="s">
        <v>8</v>
      </c>
      <c r="W38" s="1512">
        <f t="shared" si="14"/>
        <v>100</v>
      </c>
      <c r="X38" s="1513"/>
      <c r="Y38" s="3538"/>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38"/>
      <c r="Q39" s="1506">
        <f t="shared" si="11"/>
        <v>111</v>
      </c>
      <c r="R39" s="1507" t="s">
        <v>8</v>
      </c>
      <c r="S39" s="1508">
        <f t="shared" si="12"/>
        <v>100</v>
      </c>
      <c r="T39" s="1507" t="s">
        <v>8</v>
      </c>
      <c r="U39" s="1508">
        <f t="shared" si="13"/>
        <v>100</v>
      </c>
      <c r="V39" s="1507" t="s">
        <v>8</v>
      </c>
      <c r="W39" s="1508">
        <f t="shared" si="14"/>
        <v>100</v>
      </c>
      <c r="X39" s="1501"/>
      <c r="Y39" s="3538"/>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38"/>
      <c r="Q40" s="1506">
        <f t="shared" si="11"/>
        <v>111</v>
      </c>
      <c r="R40" s="1507" t="s">
        <v>8</v>
      </c>
      <c r="S40" s="1508">
        <f t="shared" si="12"/>
        <v>100</v>
      </c>
      <c r="T40" s="1507" t="s">
        <v>8</v>
      </c>
      <c r="U40" s="1508">
        <f t="shared" si="13"/>
        <v>100</v>
      </c>
      <c r="V40" s="1507" t="s">
        <v>8</v>
      </c>
      <c r="W40" s="1508">
        <f t="shared" si="14"/>
        <v>100</v>
      </c>
      <c r="X40" s="1501"/>
      <c r="Y40" s="3638"/>
      <c r="Z40" s="1509">
        <f t="shared" si="15"/>
        <v>111</v>
      </c>
      <c r="AA40" s="1510">
        <f t="shared" si="3"/>
        <v>1</v>
      </c>
      <c r="AB40" s="1510">
        <f t="shared" si="4"/>
        <v>1</v>
      </c>
      <c r="AC40" s="1510">
        <f t="shared" si="5"/>
        <v>1</v>
      </c>
    </row>
    <row r="41" spans="1:29" ht="15">
      <c r="A41" s="601" t="s">
        <v>730</v>
      </c>
      <c r="B41" s="876"/>
      <c r="C41" s="2470" t="s">
        <v>1</v>
      </c>
      <c r="D41" s="2471"/>
      <c r="E41" s="2472"/>
      <c r="F41" s="2473"/>
      <c r="G41" s="2474"/>
      <c r="H41" s="2475"/>
      <c r="I41" s="2472"/>
      <c r="J41" s="2475"/>
      <c r="K41" s="1540"/>
      <c r="L41" s="2026"/>
      <c r="M41" s="2027"/>
      <c r="N41" s="2016"/>
      <c r="O41" s="2027"/>
      <c r="P41" s="3533" t="str">
        <f>A41</f>
        <v>成交单价（元/平方米）</v>
      </c>
      <c r="Q41" s="3533"/>
      <c r="R41" s="3637">
        <f>E41</f>
        <v>0</v>
      </c>
      <c r="S41" s="3637"/>
      <c r="T41" s="3637">
        <f>G41</f>
        <v>0</v>
      </c>
      <c r="U41" s="3637"/>
      <c r="V41" s="3637">
        <f>I41</f>
        <v>0</v>
      </c>
      <c r="W41" s="3637"/>
      <c r="X41" s="1496"/>
      <c r="Y41" s="1515"/>
      <c r="Z41" s="1496"/>
      <c r="AA41" s="1496"/>
      <c r="AB41" s="1496"/>
      <c r="AC41" s="1496"/>
    </row>
    <row r="42" spans="1:29" ht="15.75" thickBot="1">
      <c r="A42" s="609" t="s">
        <v>2738</v>
      </c>
      <c r="B42" s="877"/>
      <c r="C42" s="2476" t="e">
        <f>R43</f>
        <v>#DIV/0!</v>
      </c>
      <c r="D42" s="3014" t="s">
        <v>2965</v>
      </c>
      <c r="E42" s="2477" t="e">
        <f>R42</f>
        <v>#DIV/0!</v>
      </c>
      <c r="F42" s="3015"/>
      <c r="G42" s="2476" t="e">
        <f>T42</f>
        <v>#DIV/0!</v>
      </c>
      <c r="H42" s="3015"/>
      <c r="I42" s="2477" t="e">
        <f>V42</f>
        <v>#DIV/0!</v>
      </c>
      <c r="J42" s="3015"/>
      <c r="K42" s="3023">
        <f>F42+H42+J42</f>
        <v>0</v>
      </c>
      <c r="L42" s="2026"/>
      <c r="M42" s="2027"/>
      <c r="N42" s="2016"/>
      <c r="O42" s="2027"/>
      <c r="P42" s="3533" t="str">
        <f>A42</f>
        <v>比较价格（元/平方米）</v>
      </c>
      <c r="Q42" s="3533"/>
      <c r="R42" s="3637" t="e">
        <f>IF(F1="售价",ROUND(PRODUCT(R41,AA7:AA40),0),ROUND(PRODUCT(R41,AA7:AA40),1))</f>
        <v>#DIV/0!</v>
      </c>
      <c r="S42" s="3637"/>
      <c r="T42" s="3637" t="e">
        <f>IF(F1="售价",ROUND(PRODUCT(T41,AB7:AB40),0),ROUND(PRODUCT(T41,AB7:AB40),1))</f>
        <v>#DIV/0!</v>
      </c>
      <c r="U42" s="3637"/>
      <c r="V42" s="3637" t="e">
        <f>IF(F1="售价",ROUND(PRODUCT(V41,AC7:AC40),0),ROUND(PRODUCT(V41,AC7:AC40),1))</f>
        <v>#DIV/0!</v>
      </c>
      <c r="W42" s="3637"/>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55" t="str">
        <f>A43</f>
        <v>估价对象XX用房的比较价格（楼面单价，元/平方米）</v>
      </c>
      <c r="Q43" s="3556"/>
      <c r="R43" s="3636" t="e">
        <f>IF(F1="售价",ROUND(IF(D42="简单平均",AVERAGE(R42:V42),R42*F42+T42*H42+V42*J42),0),ROUND(IF(D42="简单平均",AVERAGE(R42:V42),R42*F42+T42*H42+V42*J42),1))</f>
        <v>#DIV/0!</v>
      </c>
      <c r="S43" s="3636"/>
      <c r="T43" s="3636"/>
      <c r="U43" s="3636"/>
      <c r="V43" s="3636"/>
      <c r="W43" s="3636"/>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2020-10</v>
      </c>
      <c r="D52" s="2521">
        <f>EDATE(C52,-1)</f>
        <v>44075</v>
      </c>
      <c r="E52" s="2521">
        <f t="shared" ref="E52:O52" si="16">EDATE(D52,-1)</f>
        <v>44044</v>
      </c>
      <c r="F52" s="2521">
        <f t="shared" si="16"/>
        <v>44013</v>
      </c>
      <c r="G52" s="2521">
        <f t="shared" si="16"/>
        <v>43983</v>
      </c>
      <c r="H52" s="2521">
        <f t="shared" si="16"/>
        <v>43952</v>
      </c>
      <c r="I52" s="2521">
        <f t="shared" si="16"/>
        <v>43922</v>
      </c>
      <c r="J52" s="2521">
        <f t="shared" si="16"/>
        <v>43891</v>
      </c>
      <c r="K52" s="2521">
        <f t="shared" si="16"/>
        <v>43862</v>
      </c>
      <c r="L52" s="2521">
        <f t="shared" si="16"/>
        <v>43831</v>
      </c>
      <c r="M52" s="2521">
        <f t="shared" si="16"/>
        <v>43800</v>
      </c>
      <c r="N52" s="2521">
        <f t="shared" si="16"/>
        <v>43770</v>
      </c>
      <c r="O52" s="2521">
        <f t="shared" si="16"/>
        <v>43739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N36" sqref="N36"/>
    </sheetView>
  </sheetViews>
  <sheetFormatPr defaultColWidth="9" defaultRowHeight="14.25"/>
  <cols>
    <col min="1" max="1" width="10.5" style="1291" customWidth="1"/>
    <col min="2" max="2" width="15.75" style="1291" customWidth="1"/>
    <col min="3" max="3" width="16.8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t="s">
        <v>914</v>
      </c>
      <c r="C1" s="498" t="s">
        <v>786</v>
      </c>
      <c r="D1" s="838" t="s">
        <v>3249</v>
      </c>
      <c r="E1" s="500"/>
      <c r="F1" s="2524" t="s">
        <v>3101</v>
      </c>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f>IF(B37="元/平方米",ROUND(B3*D3/10000,0),ROUND(F3*C39/10000,0))</f>
        <v>8038</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f>IF(B37="元/平方米",C39,ROUND(B2*10000/D3,0))</f>
        <v>18817</v>
      </c>
      <c r="C3" s="841" t="s">
        <v>790</v>
      </c>
      <c r="D3" s="840">
        <f>SUMIF('数据-汇总表'!$C19:$C33,D1,'数据-汇总表'!$E19:$E33)</f>
        <v>4271.75</v>
      </c>
      <c r="E3" s="1762" t="s">
        <v>2063</v>
      </c>
      <c r="F3" s="840">
        <f>SUMIF('数据-取费表'!A5:A15,D1,'数据-取费表'!AH5:AH15)</f>
        <v>99</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9" t="s">
        <v>792</v>
      </c>
      <c r="D4" s="3540"/>
      <c r="E4" s="3539" t="s">
        <v>793</v>
      </c>
      <c r="F4" s="3540"/>
      <c r="G4" s="3539" t="s">
        <v>794</v>
      </c>
      <c r="H4" s="3540"/>
      <c r="I4" s="3539" t="s">
        <v>795</v>
      </c>
      <c r="J4" s="3540"/>
      <c r="K4" s="508" t="s">
        <v>796</v>
      </c>
      <c r="L4" s="2015"/>
      <c r="M4" s="2016"/>
      <c r="N4" s="2016"/>
      <c r="O4" s="2016"/>
      <c r="P4" s="3541" t="s">
        <v>797</v>
      </c>
      <c r="Q4" s="3542"/>
      <c r="R4" s="3527" t="s">
        <v>793</v>
      </c>
      <c r="S4" s="3528"/>
      <c r="T4" s="3527" t="s">
        <v>794</v>
      </c>
      <c r="U4" s="3528"/>
      <c r="V4" s="3547" t="s">
        <v>795</v>
      </c>
      <c r="W4" s="3547"/>
      <c r="X4" s="1501"/>
      <c r="Y4" s="3527" t="s">
        <v>797</v>
      </c>
      <c r="Z4" s="3528"/>
      <c r="AA4" s="3522" t="s">
        <v>793</v>
      </c>
      <c r="AB4" s="3523" t="s">
        <v>794</v>
      </c>
      <c r="AC4" s="3522" t="s">
        <v>795</v>
      </c>
    </row>
    <row r="5" spans="1:29" ht="15">
      <c r="A5" s="509"/>
      <c r="B5" s="510"/>
      <c r="C5" s="3552" t="s">
        <v>2891</v>
      </c>
      <c r="D5" s="3551"/>
      <c r="E5" s="3550" t="s">
        <v>3254</v>
      </c>
      <c r="F5" s="3551"/>
      <c r="G5" s="3550" t="s">
        <v>3255</v>
      </c>
      <c r="H5" s="3551"/>
      <c r="I5" s="3550" t="s">
        <v>3256</v>
      </c>
      <c r="J5" s="3551"/>
      <c r="K5" s="508"/>
      <c r="L5" s="2015"/>
      <c r="M5" s="2016"/>
      <c r="N5" s="2016"/>
      <c r="O5" s="2016"/>
      <c r="P5" s="3543"/>
      <c r="Q5" s="3544"/>
      <c r="R5" s="3529"/>
      <c r="S5" s="3530"/>
      <c r="T5" s="3529"/>
      <c r="U5" s="3530"/>
      <c r="V5" s="3547"/>
      <c r="W5" s="3547"/>
      <c r="X5" s="1501"/>
      <c r="Y5" s="3529"/>
      <c r="Z5" s="3530"/>
      <c r="AA5" s="3523"/>
      <c r="AB5" s="3523"/>
      <c r="AC5" s="3523"/>
    </row>
    <row r="6" spans="1:29" ht="15.75" thickBot="1">
      <c r="A6" s="511"/>
      <c r="B6" s="512"/>
      <c r="C6" s="3548" t="s">
        <v>2895</v>
      </c>
      <c r="D6" s="3549"/>
      <c r="E6" s="3553" t="s">
        <v>2895</v>
      </c>
      <c r="F6" s="3554"/>
      <c r="G6" s="3548" t="s">
        <v>2895</v>
      </c>
      <c r="H6" s="3549"/>
      <c r="I6" s="3548" t="s">
        <v>2895</v>
      </c>
      <c r="J6" s="3549"/>
      <c r="K6" s="508" t="s">
        <v>522</v>
      </c>
      <c r="L6" s="2015"/>
      <c r="M6" s="2016"/>
      <c r="N6" s="2016"/>
      <c r="O6" s="2016"/>
      <c r="P6" s="3545"/>
      <c r="Q6" s="3546"/>
      <c r="R6" s="3529"/>
      <c r="S6" s="3530"/>
      <c r="T6" s="3531"/>
      <c r="U6" s="3532"/>
      <c r="V6" s="3547"/>
      <c r="W6" s="3547"/>
      <c r="X6" s="1501"/>
      <c r="Y6" s="3531"/>
      <c r="Z6" s="3532"/>
      <c r="AA6" s="3524"/>
      <c r="AB6" s="3524"/>
      <c r="AC6" s="3524"/>
    </row>
    <row r="7" spans="1:29" s="1203" customFormat="1" ht="15.75" thickBot="1">
      <c r="A7" s="2629"/>
      <c r="B7" s="2636" t="s">
        <v>523</v>
      </c>
      <c r="C7" s="513">
        <f>'数据-取费表'!B2</f>
        <v>44127</v>
      </c>
      <c r="D7" s="514">
        <v>100</v>
      </c>
      <c r="E7" s="515">
        <v>44105</v>
      </c>
      <c r="F7" s="516">
        <f>SUMIF(48:48,YEAR(E7)&amp;"-"&amp;MONTH(E7),49:49)</f>
        <v>100</v>
      </c>
      <c r="G7" s="517">
        <v>44105</v>
      </c>
      <c r="H7" s="514">
        <f>SUMIF(48:48,YEAR(G7)&amp;"-"&amp;MONTH(G7),49:49)</f>
        <v>100</v>
      </c>
      <c r="I7" s="517">
        <v>44105</v>
      </c>
      <c r="J7" s="514">
        <f>SUMIF(48:48,YEAR(I7)&amp;"-"&amp;MONTH(I7),49:49)</f>
        <v>100</v>
      </c>
      <c r="K7" s="518"/>
      <c r="L7" s="2017"/>
      <c r="M7" s="2018"/>
      <c r="N7" s="2018"/>
      <c r="O7" s="2018"/>
      <c r="P7" s="3525" t="s">
        <v>524</v>
      </c>
      <c r="Q7" s="3534"/>
      <c r="R7" s="1502" t="s">
        <v>8</v>
      </c>
      <c r="S7" s="1503">
        <f t="shared" ref="S7:S14" si="0">F7</f>
        <v>100</v>
      </c>
      <c r="T7" s="1502" t="s">
        <v>8</v>
      </c>
      <c r="U7" s="1503">
        <f t="shared" ref="U7:U14" si="1">H7</f>
        <v>100</v>
      </c>
      <c r="V7" s="1502" t="s">
        <v>8</v>
      </c>
      <c r="W7" s="1503">
        <f t="shared" ref="W7:W14" si="2">J7</f>
        <v>100</v>
      </c>
      <c r="X7" s="1504"/>
      <c r="Y7" s="3525" t="s">
        <v>524</v>
      </c>
      <c r="Z7" s="3526"/>
      <c r="AA7" s="1505">
        <f>D7/F7</f>
        <v>1</v>
      </c>
      <c r="AB7" s="1505">
        <f>D7/H7</f>
        <v>1</v>
      </c>
      <c r="AC7" s="1505">
        <f>D7/J7</f>
        <v>1</v>
      </c>
    </row>
    <row r="8" spans="1:29" s="1203" customFormat="1" ht="15.75" thickBot="1">
      <c r="A8" s="2630"/>
      <c r="B8" s="2637" t="s">
        <v>525</v>
      </c>
      <c r="C8" s="519" t="s">
        <v>570</v>
      </c>
      <c r="D8" s="514">
        <v>100</v>
      </c>
      <c r="E8" s="3652" t="s">
        <v>3257</v>
      </c>
      <c r="F8" s="516">
        <f>SUMIF(51:51,E8,52:52)-SUMIF(51:51,C8,52:52)+100</f>
        <v>100</v>
      </c>
      <c r="G8" s="3652" t="s">
        <v>3257</v>
      </c>
      <c r="H8" s="514">
        <f>SUMIF(51:51,G8,52:52)-SUMIF(51:51,C8,52:52)+100</f>
        <v>100</v>
      </c>
      <c r="I8" s="3652" t="s">
        <v>3257</v>
      </c>
      <c r="J8" s="514">
        <f>SUMIF(51:51,I8,52:52)-SUMIF(51:51,C8,52:52)+100</f>
        <v>100</v>
      </c>
      <c r="K8" s="518"/>
      <c r="L8" s="2017"/>
      <c r="M8" s="2018"/>
      <c r="N8" s="2018"/>
      <c r="O8" s="2018"/>
      <c r="P8" s="3525" t="s">
        <v>527</v>
      </c>
      <c r="Q8" s="3526"/>
      <c r="R8" s="1502" t="s">
        <v>8</v>
      </c>
      <c r="S8" s="1503">
        <f t="shared" si="0"/>
        <v>100</v>
      </c>
      <c r="T8" s="1502" t="s">
        <v>8</v>
      </c>
      <c r="U8" s="1503">
        <f t="shared" si="1"/>
        <v>100</v>
      </c>
      <c r="V8" s="1502" t="s">
        <v>8</v>
      </c>
      <c r="W8" s="1503">
        <f t="shared" si="2"/>
        <v>100</v>
      </c>
      <c r="X8" s="1504"/>
      <c r="Y8" s="3525" t="s">
        <v>527</v>
      </c>
      <c r="Z8" s="3526"/>
      <c r="AA8" s="1505">
        <f t="shared" ref="AA8:AA36" si="3">D8/F8</f>
        <v>1</v>
      </c>
      <c r="AB8" s="1505">
        <f t="shared" ref="AB8:AB36" si="4">D8/H8</f>
        <v>1</v>
      </c>
      <c r="AC8" s="1505">
        <f t="shared" ref="AC8:AC36" si="5">D8/J8</f>
        <v>1</v>
      </c>
    </row>
    <row r="9" spans="1:29" s="1203" customFormat="1" ht="15">
      <c r="A9" s="2631"/>
      <c r="B9" s="2638" t="s">
        <v>2734</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33" t="s">
        <v>529</v>
      </c>
      <c r="Q9" s="1134" t="str">
        <f t="shared" ref="Q9:Q14" si="6">B9</f>
        <v>用途</v>
      </c>
      <c r="R9" s="1502" t="s">
        <v>8</v>
      </c>
      <c r="S9" s="1503">
        <f t="shared" si="0"/>
        <v>100</v>
      </c>
      <c r="T9" s="1502" t="s">
        <v>8</v>
      </c>
      <c r="U9" s="1503">
        <f t="shared" si="1"/>
        <v>100</v>
      </c>
      <c r="V9" s="1502" t="s">
        <v>8</v>
      </c>
      <c r="W9" s="1503">
        <f t="shared" si="2"/>
        <v>100</v>
      </c>
      <c r="X9" s="1504"/>
      <c r="Y9" s="3484" t="s">
        <v>530</v>
      </c>
      <c r="Z9" s="1133" t="str">
        <f t="shared" ref="Z9:Z14" si="7">Q9</f>
        <v>用途</v>
      </c>
      <c r="AA9" s="1505">
        <f t="shared" si="3"/>
        <v>1</v>
      </c>
      <c r="AB9" s="1505">
        <f t="shared" si="4"/>
        <v>1</v>
      </c>
      <c r="AC9" s="1505">
        <f t="shared" si="5"/>
        <v>1</v>
      </c>
    </row>
    <row r="10" spans="1:29" s="1292" customFormat="1" ht="27">
      <c r="A10" s="2632"/>
      <c r="B10" s="2637" t="s">
        <v>2735</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33"/>
      <c r="Q10" s="1134" t="str">
        <f t="shared" si="6"/>
        <v>土地使用年限（年）</v>
      </c>
      <c r="R10" s="1502" t="s">
        <v>8</v>
      </c>
      <c r="S10" s="1503">
        <f t="shared" si="0"/>
        <v>100</v>
      </c>
      <c r="T10" s="1502" t="s">
        <v>8</v>
      </c>
      <c r="U10" s="1503">
        <f t="shared" si="1"/>
        <v>100</v>
      </c>
      <c r="V10" s="1502" t="s">
        <v>8</v>
      </c>
      <c r="W10" s="1503">
        <f t="shared" si="2"/>
        <v>100</v>
      </c>
      <c r="X10" s="1504"/>
      <c r="Y10" s="3484"/>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33"/>
      <c r="Q11" s="1134">
        <f t="shared" si="6"/>
        <v>111</v>
      </c>
      <c r="R11" s="1502" t="s">
        <v>8</v>
      </c>
      <c r="S11" s="1503">
        <f t="shared" si="0"/>
        <v>100</v>
      </c>
      <c r="T11" s="1502" t="s">
        <v>8</v>
      </c>
      <c r="U11" s="1503">
        <f t="shared" si="1"/>
        <v>100</v>
      </c>
      <c r="V11" s="1502" t="s">
        <v>8</v>
      </c>
      <c r="W11" s="1503">
        <f t="shared" si="2"/>
        <v>100</v>
      </c>
      <c r="X11" s="1504"/>
      <c r="Y11" s="3484"/>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33"/>
      <c r="Q12" s="1134">
        <f t="shared" si="6"/>
        <v>111</v>
      </c>
      <c r="R12" s="1502" t="s">
        <v>8</v>
      </c>
      <c r="S12" s="1503">
        <f t="shared" si="0"/>
        <v>100</v>
      </c>
      <c r="T12" s="1502" t="s">
        <v>8</v>
      </c>
      <c r="U12" s="1503">
        <f t="shared" si="1"/>
        <v>100</v>
      </c>
      <c r="V12" s="1502" t="s">
        <v>8</v>
      </c>
      <c r="W12" s="1503">
        <f t="shared" si="2"/>
        <v>100</v>
      </c>
      <c r="X12" s="1504"/>
      <c r="Y12" s="3484"/>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33"/>
      <c r="Q13" s="1134">
        <f t="shared" si="6"/>
        <v>111</v>
      </c>
      <c r="R13" s="1502" t="s">
        <v>8</v>
      </c>
      <c r="S13" s="1503">
        <f t="shared" si="0"/>
        <v>100</v>
      </c>
      <c r="T13" s="1502" t="s">
        <v>8</v>
      </c>
      <c r="U13" s="1503">
        <f t="shared" si="1"/>
        <v>100</v>
      </c>
      <c r="V13" s="1502" t="s">
        <v>8</v>
      </c>
      <c r="W13" s="1503">
        <f t="shared" si="2"/>
        <v>100</v>
      </c>
      <c r="X13" s="1504"/>
      <c r="Y13" s="3484"/>
      <c r="Z13" s="1133">
        <f t="shared" si="7"/>
        <v>111</v>
      </c>
      <c r="AA13" s="1505">
        <f t="shared" si="3"/>
        <v>1</v>
      </c>
      <c r="AB13" s="1505">
        <f t="shared" si="4"/>
        <v>1</v>
      </c>
      <c r="AC13" s="1505">
        <f t="shared" si="5"/>
        <v>1</v>
      </c>
    </row>
    <row r="14" spans="1:29" ht="85.5">
      <c r="A14" s="2627" t="s">
        <v>2732</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35" t="s">
        <v>534</v>
      </c>
      <c r="Q14" s="1506" t="str">
        <f t="shared" si="6"/>
        <v>交通便捷度</v>
      </c>
      <c r="R14" s="1507" t="s">
        <v>8</v>
      </c>
      <c r="S14" s="1508">
        <f t="shared" si="0"/>
        <v>100</v>
      </c>
      <c r="T14" s="1507" t="s">
        <v>8</v>
      </c>
      <c r="U14" s="1508">
        <f t="shared" si="1"/>
        <v>100</v>
      </c>
      <c r="V14" s="1507" t="s">
        <v>8</v>
      </c>
      <c r="W14" s="1508">
        <f t="shared" si="2"/>
        <v>100</v>
      </c>
      <c r="X14" s="1501"/>
      <c r="Y14" s="3535" t="s">
        <v>534</v>
      </c>
      <c r="Z14" s="1509" t="str">
        <f t="shared" si="7"/>
        <v>交通便捷度</v>
      </c>
      <c r="AA14" s="1510">
        <f t="shared" si="3"/>
        <v>1</v>
      </c>
      <c r="AB14" s="1510">
        <f t="shared" si="4"/>
        <v>1</v>
      </c>
      <c r="AC14" s="1510">
        <f t="shared" si="5"/>
        <v>1</v>
      </c>
    </row>
    <row r="15" spans="1:29" ht="15">
      <c r="A15" s="509"/>
      <c r="B15" s="913"/>
      <c r="C15" s="3653" t="s">
        <v>3258</v>
      </c>
      <c r="D15" s="549"/>
      <c r="E15" s="3653" t="s">
        <v>3258</v>
      </c>
      <c r="F15" s="551"/>
      <c r="G15" s="3653" t="s">
        <v>3258</v>
      </c>
      <c r="H15" s="553"/>
      <c r="I15" s="3653" t="s">
        <v>3258</v>
      </c>
      <c r="J15" s="549"/>
      <c r="K15" s="888"/>
      <c r="L15" s="2024"/>
      <c r="M15" s="2016"/>
      <c r="N15" s="2016"/>
      <c r="O15" s="2023"/>
      <c r="P15" s="3536"/>
      <c r="Q15" s="1506"/>
      <c r="R15" s="1507"/>
      <c r="S15" s="1508"/>
      <c r="T15" s="1507"/>
      <c r="U15" s="1508"/>
      <c r="V15" s="1507"/>
      <c r="W15" s="1508"/>
      <c r="X15" s="1501"/>
      <c r="Y15" s="3536"/>
      <c r="Z15" s="1509"/>
      <c r="AA15" s="1510">
        <v>1</v>
      </c>
      <c r="AB15" s="1510">
        <v>1</v>
      </c>
      <c r="AC15" s="1510">
        <v>1</v>
      </c>
    </row>
    <row r="16" spans="1:29" ht="42.75">
      <c r="A16" s="509"/>
      <c r="B16" s="2447"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36"/>
      <c r="Q16" s="1506" t="str">
        <f>B16</f>
        <v>公共配套设施</v>
      </c>
      <c r="R16" s="1507" t="s">
        <v>8</v>
      </c>
      <c r="S16" s="1508">
        <f>F16</f>
        <v>100</v>
      </c>
      <c r="T16" s="1507" t="s">
        <v>8</v>
      </c>
      <c r="U16" s="1508">
        <f>H16</f>
        <v>100</v>
      </c>
      <c r="V16" s="1507" t="s">
        <v>8</v>
      </c>
      <c r="W16" s="1508">
        <f>J16</f>
        <v>100</v>
      </c>
      <c r="X16" s="1501"/>
      <c r="Y16" s="3536"/>
      <c r="Z16" s="1509" t="str">
        <f>Q16</f>
        <v>公共配套设施</v>
      </c>
      <c r="AA16" s="1510">
        <f t="shared" si="3"/>
        <v>1</v>
      </c>
      <c r="AB16" s="1510">
        <f t="shared" si="4"/>
        <v>1</v>
      </c>
      <c r="AC16" s="1510">
        <f t="shared" si="5"/>
        <v>1</v>
      </c>
    </row>
    <row r="17" spans="1:29" ht="15">
      <c r="A17" s="509"/>
      <c r="B17" s="560"/>
      <c r="C17" s="3654" t="s">
        <v>3258</v>
      </c>
      <c r="D17" s="549"/>
      <c r="E17" s="3653" t="s">
        <v>3258</v>
      </c>
      <c r="F17" s="551"/>
      <c r="G17" s="3653" t="s">
        <v>3258</v>
      </c>
      <c r="H17" s="549"/>
      <c r="I17" s="3653" t="s">
        <v>3258</v>
      </c>
      <c r="J17" s="549"/>
      <c r="K17" s="888"/>
      <c r="L17" s="2024"/>
      <c r="M17" s="2016"/>
      <c r="N17" s="2016"/>
      <c r="O17" s="2023"/>
      <c r="P17" s="3536"/>
      <c r="Q17" s="1506"/>
      <c r="R17" s="1507"/>
      <c r="S17" s="1508"/>
      <c r="T17" s="1507"/>
      <c r="U17" s="1508"/>
      <c r="V17" s="1507"/>
      <c r="W17" s="1508"/>
      <c r="X17" s="1501"/>
      <c r="Y17" s="3536"/>
      <c r="Z17" s="1509"/>
      <c r="AA17" s="1510">
        <v>1</v>
      </c>
      <c r="AB17" s="1510">
        <v>1</v>
      </c>
      <c r="AC17" s="1510">
        <v>1</v>
      </c>
    </row>
    <row r="18" spans="1:29" ht="28.5">
      <c r="A18" s="509"/>
      <c r="B18" s="2435"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36"/>
      <c r="Q18" s="2429" t="str">
        <f>B18</f>
        <v>基础设施水平</v>
      </c>
      <c r="R18" s="1507" t="s">
        <v>8</v>
      </c>
      <c r="S18" s="1508">
        <f>F18</f>
        <v>100</v>
      </c>
      <c r="T18" s="1507" t="s">
        <v>8</v>
      </c>
      <c r="U18" s="1508">
        <f>H18</f>
        <v>100</v>
      </c>
      <c r="V18" s="1507" t="s">
        <v>8</v>
      </c>
      <c r="W18" s="1508">
        <f>J18</f>
        <v>100</v>
      </c>
      <c r="X18" s="2431"/>
      <c r="Y18" s="3536"/>
      <c r="Z18" s="2430" t="str">
        <f>Q18</f>
        <v>基础设施水平</v>
      </c>
      <c r="AA18" s="1510">
        <f t="shared" ref="AA18" si="8">D18/F18</f>
        <v>1</v>
      </c>
      <c r="AB18" s="1510">
        <f t="shared" ref="AB18" si="9">D18/H18</f>
        <v>1</v>
      </c>
      <c r="AC18" s="1510">
        <f t="shared" ref="AC18" si="10">D18/J18</f>
        <v>1</v>
      </c>
    </row>
    <row r="19" spans="1:29" ht="15">
      <c r="A19" s="509"/>
      <c r="B19" s="572"/>
      <c r="C19" s="3654" t="s">
        <v>3259</v>
      </c>
      <c r="D19" s="553"/>
      <c r="E19" s="3653" t="s">
        <v>3259</v>
      </c>
      <c r="F19" s="551"/>
      <c r="G19" s="3653" t="s">
        <v>3259</v>
      </c>
      <c r="H19" s="549"/>
      <c r="I19" s="3653" t="s">
        <v>3260</v>
      </c>
      <c r="J19" s="549"/>
      <c r="K19" s="2446"/>
      <c r="L19" s="2024"/>
      <c r="M19" s="2016"/>
      <c r="N19" s="2016"/>
      <c r="O19" s="2023"/>
      <c r="P19" s="3536"/>
      <c r="Q19" s="2429"/>
      <c r="R19" s="1507"/>
      <c r="S19" s="1508"/>
      <c r="T19" s="1507"/>
      <c r="U19" s="1508"/>
      <c r="V19" s="1507"/>
      <c r="W19" s="1508"/>
      <c r="X19" s="2431"/>
      <c r="Y19" s="3536"/>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36"/>
      <c r="Q20" s="1506" t="str">
        <f>B20</f>
        <v>自然及人文环境</v>
      </c>
      <c r="R20" s="1507" t="s">
        <v>8</v>
      </c>
      <c r="S20" s="1508">
        <f>F20</f>
        <v>100</v>
      </c>
      <c r="T20" s="1507" t="s">
        <v>8</v>
      </c>
      <c r="U20" s="1508">
        <f>H20</f>
        <v>100</v>
      </c>
      <c r="V20" s="1507" t="s">
        <v>8</v>
      </c>
      <c r="W20" s="1508">
        <f>J20</f>
        <v>100</v>
      </c>
      <c r="X20" s="1501"/>
      <c r="Y20" s="3536"/>
      <c r="Z20" s="1509" t="str">
        <f>Q20</f>
        <v>自然及人文环境</v>
      </c>
      <c r="AA20" s="1510">
        <f t="shared" si="3"/>
        <v>1</v>
      </c>
      <c r="AB20" s="1510">
        <f t="shared" si="4"/>
        <v>1</v>
      </c>
      <c r="AC20" s="1510">
        <f t="shared" si="5"/>
        <v>1</v>
      </c>
    </row>
    <row r="21" spans="1:29" ht="15">
      <c r="A21" s="509"/>
      <c r="B21" s="560"/>
      <c r="C21" s="3653" t="s">
        <v>3258</v>
      </c>
      <c r="D21" s="549"/>
      <c r="E21" s="3653" t="s">
        <v>3258</v>
      </c>
      <c r="F21" s="551"/>
      <c r="G21" s="3653" t="s">
        <v>3258</v>
      </c>
      <c r="H21" s="549"/>
      <c r="I21" s="3653" t="s">
        <v>3258</v>
      </c>
      <c r="J21" s="549"/>
      <c r="K21" s="888"/>
      <c r="L21" s="2024"/>
      <c r="M21" s="2016"/>
      <c r="N21" s="2016"/>
      <c r="O21" s="2023"/>
      <c r="P21" s="3536"/>
      <c r="Q21" s="1506"/>
      <c r="R21" s="1507"/>
      <c r="S21" s="1508"/>
      <c r="T21" s="1507"/>
      <c r="U21" s="1508"/>
      <c r="V21" s="1507"/>
      <c r="W21" s="1508"/>
      <c r="X21" s="1501"/>
      <c r="Y21" s="353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36"/>
      <c r="Q22" s="1506" t="str">
        <f>B22</f>
        <v>楼层</v>
      </c>
      <c r="R22" s="1507" t="s">
        <v>8</v>
      </c>
      <c r="S22" s="1508">
        <f>F22</f>
        <v>100</v>
      </c>
      <c r="T22" s="1507" t="s">
        <v>8</v>
      </c>
      <c r="U22" s="1508">
        <f>H22</f>
        <v>100</v>
      </c>
      <c r="V22" s="1507" t="s">
        <v>8</v>
      </c>
      <c r="W22" s="1508">
        <f>J22</f>
        <v>100</v>
      </c>
      <c r="X22" s="1501"/>
      <c r="Y22" s="3536"/>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36"/>
      <c r="Q23" s="1506">
        <f>B23</f>
        <v>111</v>
      </c>
      <c r="R23" s="1507" t="s">
        <v>8</v>
      </c>
      <c r="S23" s="1508">
        <f>F23</f>
        <v>100</v>
      </c>
      <c r="T23" s="1507" t="s">
        <v>8</v>
      </c>
      <c r="U23" s="1508">
        <f>H23</f>
        <v>100</v>
      </c>
      <c r="V23" s="1507" t="s">
        <v>8</v>
      </c>
      <c r="W23" s="1508">
        <f>J23</f>
        <v>100</v>
      </c>
      <c r="X23" s="1501"/>
      <c r="Y23" s="3536"/>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36"/>
      <c r="Q24" s="1506">
        <f t="shared" ref="Q24:Q36" si="11">B24</f>
        <v>111</v>
      </c>
      <c r="R24" s="1507" t="s">
        <v>8</v>
      </c>
      <c r="S24" s="1508">
        <f>F24</f>
        <v>100</v>
      </c>
      <c r="T24" s="1507" t="s">
        <v>8</v>
      </c>
      <c r="U24" s="1508">
        <f>H24</f>
        <v>100</v>
      </c>
      <c r="V24" s="1507" t="s">
        <v>8</v>
      </c>
      <c r="W24" s="1508">
        <f>J24</f>
        <v>100</v>
      </c>
      <c r="X24" s="1501"/>
      <c r="Y24" s="3536"/>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36"/>
      <c r="Q25" s="1134">
        <f t="shared" si="11"/>
        <v>111</v>
      </c>
      <c r="R25" s="1502" t="s">
        <v>8</v>
      </c>
      <c r="S25" s="1503">
        <f>F25</f>
        <v>100</v>
      </c>
      <c r="T25" s="1502" t="s">
        <v>8</v>
      </c>
      <c r="U25" s="1503">
        <f>H25</f>
        <v>100</v>
      </c>
      <c r="V25" s="1502" t="s">
        <v>8</v>
      </c>
      <c r="W25" s="1503">
        <f>J25</f>
        <v>100</v>
      </c>
      <c r="X25" s="1504"/>
      <c r="Y25" s="3536"/>
      <c r="Z25" s="1133">
        <f>Q25</f>
        <v>111</v>
      </c>
      <c r="AA25" s="1510">
        <f>D25/F25</f>
        <v>1</v>
      </c>
      <c r="AB25" s="1510">
        <f>D25/H25</f>
        <v>1</v>
      </c>
      <c r="AC25" s="1510">
        <f>D25/J25</f>
        <v>1</v>
      </c>
    </row>
    <row r="26" spans="1:29" ht="15">
      <c r="A26" s="2624" t="s">
        <v>2733</v>
      </c>
      <c r="B26" s="168" t="s">
        <v>800</v>
      </c>
      <c r="C26" s="917" t="str">
        <f>B1</f>
        <v>住宅</v>
      </c>
      <c r="D26" s="549">
        <v>100</v>
      </c>
      <c r="E26" s="3653" t="s">
        <v>3261</v>
      </c>
      <c r="F26" s="551">
        <f>SUMIF(79:79,E26,80:80)-SUMIF(79:79,C26,80:80)+100</f>
        <v>100</v>
      </c>
      <c r="G26" s="3653" t="s">
        <v>3261</v>
      </c>
      <c r="H26" s="549">
        <f>SUMIF(79:79,G26,80:80)-SUMIF(79:79,C26,80:80)+100</f>
        <v>100</v>
      </c>
      <c r="I26" s="3653" t="s">
        <v>3261</v>
      </c>
      <c r="J26" s="549">
        <f>SUMIF(79:79,I26,80:80)-SUMIF(79:79,C26,80:80)+100</f>
        <v>100</v>
      </c>
      <c r="K26" s="578"/>
      <c r="L26" s="2024"/>
      <c r="M26" s="2016"/>
      <c r="N26" s="2016"/>
      <c r="O26" s="2023"/>
      <c r="P26" s="353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38" t="s">
        <v>544</v>
      </c>
      <c r="Z26" s="1509" t="str">
        <f t="shared" ref="Z26:Z36" si="15">Q26</f>
        <v>配套类型</v>
      </c>
      <c r="AA26" s="1510">
        <f t="shared" si="3"/>
        <v>1</v>
      </c>
      <c r="AB26" s="1510">
        <f t="shared" si="4"/>
        <v>1</v>
      </c>
      <c r="AC26" s="1510">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38"/>
      <c r="Q27" s="1535" t="str">
        <f t="shared" si="11"/>
        <v>项目停车位配比</v>
      </c>
      <c r="R27" s="1511" t="s">
        <v>8</v>
      </c>
      <c r="S27" s="1512">
        <f t="shared" si="12"/>
        <v>100</v>
      </c>
      <c r="T27" s="1511" t="s">
        <v>8</v>
      </c>
      <c r="U27" s="1512">
        <f t="shared" si="13"/>
        <v>100</v>
      </c>
      <c r="V27" s="1511" t="s">
        <v>8</v>
      </c>
      <c r="W27" s="1512">
        <f t="shared" si="14"/>
        <v>100</v>
      </c>
      <c r="X27" s="1513"/>
      <c r="Y27" s="3538"/>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38"/>
      <c r="Q28" s="1506" t="str">
        <f t="shared" si="11"/>
        <v>公共部分装修</v>
      </c>
      <c r="R28" s="1507" t="s">
        <v>8</v>
      </c>
      <c r="S28" s="1508">
        <f t="shared" si="12"/>
        <v>100</v>
      </c>
      <c r="T28" s="1507" t="s">
        <v>8</v>
      </c>
      <c r="U28" s="1508">
        <f t="shared" si="13"/>
        <v>100</v>
      </c>
      <c r="V28" s="1507" t="s">
        <v>8</v>
      </c>
      <c r="W28" s="1508">
        <f t="shared" si="14"/>
        <v>100</v>
      </c>
      <c r="X28" s="1501"/>
      <c r="Y28" s="3538"/>
      <c r="Z28" s="1509" t="str">
        <f t="shared" si="15"/>
        <v>公共部分装修</v>
      </c>
      <c r="AA28" s="1510">
        <f t="shared" si="3"/>
        <v>1</v>
      </c>
      <c r="AB28" s="1510">
        <f t="shared" si="4"/>
        <v>1</v>
      </c>
      <c r="AC28" s="1510">
        <f t="shared" si="5"/>
        <v>1</v>
      </c>
    </row>
    <row r="29" spans="1:29" ht="15">
      <c r="A29" s="920"/>
      <c r="B29" s="576" t="s">
        <v>803</v>
      </c>
      <c r="C29" s="872">
        <v>1</v>
      </c>
      <c r="D29" s="534">
        <v>100</v>
      </c>
      <c r="E29" s="872">
        <v>1</v>
      </c>
      <c r="F29" s="569">
        <f>LOOKUP(E29,86:86,87:87)-LOOKUP(C29,86:86,87:87)+100</f>
        <v>100</v>
      </c>
      <c r="G29" s="872">
        <v>1</v>
      </c>
      <c r="H29" s="569">
        <f>LOOKUP(G29,86:86,87:87)-LOOKUP(C29,86:86,87:87)+100</f>
        <v>100</v>
      </c>
      <c r="I29" s="872">
        <v>1</v>
      </c>
      <c r="J29" s="534">
        <f>LOOKUP(I29,86:86,87:87)-LOOKUP(C29,86:86,87:87)+100</f>
        <v>100</v>
      </c>
      <c r="K29" s="578"/>
      <c r="L29" s="2024"/>
      <c r="M29" s="2016"/>
      <c r="N29" s="2016"/>
      <c r="O29" s="2023"/>
      <c r="P29" s="3538"/>
      <c r="Q29" s="1506" t="str">
        <f t="shared" si="11"/>
        <v>成新率</v>
      </c>
      <c r="R29" s="1507" t="s">
        <v>8</v>
      </c>
      <c r="S29" s="1508">
        <f t="shared" si="12"/>
        <v>100</v>
      </c>
      <c r="T29" s="1507" t="s">
        <v>8</v>
      </c>
      <c r="U29" s="1508">
        <f t="shared" si="13"/>
        <v>100</v>
      </c>
      <c r="V29" s="1507" t="s">
        <v>8</v>
      </c>
      <c r="W29" s="1508">
        <f t="shared" si="14"/>
        <v>100</v>
      </c>
      <c r="X29" s="1501"/>
      <c r="Y29" s="3538"/>
      <c r="Z29" s="1509" t="str">
        <f t="shared" si="15"/>
        <v>成新率</v>
      </c>
      <c r="AA29" s="1510">
        <f t="shared" si="3"/>
        <v>1</v>
      </c>
      <c r="AB29" s="1510">
        <f t="shared" si="4"/>
        <v>1</v>
      </c>
      <c r="AC29" s="1510">
        <f t="shared" si="5"/>
        <v>1</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38"/>
      <c r="Q30" s="1506" t="str">
        <f t="shared" si="11"/>
        <v>物业等级</v>
      </c>
      <c r="R30" s="1507" t="s">
        <v>8</v>
      </c>
      <c r="S30" s="1508">
        <f t="shared" si="12"/>
        <v>100</v>
      </c>
      <c r="T30" s="1507" t="s">
        <v>8</v>
      </c>
      <c r="U30" s="1508">
        <f t="shared" si="13"/>
        <v>100</v>
      </c>
      <c r="V30" s="1507" t="s">
        <v>8</v>
      </c>
      <c r="W30" s="1508">
        <f t="shared" si="14"/>
        <v>100</v>
      </c>
      <c r="X30" s="1501"/>
      <c r="Y30" s="3538"/>
      <c r="Z30" s="1509" t="str">
        <f t="shared" si="15"/>
        <v>物业等级</v>
      </c>
      <c r="AA30" s="1510">
        <f t="shared" si="3"/>
        <v>1</v>
      </c>
      <c r="AB30" s="1510">
        <f t="shared" si="4"/>
        <v>1</v>
      </c>
      <c r="AC30" s="1510">
        <f t="shared" si="5"/>
        <v>1</v>
      </c>
    </row>
    <row r="31" spans="1:29" s="1203" customFormat="1" ht="15">
      <c r="A31" s="922"/>
      <c r="B31" s="576" t="s">
        <v>805</v>
      </c>
      <c r="C31" s="869">
        <v>43</v>
      </c>
      <c r="D31" s="253">
        <v>100</v>
      </c>
      <c r="E31" s="869">
        <v>50</v>
      </c>
      <c r="F31" s="569">
        <f>LOOKUP(E31,91:91,92:92)-LOOKUP(C31,91:91,92:92)+100</f>
        <v>102</v>
      </c>
      <c r="G31" s="869">
        <v>86</v>
      </c>
      <c r="H31" s="534">
        <f>LOOKUP(G31,91:91,92:92)-LOOKUP(C31,91:91,92:92)+100</f>
        <v>104</v>
      </c>
      <c r="I31" s="869">
        <v>70</v>
      </c>
      <c r="J31" s="534">
        <f>LOOKUP(I31,91:91,92:92)-LOOKUP(C31,91:91,92:92)+100</f>
        <v>102</v>
      </c>
      <c r="K31" s="578"/>
      <c r="L31" s="2017"/>
      <c r="M31" s="2018"/>
      <c r="N31" s="2018"/>
      <c r="O31" s="2019"/>
      <c r="P31" s="3538"/>
      <c r="Q31" s="1134" t="str">
        <f t="shared" si="11"/>
        <v>停车位面积</v>
      </c>
      <c r="R31" s="1502" t="s">
        <v>8</v>
      </c>
      <c r="S31" s="1503">
        <f t="shared" si="12"/>
        <v>102</v>
      </c>
      <c r="T31" s="1502" t="s">
        <v>8</v>
      </c>
      <c r="U31" s="1503">
        <f t="shared" si="13"/>
        <v>104</v>
      </c>
      <c r="V31" s="1502" t="s">
        <v>8</v>
      </c>
      <c r="W31" s="1503">
        <f t="shared" si="14"/>
        <v>102</v>
      </c>
      <c r="X31" s="1504"/>
      <c r="Y31" s="3538"/>
      <c r="Z31" s="1133" t="str">
        <f t="shared" si="15"/>
        <v>停车位面积</v>
      </c>
      <c r="AA31" s="1505">
        <f t="shared" si="3"/>
        <v>0.98039215686274506</v>
      </c>
      <c r="AB31" s="1505">
        <f t="shared" si="4"/>
        <v>0.96153846153846156</v>
      </c>
      <c r="AC31" s="1505">
        <f t="shared" si="5"/>
        <v>0.98039215686274506</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38" t="s">
        <v>544</v>
      </c>
      <c r="Q32" s="1506" t="str">
        <f t="shared" si="11"/>
        <v>车位类型</v>
      </c>
      <c r="R32" s="1507" t="s">
        <v>8</v>
      </c>
      <c r="S32" s="1508">
        <f t="shared" si="12"/>
        <v>100</v>
      </c>
      <c r="T32" s="1507" t="s">
        <v>8</v>
      </c>
      <c r="U32" s="1508">
        <f t="shared" si="13"/>
        <v>100</v>
      </c>
      <c r="V32" s="1507" t="s">
        <v>8</v>
      </c>
      <c r="W32" s="1508">
        <f t="shared" si="14"/>
        <v>100</v>
      </c>
      <c r="X32" s="1501"/>
      <c r="Y32" s="3538"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38"/>
      <c r="Q33" s="1506" t="str">
        <f t="shared" si="11"/>
        <v>是否直接入户</v>
      </c>
      <c r="R33" s="1507" t="s">
        <v>8</v>
      </c>
      <c r="S33" s="1508">
        <f t="shared" si="12"/>
        <v>100</v>
      </c>
      <c r="T33" s="1507" t="s">
        <v>8</v>
      </c>
      <c r="U33" s="1508">
        <f t="shared" si="13"/>
        <v>100</v>
      </c>
      <c r="V33" s="1507" t="s">
        <v>8</v>
      </c>
      <c r="W33" s="1508">
        <f t="shared" si="14"/>
        <v>100</v>
      </c>
      <c r="X33" s="1501"/>
      <c r="Y33" s="3538"/>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38"/>
      <c r="Q34" s="1506">
        <f t="shared" si="11"/>
        <v>111</v>
      </c>
      <c r="R34" s="1507" t="s">
        <v>8</v>
      </c>
      <c r="S34" s="1508">
        <f t="shared" si="12"/>
        <v>100</v>
      </c>
      <c r="T34" s="1507" t="s">
        <v>8</v>
      </c>
      <c r="U34" s="1508">
        <f t="shared" si="13"/>
        <v>100</v>
      </c>
      <c r="V34" s="1507" t="s">
        <v>8</v>
      </c>
      <c r="W34" s="1508">
        <f t="shared" si="14"/>
        <v>100</v>
      </c>
      <c r="X34" s="1501"/>
      <c r="Y34" s="3538"/>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38"/>
      <c r="Q35" s="1535">
        <f t="shared" si="11"/>
        <v>111</v>
      </c>
      <c r="R35" s="1511" t="s">
        <v>8</v>
      </c>
      <c r="S35" s="1512">
        <f t="shared" si="12"/>
        <v>100</v>
      </c>
      <c r="T35" s="1511" t="s">
        <v>8</v>
      </c>
      <c r="U35" s="1512">
        <f t="shared" si="13"/>
        <v>100</v>
      </c>
      <c r="V35" s="1511" t="s">
        <v>8</v>
      </c>
      <c r="W35" s="1512">
        <f t="shared" si="14"/>
        <v>100</v>
      </c>
      <c r="X35" s="1513"/>
      <c r="Y35" s="3538"/>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38"/>
      <c r="Q36" s="1506">
        <f t="shared" si="11"/>
        <v>111</v>
      </c>
      <c r="R36" s="1507" t="s">
        <v>8</v>
      </c>
      <c r="S36" s="1508">
        <f t="shared" si="12"/>
        <v>100</v>
      </c>
      <c r="T36" s="1507" t="s">
        <v>8</v>
      </c>
      <c r="U36" s="1508">
        <f t="shared" si="13"/>
        <v>100</v>
      </c>
      <c r="V36" s="1507" t="s">
        <v>8</v>
      </c>
      <c r="W36" s="1508">
        <f t="shared" si="14"/>
        <v>100</v>
      </c>
      <c r="X36" s="1501"/>
      <c r="Y36" s="3538"/>
      <c r="Z36" s="1509">
        <f t="shared" si="15"/>
        <v>111</v>
      </c>
      <c r="AA36" s="1510">
        <f t="shared" si="3"/>
        <v>1</v>
      </c>
      <c r="AB36" s="1510">
        <f t="shared" si="4"/>
        <v>1</v>
      </c>
      <c r="AC36" s="1510">
        <f t="shared" si="5"/>
        <v>1</v>
      </c>
    </row>
    <row r="37" spans="1:29" ht="15">
      <c r="A37" s="1760" t="s">
        <v>2064</v>
      </c>
      <c r="B37" s="1761" t="s">
        <v>3253</v>
      </c>
      <c r="C37" s="2470" t="s">
        <v>1</v>
      </c>
      <c r="D37" s="2471"/>
      <c r="E37" s="2472">
        <v>850000</v>
      </c>
      <c r="F37" s="2473"/>
      <c r="G37" s="2474">
        <v>800000</v>
      </c>
      <c r="H37" s="2475"/>
      <c r="I37" s="2472">
        <v>850000</v>
      </c>
      <c r="J37" s="2475"/>
      <c r="K37" s="1540"/>
      <c r="L37" s="2026"/>
      <c r="M37" s="2027"/>
      <c r="N37" s="2016"/>
      <c r="O37" s="2027"/>
      <c r="P37" s="3533" t="str">
        <f>A37</f>
        <v>成交单价</v>
      </c>
      <c r="Q37" s="3533"/>
      <c r="R37" s="3637">
        <f>E37</f>
        <v>850000</v>
      </c>
      <c r="S37" s="3637"/>
      <c r="T37" s="3637">
        <f>G37</f>
        <v>800000</v>
      </c>
      <c r="U37" s="3637"/>
      <c r="V37" s="3637">
        <f>I37</f>
        <v>850000</v>
      </c>
      <c r="W37" s="3637"/>
      <c r="X37" s="1496"/>
      <c r="Y37" s="1515"/>
      <c r="Z37" s="1496"/>
      <c r="AA37" s="1496"/>
      <c r="AB37" s="1496"/>
      <c r="AC37" s="1496"/>
    </row>
    <row r="38" spans="1:29" ht="15.75" thickBot="1">
      <c r="A38" s="609" t="s">
        <v>2738</v>
      </c>
      <c r="B38" s="877"/>
      <c r="C38" s="2476">
        <f>R39</f>
        <v>811966</v>
      </c>
      <c r="D38" s="3014" t="s">
        <v>2965</v>
      </c>
      <c r="E38" s="2477">
        <f>R38</f>
        <v>833333</v>
      </c>
      <c r="F38" s="3015"/>
      <c r="G38" s="2476">
        <f>T38</f>
        <v>769231</v>
      </c>
      <c r="H38" s="3015"/>
      <c r="I38" s="2477">
        <f>V38</f>
        <v>833333</v>
      </c>
      <c r="J38" s="3015"/>
      <c r="K38" s="3023">
        <f>F38+H38+J38</f>
        <v>0</v>
      </c>
      <c r="L38" s="2026"/>
      <c r="M38" s="2027"/>
      <c r="N38" s="2027"/>
      <c r="O38" s="2027"/>
      <c r="P38" s="3533" t="str">
        <f>A38</f>
        <v>比较价格（元/平方米）</v>
      </c>
      <c r="Q38" s="3533"/>
      <c r="R38" s="3637">
        <f>IF(F1="售价",ROUND(PRODUCT(R37,AA7:AA36),0),ROUND(PRODUCT(R37,AA7:AA36),1))</f>
        <v>833333</v>
      </c>
      <c r="S38" s="3637"/>
      <c r="T38" s="3637">
        <f>IF(F1="售价",ROUND(PRODUCT(T37,AB7:AB36),0),ROUND(PRODUCT(T37,AB7:AB36),1))</f>
        <v>769231</v>
      </c>
      <c r="U38" s="3637"/>
      <c r="V38" s="3637">
        <f>IF(F1="售价",ROUND(PRODUCT(V37,AC7:AC36),0),ROUND(PRODUCT(V37,AC7:AC36),1))</f>
        <v>833333</v>
      </c>
      <c r="W38" s="3637"/>
      <c r="X38" s="1496"/>
      <c r="Y38" s="1496"/>
      <c r="Z38" s="1496"/>
      <c r="AA38" s="1496"/>
      <c r="AB38" s="1496"/>
      <c r="AC38" s="1496"/>
    </row>
    <row r="39" spans="1:29" ht="15.75" thickBot="1">
      <c r="A39" s="613" t="s">
        <v>2897</v>
      </c>
      <c r="B39" s="614"/>
      <c r="C39" s="2478">
        <f>R39</f>
        <v>811966</v>
      </c>
      <c r="D39" s="2478"/>
      <c r="E39" s="2478"/>
      <c r="F39" s="2478"/>
      <c r="G39" s="2478"/>
      <c r="H39" s="2478"/>
      <c r="I39" s="2478"/>
      <c r="J39" s="2478"/>
      <c r="K39" s="1541"/>
      <c r="L39" s="2026"/>
      <c r="M39" s="2027"/>
      <c r="N39" s="2027"/>
      <c r="O39" s="2027"/>
      <c r="P39" s="3555" t="str">
        <f>A39</f>
        <v>估价对象XX用房的比较价格（楼面单价，元/平方米）</v>
      </c>
      <c r="Q39" s="3556"/>
      <c r="R39" s="3636">
        <f>IF(F1="售价",ROUND(IF(D38="简单平均",AVERAGE(R38:W38),R38*F38+T38*H38+V38*J38),0),ROUND(IF(D38="简单平均",AVERAGE(R38:V38),R38*F38+T38*H38+V38*J38),1))</f>
        <v>811966</v>
      </c>
      <c r="S39" s="3636"/>
      <c r="T39" s="3636"/>
      <c r="U39" s="3636"/>
      <c r="V39" s="3636"/>
      <c r="W39" s="3636"/>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f>IF(E37&lt;E38,E38/E37-1,E37/E38-1)</f>
        <v>2.0000408000163228E-2</v>
      </c>
      <c r="F42" s="619" t="str">
        <f>IF(OR(E42&gt;=0.3,E42&lt;=-0.3),"超过30%","")</f>
        <v/>
      </c>
      <c r="G42" s="618">
        <f>IF(G37&lt;G38,G38/G37-1,G37/G38-1)</f>
        <v>3.9999688000093681E-2</v>
      </c>
      <c r="H42" s="619" t="str">
        <f>IF(OR(G42&gt;=0.3,G42&lt;=-0.3),"超过30%","")</f>
        <v/>
      </c>
      <c r="I42" s="618">
        <f>IF(I37&lt;I38,I38/I37-1,I37/I38-1)</f>
        <v>2.0000408000163228E-2</v>
      </c>
      <c r="J42" s="619" t="str">
        <f>IF(OR(I42&gt;=0.3,I42&lt;=-0.3),"超过30%","")</f>
        <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f>IF(E38&lt;G38,G38/E38-1,E38/G38-1)</f>
        <v>8.3332575000227394E-2</v>
      </c>
      <c r="F43" s="619" t="str">
        <f>IF(OR(E43&gt;=0.2,E43&lt;=-0.2),"超过20%","")</f>
        <v/>
      </c>
      <c r="G43" s="618">
        <f>IF(G38&lt;I38,I38/G38-1,G38/I38-1)</f>
        <v>8.3332575000227394E-2</v>
      </c>
      <c r="H43" s="619" t="str">
        <f>IF(OR(G43&gt;=0.2,G43&lt;=-0.2),"超过20%","")</f>
        <v/>
      </c>
      <c r="I43" s="618">
        <f>IF(I38&lt;E38,E38/I38-1,I38/E38-1)</f>
        <v>0</v>
      </c>
      <c r="J43" s="619" t="str">
        <f>IF(OR(I43&gt;=0.2,I43&lt;=-0.2),"超过20%","")</f>
        <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f>IF(E37&lt;G37,G37/E37-1,E37/G37-1)</f>
        <v>6.25E-2</v>
      </c>
      <c r="F44" s="619" t="str">
        <f>IF(OR(E44&gt;=0.3,E44&lt;=-0.3),"超过30%","")</f>
        <v/>
      </c>
      <c r="G44" s="618">
        <f>IF(G37&lt;I37,I37/G37-1,G37/I37-1)</f>
        <v>6.25E-2</v>
      </c>
      <c r="H44" s="619" t="str">
        <f>IF(OR(G44&gt;=0.3,G44&lt;=-0.3),"超过30%","")</f>
        <v/>
      </c>
      <c r="I44" s="618">
        <f>IF(I37&lt;E37,E37/I37-1,I37/E37-1)</f>
        <v>0</v>
      </c>
      <c r="J44" s="619" t="str">
        <f>IF(OR(I44&gt;=0.3,I44&lt;=-0.3),"超过30%","")</f>
        <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2020-10</v>
      </c>
      <c r="D48" s="2521">
        <f>EDATE(C48,-1)</f>
        <v>44075</v>
      </c>
      <c r="E48" s="2521">
        <f t="shared" ref="E48:O48" si="16">EDATE(D48,-1)</f>
        <v>44044</v>
      </c>
      <c r="F48" s="2521">
        <f t="shared" si="16"/>
        <v>44013</v>
      </c>
      <c r="G48" s="2521">
        <f t="shared" si="16"/>
        <v>43983</v>
      </c>
      <c r="H48" s="2521">
        <f t="shared" si="16"/>
        <v>43952</v>
      </c>
      <c r="I48" s="2521">
        <f t="shared" si="16"/>
        <v>43922</v>
      </c>
      <c r="J48" s="2521">
        <f t="shared" si="16"/>
        <v>43891</v>
      </c>
      <c r="K48" s="2521">
        <f t="shared" si="16"/>
        <v>43862</v>
      </c>
      <c r="L48" s="2521">
        <f t="shared" si="16"/>
        <v>43831</v>
      </c>
      <c r="M48" s="2521">
        <f t="shared" si="16"/>
        <v>43800</v>
      </c>
      <c r="N48" s="2521">
        <f t="shared" si="16"/>
        <v>43770</v>
      </c>
      <c r="O48" s="2521">
        <f t="shared" si="16"/>
        <v>43739</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t="str">
        <f>C26</f>
        <v>住宅</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0(含)-30</v>
      </c>
      <c r="D90" s="700" t="str">
        <f t="shared" ref="D90:L90" si="21">D91&amp;"(含)"&amp;"-"&amp;E91</f>
        <v>30(含)-50</v>
      </c>
      <c r="E90" s="700" t="str">
        <f t="shared" si="21"/>
        <v>50(含)-80</v>
      </c>
      <c r="F90" s="700" t="str">
        <f t="shared" si="21"/>
        <v>80(含)-100</v>
      </c>
      <c r="G90" s="700" t="str">
        <f t="shared" si="21"/>
        <v>100(含)-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v>0</v>
      </c>
      <c r="D91" s="722">
        <v>30</v>
      </c>
      <c r="E91" s="722">
        <v>50</v>
      </c>
      <c r="F91" s="722">
        <v>80</v>
      </c>
      <c r="G91" s="722">
        <v>100</v>
      </c>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v>100</v>
      </c>
      <c r="D92" s="663">
        <v>102</v>
      </c>
      <c r="E92" s="663">
        <v>104</v>
      </c>
      <c r="F92" s="663">
        <v>106</v>
      </c>
      <c r="G92" s="663">
        <v>108</v>
      </c>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中国建设银行股份有限公司北京城市建设开发专业支行：</v>
      </c>
    </row>
    <row r="4" spans="1:4" ht="37.5">
      <c r="A4" s="1706" t="str">
        <f>"受贵公司委托，我公司对"&amp;项目基本情况!K2&amp;项目基本情况!B9&amp;"进行了预评估。"</f>
        <v>受贵公司委托，我公司对北京市朝阳区关东店北京世纪城市南地块1#、2#公寓及会所一宗住宅（公寓）、商业用地及关东店北京世纪城市南地块办公楼及裙房商业一宗商业、办公用地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世纪城市房地产开发有限公司使用的、位于北京市朝阳区关东店北京世纪城市南地块1#、2#公寓及会所一宗住宅（公寓）、商业用地及关东店北京世纪城市南地块办公楼及裙房商业一宗商业、办公用地出让国有建设用地使用权。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7" spans="1:4" ht="93.75">
      <c r="A7" s="2590" t="s">
        <v>2726</v>
      </c>
    </row>
    <row r="8" spans="1:4" ht="18.75">
      <c r="A8" s="1709" t="s">
        <v>1897</v>
      </c>
    </row>
    <row r="9" spans="1:4" ht="75">
      <c r="A9" s="1711" t="str">
        <f>IF(项目基本情况!B8="抵押",IF(项目基本情况!B5=项目基本情况!B6,定义!C51,定义!B51),定义!D51)</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row>
    <row r="10" spans="1:4" ht="18.75">
      <c r="A10" s="1712" t="s">
        <v>2013</v>
      </c>
    </row>
    <row r="11" spans="1:4" ht="18.75">
      <c r="A11" s="1695" t="str">
        <f>TEXT(项目基本情况!D3,"yyyy年m月d日;;")&amp;IF(项目基本情况!B3=项目基本情况!D3,"（评估专业人员勘察现场之日）","")</f>
        <v>2020年10月23日（评估专业人员勘察现场之日）</v>
      </c>
    </row>
    <row r="12" spans="1:4" ht="18.75">
      <c r="A12" s="1712" t="s">
        <v>2012</v>
      </c>
    </row>
    <row r="13" spans="1:4" ht="18.75">
      <c r="A13" s="1706" t="s">
        <v>2058</v>
      </c>
    </row>
    <row r="14" spans="1:4" ht="18.75">
      <c r="A14" s="1706" t="str">
        <f>"根据"&amp;项目基本情况!F12&amp;"，本次评估估价对象证载（地类）用途为"&amp;项目基本情况!B12&amp;"。"</f>
        <v>根据《国有土地使用证》[京朝国用（2007出）第0137、0136号]，本次评估估价对象证载（地类）用途为住宅（公寓）、商业、办公、地下车库。</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2006）第103、106号]及附件、《建设工程规划许可证》[建字第110000201900048号]，估价对象土地规划用途为住宅（公寓）、商业、办公、地下车库、地下仓储，上述用途符合《国有土地使用证》证载地类范围。本次评估设定用途为住宅（公寓）、商业、办公、地下车库、地下仓储。</v>
      </c>
      <c r="C15" s="1696"/>
      <c r="D15" s="1697"/>
    </row>
    <row r="16" spans="1:4" ht="18.75">
      <c r="A16" s="1706" t="s">
        <v>2059</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2060</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朝国用（2007出）第0137、0136号]，估价对象（分摊）出让国有建设用地使用权面积为18893.75平方米。根据《国有建设用地使用权出让合同》[京地出（合）字（2006）第103、106号]及附件、《建设工程规划许可证》[建字第110000201900048号]，估价对象规划建筑面积为273635.54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2061</v>
      </c>
    </row>
    <row r="23" spans="1:1" ht="18.75">
      <c r="A23" s="2592" t="s">
        <v>2727</v>
      </c>
    </row>
    <row r="24" spans="1:1" ht="18.75">
      <c r="A24" s="1706" t="s">
        <v>2062</v>
      </c>
    </row>
    <row r="25" spans="1:1" ht="93.75">
      <c r="A25" s="1706" t="str">
        <f>定义!C53</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2014</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9" t="s">
        <v>792</v>
      </c>
      <c r="D4" s="3540"/>
      <c r="E4" s="3565" t="s">
        <v>793</v>
      </c>
      <c r="F4" s="3566"/>
      <c r="G4" s="3539" t="s">
        <v>794</v>
      </c>
      <c r="H4" s="3540"/>
      <c r="I4" s="3539" t="s">
        <v>795</v>
      </c>
      <c r="J4" s="3540"/>
      <c r="K4" s="508" t="s">
        <v>796</v>
      </c>
      <c r="L4" s="2015"/>
      <c r="M4" s="2016"/>
      <c r="N4" s="2016"/>
      <c r="O4" s="2016"/>
      <c r="P4" s="3541" t="s">
        <v>797</v>
      </c>
      <c r="Q4" s="3542"/>
      <c r="R4" s="3527" t="s">
        <v>793</v>
      </c>
      <c r="S4" s="3528"/>
      <c r="T4" s="3527" t="s">
        <v>794</v>
      </c>
      <c r="U4" s="3528"/>
      <c r="V4" s="3547" t="s">
        <v>795</v>
      </c>
      <c r="W4" s="3547"/>
      <c r="X4" s="1501"/>
      <c r="Y4" s="3527" t="s">
        <v>797</v>
      </c>
      <c r="Z4" s="3528"/>
      <c r="AA4" s="3522" t="s">
        <v>793</v>
      </c>
      <c r="AB4" s="3523" t="s">
        <v>794</v>
      </c>
      <c r="AC4" s="3522" t="s">
        <v>795</v>
      </c>
    </row>
    <row r="5" spans="1:29" ht="15">
      <c r="A5" s="509"/>
      <c r="B5" s="510"/>
      <c r="C5" s="3552" t="s">
        <v>2891</v>
      </c>
      <c r="D5" s="3551"/>
      <c r="E5" s="3567" t="s">
        <v>2892</v>
      </c>
      <c r="F5" s="3568"/>
      <c r="G5" s="3552" t="s">
        <v>2893</v>
      </c>
      <c r="H5" s="3551"/>
      <c r="I5" s="3552" t="s">
        <v>2894</v>
      </c>
      <c r="J5" s="3551"/>
      <c r="K5" s="508"/>
      <c r="L5" s="2015"/>
      <c r="M5" s="2016"/>
      <c r="N5" s="2016"/>
      <c r="O5" s="2016"/>
      <c r="P5" s="3543"/>
      <c r="Q5" s="3544"/>
      <c r="R5" s="3529"/>
      <c r="S5" s="3530"/>
      <c r="T5" s="3529"/>
      <c r="U5" s="3530"/>
      <c r="V5" s="3547"/>
      <c r="W5" s="3547"/>
      <c r="X5" s="1501"/>
      <c r="Y5" s="3529"/>
      <c r="Z5" s="3530"/>
      <c r="AA5" s="3523"/>
      <c r="AB5" s="3523"/>
      <c r="AC5" s="3523"/>
    </row>
    <row r="6" spans="1:29" ht="15.75" thickBot="1">
      <c r="A6" s="511"/>
      <c r="B6" s="512"/>
      <c r="C6" s="3548" t="s">
        <v>2895</v>
      </c>
      <c r="D6" s="3549"/>
      <c r="E6" s="3569" t="s">
        <v>2895</v>
      </c>
      <c r="F6" s="3570"/>
      <c r="G6" s="3548" t="s">
        <v>2895</v>
      </c>
      <c r="H6" s="3549"/>
      <c r="I6" s="3548" t="s">
        <v>2895</v>
      </c>
      <c r="J6" s="3549"/>
      <c r="K6" s="508" t="s">
        <v>522</v>
      </c>
      <c r="L6" s="2015"/>
      <c r="M6" s="2016"/>
      <c r="N6" s="2016"/>
      <c r="O6" s="2016"/>
      <c r="P6" s="3545"/>
      <c r="Q6" s="3546"/>
      <c r="R6" s="3529"/>
      <c r="S6" s="3530"/>
      <c r="T6" s="3531"/>
      <c r="U6" s="3532"/>
      <c r="V6" s="3547"/>
      <c r="W6" s="3547"/>
      <c r="X6" s="1501"/>
      <c r="Y6" s="3531"/>
      <c r="Z6" s="3532"/>
      <c r="AA6" s="3524"/>
      <c r="AB6" s="3524"/>
      <c r="AC6" s="3524"/>
    </row>
    <row r="7" spans="1:29" s="1203" customFormat="1" ht="15.75" thickBot="1">
      <c r="A7" s="2629"/>
      <c r="B7" s="2636" t="s">
        <v>523</v>
      </c>
      <c r="C7" s="513">
        <f>'数据-取费表'!B2</f>
        <v>44127</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25" t="s">
        <v>524</v>
      </c>
      <c r="Q7" s="3534"/>
      <c r="R7" s="1502" t="s">
        <v>8</v>
      </c>
      <c r="S7" s="1503">
        <f t="shared" ref="S7:S14" si="0">F7</f>
        <v>0</v>
      </c>
      <c r="T7" s="1502" t="s">
        <v>8</v>
      </c>
      <c r="U7" s="1503">
        <f t="shared" ref="U7:U14" si="1">H7</f>
        <v>0</v>
      </c>
      <c r="V7" s="1502" t="s">
        <v>8</v>
      </c>
      <c r="W7" s="1503">
        <f t="shared" ref="W7:W14" si="2">J7</f>
        <v>0</v>
      </c>
      <c r="X7" s="1504"/>
      <c r="Y7" s="3525" t="s">
        <v>524</v>
      </c>
      <c r="Z7" s="3526"/>
      <c r="AA7" s="1505" t="e">
        <f>D7/F7</f>
        <v>#DIV/0!</v>
      </c>
      <c r="AB7" s="1505" t="e">
        <f>D7/H7</f>
        <v>#DIV/0!</v>
      </c>
      <c r="AC7" s="1505"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25" t="s">
        <v>527</v>
      </c>
      <c r="Q8" s="3526"/>
      <c r="R8" s="1502" t="s">
        <v>8</v>
      </c>
      <c r="S8" s="1503">
        <f t="shared" si="0"/>
        <v>0</v>
      </c>
      <c r="T8" s="1502" t="s">
        <v>8</v>
      </c>
      <c r="U8" s="1503">
        <f t="shared" si="1"/>
        <v>0</v>
      </c>
      <c r="V8" s="1502" t="s">
        <v>8</v>
      </c>
      <c r="W8" s="1503">
        <f t="shared" si="2"/>
        <v>0</v>
      </c>
      <c r="X8" s="1504"/>
      <c r="Y8" s="3525" t="s">
        <v>527</v>
      </c>
      <c r="Z8" s="3526"/>
      <c r="AA8" s="1505" t="e">
        <f t="shared" ref="AA8:AA34" si="3">D8/F8</f>
        <v>#DIV/0!</v>
      </c>
      <c r="AB8" s="1505" t="e">
        <f t="shared" ref="AB8:AB34" si="4">D8/H8</f>
        <v>#DIV/0!</v>
      </c>
      <c r="AC8" s="1505" t="e">
        <f t="shared" ref="AC8:AC34" si="5">D8/J8</f>
        <v>#DIV/0!</v>
      </c>
    </row>
    <row r="9" spans="1:29" s="1203" customFormat="1" ht="15">
      <c r="A9" s="2631"/>
      <c r="B9" s="2638" t="s">
        <v>2734</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33" t="s">
        <v>529</v>
      </c>
      <c r="Q9" s="1134" t="str">
        <f t="shared" ref="Q9:Q14" si="6">B9</f>
        <v>用途</v>
      </c>
      <c r="R9" s="1502" t="s">
        <v>8</v>
      </c>
      <c r="S9" s="1503">
        <f t="shared" si="0"/>
        <v>100</v>
      </c>
      <c r="T9" s="1502" t="s">
        <v>8</v>
      </c>
      <c r="U9" s="1503">
        <f t="shared" si="1"/>
        <v>100</v>
      </c>
      <c r="V9" s="1502" t="s">
        <v>8</v>
      </c>
      <c r="W9" s="1503">
        <f t="shared" si="2"/>
        <v>100</v>
      </c>
      <c r="X9" s="1504"/>
      <c r="Y9" s="3484" t="s">
        <v>530</v>
      </c>
      <c r="Z9" s="1133" t="str">
        <f t="shared" ref="Z9:Z14" si="7">Q9</f>
        <v>用途</v>
      </c>
      <c r="AA9" s="1505">
        <f t="shared" si="3"/>
        <v>1</v>
      </c>
      <c r="AB9" s="1505">
        <f t="shared" si="4"/>
        <v>1</v>
      </c>
      <c r="AC9" s="1505">
        <f t="shared" si="5"/>
        <v>1</v>
      </c>
    </row>
    <row r="10" spans="1:29" s="1292" customFormat="1" ht="27">
      <c r="A10" s="2632"/>
      <c r="B10" s="2637" t="s">
        <v>2735</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33"/>
      <c r="Q10" s="1134" t="str">
        <f t="shared" si="6"/>
        <v>土地使用年限（年）</v>
      </c>
      <c r="R10" s="1502" t="s">
        <v>8</v>
      </c>
      <c r="S10" s="1503">
        <f t="shared" si="0"/>
        <v>100</v>
      </c>
      <c r="T10" s="1502" t="s">
        <v>8</v>
      </c>
      <c r="U10" s="1503">
        <f t="shared" si="1"/>
        <v>100</v>
      </c>
      <c r="V10" s="1502" t="s">
        <v>8</v>
      </c>
      <c r="W10" s="1503">
        <f t="shared" si="2"/>
        <v>100</v>
      </c>
      <c r="X10" s="1504"/>
      <c r="Y10" s="3484"/>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33"/>
      <c r="Q11" s="1134">
        <f t="shared" si="6"/>
        <v>111</v>
      </c>
      <c r="R11" s="1502" t="s">
        <v>8</v>
      </c>
      <c r="S11" s="1503">
        <f t="shared" si="0"/>
        <v>100</v>
      </c>
      <c r="T11" s="1502" t="s">
        <v>8</v>
      </c>
      <c r="U11" s="1503">
        <f t="shared" si="1"/>
        <v>100</v>
      </c>
      <c r="V11" s="1502" t="s">
        <v>8</v>
      </c>
      <c r="W11" s="1503">
        <f t="shared" si="2"/>
        <v>100</v>
      </c>
      <c r="X11" s="1504"/>
      <c r="Y11" s="3484"/>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33"/>
      <c r="Q12" s="1134">
        <f t="shared" si="6"/>
        <v>111</v>
      </c>
      <c r="R12" s="1502" t="s">
        <v>8</v>
      </c>
      <c r="S12" s="1503">
        <f t="shared" si="0"/>
        <v>100</v>
      </c>
      <c r="T12" s="1502" t="s">
        <v>8</v>
      </c>
      <c r="U12" s="1503">
        <f t="shared" si="1"/>
        <v>100</v>
      </c>
      <c r="V12" s="1502" t="s">
        <v>8</v>
      </c>
      <c r="W12" s="1503">
        <f t="shared" si="2"/>
        <v>100</v>
      </c>
      <c r="X12" s="1504"/>
      <c r="Y12" s="3484"/>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33"/>
      <c r="Q13" s="1134">
        <f t="shared" si="6"/>
        <v>111</v>
      </c>
      <c r="R13" s="1502" t="s">
        <v>8</v>
      </c>
      <c r="S13" s="1503">
        <f t="shared" si="0"/>
        <v>100</v>
      </c>
      <c r="T13" s="1502" t="s">
        <v>8</v>
      </c>
      <c r="U13" s="1503">
        <f t="shared" si="1"/>
        <v>100</v>
      </c>
      <c r="V13" s="1502" t="s">
        <v>8</v>
      </c>
      <c r="W13" s="1503">
        <f t="shared" si="2"/>
        <v>100</v>
      </c>
      <c r="X13" s="1504"/>
      <c r="Y13" s="3484"/>
      <c r="Z13" s="1133">
        <f t="shared" si="7"/>
        <v>111</v>
      </c>
      <c r="AA13" s="1505">
        <f t="shared" si="3"/>
        <v>1</v>
      </c>
      <c r="AB13" s="1505">
        <f t="shared" si="4"/>
        <v>1</v>
      </c>
      <c r="AC13" s="1505">
        <f t="shared" si="5"/>
        <v>1</v>
      </c>
    </row>
    <row r="14" spans="1:29" ht="85.5">
      <c r="A14" s="2627" t="s">
        <v>2732</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35" t="s">
        <v>534</v>
      </c>
      <c r="Q14" s="1506" t="str">
        <f t="shared" si="6"/>
        <v>交通便捷度</v>
      </c>
      <c r="R14" s="1507" t="s">
        <v>8</v>
      </c>
      <c r="S14" s="1508">
        <f t="shared" si="0"/>
        <v>100</v>
      </c>
      <c r="T14" s="1507" t="s">
        <v>8</v>
      </c>
      <c r="U14" s="1508">
        <f t="shared" si="1"/>
        <v>100</v>
      </c>
      <c r="V14" s="1507" t="s">
        <v>8</v>
      </c>
      <c r="W14" s="1508">
        <f t="shared" si="2"/>
        <v>100</v>
      </c>
      <c r="X14" s="1501"/>
      <c r="Y14" s="353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536"/>
      <c r="Q15" s="1506"/>
      <c r="R15" s="1507"/>
      <c r="S15" s="1508"/>
      <c r="T15" s="1507"/>
      <c r="U15" s="1508"/>
      <c r="V15" s="1507"/>
      <c r="W15" s="1508"/>
      <c r="X15" s="1501"/>
      <c r="Y15" s="3536"/>
      <c r="Z15" s="1509"/>
      <c r="AA15" s="1510">
        <v>1</v>
      </c>
      <c r="AB15" s="1510">
        <v>1</v>
      </c>
      <c r="AC15" s="1510">
        <v>1</v>
      </c>
    </row>
    <row r="16" spans="1:29" ht="42.75">
      <c r="A16" s="526"/>
      <c r="B16" s="2447"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36"/>
      <c r="Q16" s="1506" t="str">
        <f>B16</f>
        <v>公共配套设施</v>
      </c>
      <c r="R16" s="1507" t="s">
        <v>8</v>
      </c>
      <c r="S16" s="1508">
        <f>F16</f>
        <v>100</v>
      </c>
      <c r="T16" s="1507" t="s">
        <v>8</v>
      </c>
      <c r="U16" s="1508">
        <f>H16</f>
        <v>100</v>
      </c>
      <c r="V16" s="1507" t="s">
        <v>8</v>
      </c>
      <c r="W16" s="1508">
        <f>J16</f>
        <v>100</v>
      </c>
      <c r="X16" s="1501"/>
      <c r="Y16" s="353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536"/>
      <c r="Q17" s="1506"/>
      <c r="R17" s="1507"/>
      <c r="S17" s="1508"/>
      <c r="T17" s="1507"/>
      <c r="U17" s="1508"/>
      <c r="V17" s="1507"/>
      <c r="W17" s="1508"/>
      <c r="X17" s="1501"/>
      <c r="Y17" s="3536"/>
      <c r="Z17" s="1509"/>
      <c r="AA17" s="1510">
        <v>1</v>
      </c>
      <c r="AB17" s="1510">
        <v>1</v>
      </c>
      <c r="AC17" s="1510">
        <v>1</v>
      </c>
    </row>
    <row r="18" spans="1:29" ht="28.5">
      <c r="A18" s="526"/>
      <c r="B18" s="2435"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36"/>
      <c r="Q18" s="2429" t="str">
        <f>B18</f>
        <v>基础设施水平</v>
      </c>
      <c r="R18" s="1507" t="s">
        <v>8</v>
      </c>
      <c r="S18" s="1508">
        <f>F18</f>
        <v>100</v>
      </c>
      <c r="T18" s="1507" t="s">
        <v>8</v>
      </c>
      <c r="U18" s="1508">
        <f>H18</f>
        <v>100</v>
      </c>
      <c r="V18" s="1507" t="s">
        <v>8</v>
      </c>
      <c r="W18" s="1508">
        <f>J18</f>
        <v>100</v>
      </c>
      <c r="X18" s="2431"/>
      <c r="Y18" s="353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36"/>
      <c r="Q19" s="2429"/>
      <c r="R19" s="1507"/>
      <c r="S19" s="1508"/>
      <c r="T19" s="1507"/>
      <c r="U19" s="1508"/>
      <c r="V19" s="1507"/>
      <c r="W19" s="1508"/>
      <c r="X19" s="2431"/>
      <c r="Y19" s="3536"/>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36"/>
      <c r="Q20" s="1506" t="str">
        <f>B20</f>
        <v>自然及人文环境</v>
      </c>
      <c r="R20" s="1507" t="s">
        <v>8</v>
      </c>
      <c r="S20" s="1508">
        <f>F20</f>
        <v>100</v>
      </c>
      <c r="T20" s="1507" t="s">
        <v>8</v>
      </c>
      <c r="U20" s="1508">
        <f>H20</f>
        <v>100</v>
      </c>
      <c r="V20" s="1507" t="s">
        <v>8</v>
      </c>
      <c r="W20" s="1508">
        <f>J20</f>
        <v>100</v>
      </c>
      <c r="X20" s="1501"/>
      <c r="Y20" s="353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536"/>
      <c r="Q21" s="1506"/>
      <c r="R21" s="1507"/>
      <c r="S21" s="1508"/>
      <c r="T21" s="1507"/>
      <c r="U21" s="1508"/>
      <c r="V21" s="1507"/>
      <c r="W21" s="1508"/>
      <c r="X21" s="1501"/>
      <c r="Y21" s="353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36"/>
      <c r="Q22" s="1506" t="str">
        <f>B22</f>
        <v>楼层</v>
      </c>
      <c r="R22" s="1507" t="s">
        <v>8</v>
      </c>
      <c r="S22" s="1508">
        <f>F22</f>
        <v>100</v>
      </c>
      <c r="T22" s="1507" t="s">
        <v>8</v>
      </c>
      <c r="U22" s="1508">
        <f>H22</f>
        <v>100</v>
      </c>
      <c r="V22" s="1507" t="s">
        <v>8</v>
      </c>
      <c r="W22" s="1508">
        <f>J22</f>
        <v>100</v>
      </c>
      <c r="X22" s="1501"/>
      <c r="Y22" s="353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36"/>
      <c r="Q23" s="1506">
        <f>B23</f>
        <v>111</v>
      </c>
      <c r="R23" s="1507" t="s">
        <v>8</v>
      </c>
      <c r="S23" s="1508">
        <f>F23</f>
        <v>100</v>
      </c>
      <c r="T23" s="1507" t="s">
        <v>8</v>
      </c>
      <c r="U23" s="1508">
        <f>H23</f>
        <v>100</v>
      </c>
      <c r="V23" s="1507" t="s">
        <v>8</v>
      </c>
      <c r="W23" s="1508">
        <f>J23</f>
        <v>100</v>
      </c>
      <c r="X23" s="1501"/>
      <c r="Y23" s="353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36"/>
      <c r="Q24" s="1506">
        <f t="shared" ref="Q24:Q34" si="11">B24</f>
        <v>111</v>
      </c>
      <c r="R24" s="1507" t="s">
        <v>8</v>
      </c>
      <c r="S24" s="1508">
        <f>F24</f>
        <v>100</v>
      </c>
      <c r="T24" s="1507" t="s">
        <v>8</v>
      </c>
      <c r="U24" s="1508">
        <f>H24</f>
        <v>100</v>
      </c>
      <c r="V24" s="1507" t="s">
        <v>8</v>
      </c>
      <c r="W24" s="1508">
        <f>J24</f>
        <v>100</v>
      </c>
      <c r="X24" s="1501"/>
      <c r="Y24" s="3536"/>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36"/>
      <c r="Q25" s="1134">
        <f t="shared" si="11"/>
        <v>111</v>
      </c>
      <c r="R25" s="1502" t="s">
        <v>8</v>
      </c>
      <c r="S25" s="1503">
        <f>F25</f>
        <v>100</v>
      </c>
      <c r="T25" s="1502" t="s">
        <v>8</v>
      </c>
      <c r="U25" s="1503">
        <f>H25</f>
        <v>100</v>
      </c>
      <c r="V25" s="1502" t="s">
        <v>8</v>
      </c>
      <c r="W25" s="1503">
        <f>J25</f>
        <v>100</v>
      </c>
      <c r="X25" s="1504"/>
      <c r="Y25" s="3536"/>
      <c r="Z25" s="1133">
        <f>Q25</f>
        <v>111</v>
      </c>
      <c r="AA25" s="1510">
        <f>D25/F25</f>
        <v>1</v>
      </c>
      <c r="AB25" s="1510">
        <f>D25/H25</f>
        <v>1</v>
      </c>
      <c r="AC25" s="1510">
        <f>D25/J25</f>
        <v>1</v>
      </c>
    </row>
    <row r="26" spans="1:29" ht="15">
      <c r="A26" s="2624" t="s">
        <v>2733</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3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38"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38"/>
      <c r="Q27" s="1535" t="str">
        <f t="shared" si="11"/>
        <v>成新率</v>
      </c>
      <c r="R27" s="1511" t="s">
        <v>8</v>
      </c>
      <c r="S27" s="1512" t="e">
        <f t="shared" si="12"/>
        <v>#N/A</v>
      </c>
      <c r="T27" s="1511" t="s">
        <v>8</v>
      </c>
      <c r="U27" s="1512" t="e">
        <f t="shared" si="13"/>
        <v>#N/A</v>
      </c>
      <c r="V27" s="1511" t="s">
        <v>8</v>
      </c>
      <c r="W27" s="1512" t="e">
        <f t="shared" si="14"/>
        <v>#N/A</v>
      </c>
      <c r="X27" s="1513"/>
      <c r="Y27" s="353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38"/>
      <c r="Q28" s="1506" t="str">
        <f t="shared" si="11"/>
        <v>物业等级</v>
      </c>
      <c r="R28" s="1507" t="s">
        <v>8</v>
      </c>
      <c r="S28" s="1508">
        <f t="shared" si="12"/>
        <v>100</v>
      </c>
      <c r="T28" s="1507" t="s">
        <v>8</v>
      </c>
      <c r="U28" s="1508">
        <f t="shared" si="13"/>
        <v>100</v>
      </c>
      <c r="V28" s="1507" t="s">
        <v>8</v>
      </c>
      <c r="W28" s="1508">
        <f t="shared" si="14"/>
        <v>100</v>
      </c>
      <c r="X28" s="1501"/>
      <c r="Y28" s="3538"/>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38"/>
      <c r="Q29" s="1506" t="str">
        <f t="shared" si="11"/>
        <v>有无电梯</v>
      </c>
      <c r="R29" s="1507" t="s">
        <v>8</v>
      </c>
      <c r="S29" s="1508">
        <f t="shared" si="12"/>
        <v>100</v>
      </c>
      <c r="T29" s="1507" t="s">
        <v>8</v>
      </c>
      <c r="U29" s="1508">
        <f t="shared" si="13"/>
        <v>100</v>
      </c>
      <c r="V29" s="1507" t="s">
        <v>8</v>
      </c>
      <c r="W29" s="1508">
        <f t="shared" si="14"/>
        <v>100</v>
      </c>
      <c r="X29" s="1501"/>
      <c r="Y29" s="3538"/>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38"/>
      <c r="Q30" s="1506" t="str">
        <f t="shared" si="11"/>
        <v>建筑面积</v>
      </c>
      <c r="R30" s="1507" t="s">
        <v>8</v>
      </c>
      <c r="S30" s="1508" t="e">
        <f t="shared" si="12"/>
        <v>#N/A</v>
      </c>
      <c r="T30" s="1507" t="s">
        <v>8</v>
      </c>
      <c r="U30" s="1508" t="e">
        <f t="shared" si="13"/>
        <v>#N/A</v>
      </c>
      <c r="V30" s="1507" t="s">
        <v>8</v>
      </c>
      <c r="W30" s="1508" t="e">
        <f t="shared" si="14"/>
        <v>#N/A</v>
      </c>
      <c r="X30" s="1501"/>
      <c r="Y30" s="3538"/>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38"/>
      <c r="Q31" s="1134" t="str">
        <f t="shared" si="11"/>
        <v>是否封闭</v>
      </c>
      <c r="R31" s="1502" t="s">
        <v>8</v>
      </c>
      <c r="S31" s="1503">
        <f t="shared" si="12"/>
        <v>100</v>
      </c>
      <c r="T31" s="1502" t="s">
        <v>8</v>
      </c>
      <c r="U31" s="1503">
        <f t="shared" si="13"/>
        <v>100</v>
      </c>
      <c r="V31" s="1502" t="s">
        <v>8</v>
      </c>
      <c r="W31" s="1503">
        <f t="shared" si="14"/>
        <v>100</v>
      </c>
      <c r="X31" s="1504"/>
      <c r="Y31" s="3538"/>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38" t="s">
        <v>544</v>
      </c>
      <c r="Q32" s="1506">
        <f t="shared" si="11"/>
        <v>111</v>
      </c>
      <c r="R32" s="1507" t="s">
        <v>8</v>
      </c>
      <c r="S32" s="1508">
        <f t="shared" si="12"/>
        <v>100</v>
      </c>
      <c r="T32" s="1507" t="s">
        <v>8</v>
      </c>
      <c r="U32" s="1508">
        <f t="shared" si="13"/>
        <v>100</v>
      </c>
      <c r="V32" s="1507" t="s">
        <v>8</v>
      </c>
      <c r="W32" s="1508">
        <f t="shared" si="14"/>
        <v>100</v>
      </c>
      <c r="X32" s="1501"/>
      <c r="Y32" s="3538"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38"/>
      <c r="Q33" s="1506">
        <f t="shared" si="11"/>
        <v>111</v>
      </c>
      <c r="R33" s="1507" t="s">
        <v>8</v>
      </c>
      <c r="S33" s="1508">
        <f t="shared" si="12"/>
        <v>100</v>
      </c>
      <c r="T33" s="1507" t="s">
        <v>8</v>
      </c>
      <c r="U33" s="1508">
        <f t="shared" si="13"/>
        <v>100</v>
      </c>
      <c r="V33" s="1507" t="s">
        <v>8</v>
      </c>
      <c r="W33" s="1508">
        <f t="shared" si="14"/>
        <v>100</v>
      </c>
      <c r="X33" s="1501"/>
      <c r="Y33" s="3538"/>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38"/>
      <c r="Q34" s="1506">
        <f t="shared" si="11"/>
        <v>111</v>
      </c>
      <c r="R34" s="1507" t="s">
        <v>8</v>
      </c>
      <c r="S34" s="1508">
        <f t="shared" si="12"/>
        <v>100</v>
      </c>
      <c r="T34" s="1507" t="s">
        <v>8</v>
      </c>
      <c r="U34" s="1508">
        <f t="shared" si="13"/>
        <v>100</v>
      </c>
      <c r="V34" s="1507" t="s">
        <v>8</v>
      </c>
      <c r="W34" s="1508">
        <f t="shared" si="14"/>
        <v>100</v>
      </c>
      <c r="X34" s="1501"/>
      <c r="Y34" s="3538"/>
      <c r="Z34" s="1509">
        <f t="shared" si="15"/>
        <v>111</v>
      </c>
      <c r="AA34" s="1510">
        <f t="shared" si="3"/>
        <v>1</v>
      </c>
      <c r="AB34" s="1510">
        <f t="shared" si="4"/>
        <v>1</v>
      </c>
      <c r="AC34" s="1510">
        <f t="shared" si="5"/>
        <v>1</v>
      </c>
    </row>
    <row r="35" spans="1:29" ht="15">
      <c r="A35" s="601" t="s">
        <v>730</v>
      </c>
      <c r="B35" s="876"/>
      <c r="C35" s="2470" t="s">
        <v>1</v>
      </c>
      <c r="D35" s="2471"/>
      <c r="E35" s="2472"/>
      <c r="F35" s="2473"/>
      <c r="G35" s="2474"/>
      <c r="H35" s="2475"/>
      <c r="I35" s="2472"/>
      <c r="J35" s="2475"/>
      <c r="K35" s="1540"/>
      <c r="L35" s="2026"/>
      <c r="M35" s="2027"/>
      <c r="N35" s="2016"/>
      <c r="O35" s="2027"/>
      <c r="P35" s="3533" t="str">
        <f>A35</f>
        <v>成交单价（元/平方米）</v>
      </c>
      <c r="Q35" s="3533"/>
      <c r="R35" s="3637">
        <f>E35</f>
        <v>0</v>
      </c>
      <c r="S35" s="3637"/>
      <c r="T35" s="3637">
        <f>G35</f>
        <v>0</v>
      </c>
      <c r="U35" s="3637"/>
      <c r="V35" s="3637">
        <f>I35</f>
        <v>0</v>
      </c>
      <c r="W35" s="3637"/>
      <c r="X35" s="1496"/>
      <c r="Y35" s="1515"/>
      <c r="Z35" s="1496"/>
      <c r="AA35" s="1496"/>
      <c r="AB35" s="1496"/>
      <c r="AC35" s="1496"/>
    </row>
    <row r="36" spans="1:29" ht="15.75" thickBot="1">
      <c r="A36" s="609" t="s">
        <v>2738</v>
      </c>
      <c r="B36" s="877"/>
      <c r="C36" s="2476" t="e">
        <f>R37</f>
        <v>#DIV/0!</v>
      </c>
      <c r="D36" s="3014" t="s">
        <v>2966</v>
      </c>
      <c r="E36" s="2477" t="e">
        <f>R36</f>
        <v>#DIV/0!</v>
      </c>
      <c r="F36" s="3015"/>
      <c r="G36" s="2476" t="e">
        <f>T36</f>
        <v>#DIV/0!</v>
      </c>
      <c r="H36" s="3015"/>
      <c r="I36" s="2477" t="e">
        <f>V36</f>
        <v>#DIV/0!</v>
      </c>
      <c r="J36" s="3015"/>
      <c r="K36" s="3023">
        <f>F36+H36+J36</f>
        <v>0</v>
      </c>
      <c r="L36" s="2026"/>
      <c r="M36" s="2027"/>
      <c r="N36" s="2016"/>
      <c r="O36" s="2027"/>
      <c r="P36" s="3533" t="str">
        <f>A36</f>
        <v>比较价格（元/平方米）</v>
      </c>
      <c r="Q36" s="3533"/>
      <c r="R36" s="3637" t="e">
        <f>IF(F1="售价",ROUND(PRODUCT(R35,AA7:AA34),0),ROUND(PRODUCT(R35,AA7:AA34),1))</f>
        <v>#DIV/0!</v>
      </c>
      <c r="S36" s="3637"/>
      <c r="T36" s="3637" t="e">
        <f>IF(F1="售价",ROUND(PRODUCT(T35,AB7:AB34),0),ROUND(PRODUCT(T35,AB7:AB34),1))</f>
        <v>#DIV/0!</v>
      </c>
      <c r="U36" s="3637"/>
      <c r="V36" s="3637" t="e">
        <f>IF(F1="售价",ROUND(PRODUCT(V35,AC7:AC34),0),ROUND(PRODUCT(V35,AC7:AC34),1))</f>
        <v>#DIV/0!</v>
      </c>
      <c r="W36" s="3637"/>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55" t="str">
        <f>A37</f>
        <v>估价对象XX用房的比较价格（楼面单价，元/平方米）</v>
      </c>
      <c r="Q37" s="3556"/>
      <c r="R37" s="3636" t="e">
        <f>IF(F1="售价",ROUND(IF(D36="简单平均",AVERAGE(R36:W36),R36*F36+T36*H36+V36*J36),0),ROUND(IF(D36="简单平均",AVERAGE(R36:V36),R36*F36+T36*H36+V36*J36),1))</f>
        <v>#DIV/0!</v>
      </c>
      <c r="S37" s="3636"/>
      <c r="T37" s="3636"/>
      <c r="U37" s="3636"/>
      <c r="V37" s="3636"/>
      <c r="W37" s="3636"/>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2020-10</v>
      </c>
      <c r="D46" s="2521">
        <f>EDATE(C46,-1)</f>
        <v>44075</v>
      </c>
      <c r="E46" s="2521">
        <f t="shared" ref="E46:O46" si="16">EDATE(D46,-1)</f>
        <v>44044</v>
      </c>
      <c r="F46" s="2521">
        <f t="shared" si="16"/>
        <v>44013</v>
      </c>
      <c r="G46" s="2521">
        <f t="shared" si="16"/>
        <v>43983</v>
      </c>
      <c r="H46" s="2521">
        <f t="shared" si="16"/>
        <v>43952</v>
      </c>
      <c r="I46" s="2521">
        <f t="shared" si="16"/>
        <v>43922</v>
      </c>
      <c r="J46" s="2521">
        <f t="shared" si="16"/>
        <v>43891</v>
      </c>
      <c r="K46" s="2521">
        <f t="shared" si="16"/>
        <v>43862</v>
      </c>
      <c r="L46" s="2521">
        <f t="shared" si="16"/>
        <v>43831</v>
      </c>
      <c r="M46" s="2521">
        <f t="shared" si="16"/>
        <v>43800</v>
      </c>
      <c r="N46" s="2521">
        <f t="shared" si="16"/>
        <v>43770</v>
      </c>
      <c r="O46" s="2521">
        <f t="shared" si="16"/>
        <v>43739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M34" sqref="M34"/>
      <selection pane="bottomLeft" activeCell="M34" sqref="M3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2289</v>
      </c>
      <c r="C1" s="3646" t="s">
        <v>2290</v>
      </c>
      <c r="D1" s="3647"/>
      <c r="E1" s="3647"/>
      <c r="F1" s="3647"/>
      <c r="G1" s="3647"/>
      <c r="H1" s="3647"/>
      <c r="I1" s="3647"/>
      <c r="J1" s="3647"/>
      <c r="K1" s="3647"/>
      <c r="L1" s="3647"/>
      <c r="M1" s="3647"/>
      <c r="N1" s="3647"/>
      <c r="O1" s="3647"/>
      <c r="P1" s="3647"/>
      <c r="Q1" s="3647"/>
      <c r="R1" s="3647"/>
      <c r="S1" s="3648"/>
      <c r="T1" s="2114" t="s">
        <v>2291</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2292</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2890</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2889</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2888</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2887</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2886</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2293</v>
      </c>
      <c r="B17" s="2158" t="s">
        <v>2294</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43" t="s">
        <v>20</v>
      </c>
      <c r="D22" s="3644"/>
      <c r="E22" s="3644"/>
      <c r="F22" s="3644"/>
      <c r="G22" s="3644"/>
      <c r="H22" s="3644"/>
      <c r="I22" s="3644"/>
      <c r="J22" s="3644"/>
      <c r="K22" s="3644"/>
      <c r="L22" s="3644"/>
      <c r="M22" s="3644"/>
      <c r="N22" s="3644"/>
      <c r="O22" s="3644"/>
      <c r="P22" s="3644"/>
      <c r="Q22" s="3645"/>
      <c r="R22" s="484" t="e">
        <f>ROUND(S22*10000/B22,0)</f>
        <v>#DIV/0!</v>
      </c>
      <c r="S22" s="53">
        <f>SUM(S24:S10000)</f>
        <v>0</v>
      </c>
    </row>
    <row r="23" spans="1:45" s="1542" customFormat="1" ht="24">
      <c r="A23" s="17" t="s">
        <v>824</v>
      </c>
      <c r="B23" s="2861" t="s">
        <v>2909</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2765</v>
      </c>
      <c r="C1" s="2721">
        <f>项目基本情况!D3</f>
        <v>44127</v>
      </c>
      <c r="H1" s="2655">
        <f>IF(C1&gt;C13,0,MATCH(C1,C$13:C$100,-1))+IF(SUMIF(C13:C100,C1,D13:D100)=0,13,12)</f>
        <v>13</v>
      </c>
      <c r="I1" s="2655">
        <f ca="1">MATCH(C2,H3:H7,1)+IF(SUMIF(H3:H7,C2,I3:I7)=0,2,1)</f>
        <v>6</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2796</v>
      </c>
      <c r="C2" s="2722">
        <f>'数据-取费表'!B22</f>
        <v>5</v>
      </c>
      <c r="D2" s="2717" t="s">
        <v>2766</v>
      </c>
      <c r="E2" s="2720">
        <f ca="1">INDIRECT("I"&amp;$I$1)/100</f>
        <v>4.7500000000000001E-2</v>
      </c>
      <c r="G2" s="2657"/>
      <c r="H2" s="2657"/>
      <c r="I2" s="2657" t="s">
        <v>2767</v>
      </c>
      <c r="K2" s="2657"/>
      <c r="L2" s="2657"/>
      <c r="M2" s="2657"/>
      <c r="N2" s="2657" t="s">
        <v>2768</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2798</v>
      </c>
      <c r="C3" s="2719">
        <f>'数据-取费表'!B19</f>
        <v>0</v>
      </c>
      <c r="D3" s="2717" t="s">
        <v>2766</v>
      </c>
      <c r="E3" s="2720">
        <f ca="1">INDIRECT("J"&amp;$J$1)/100</f>
        <v>0</v>
      </c>
      <c r="G3" s="2659" t="s">
        <v>2769</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2797</v>
      </c>
      <c r="C4" s="2720">
        <f ca="1">N4/100</f>
        <v>1.4999999999999999E-2</v>
      </c>
      <c r="G4" s="2665" t="s">
        <v>2770</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2771</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2772</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2773</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2774</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2775</v>
      </c>
      <c r="C10" s="2684"/>
      <c r="D10" s="2684"/>
      <c r="E10" s="2684"/>
      <c r="F10" s="2684"/>
      <c r="G10" s="2684"/>
      <c r="H10" s="2684"/>
      <c r="I10" s="2658"/>
      <c r="J10" s="2658"/>
      <c r="K10" s="2684"/>
      <c r="L10" s="2685" t="s">
        <v>2776</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2777</v>
      </c>
      <c r="C11" s="2689" t="s">
        <v>2778</v>
      </c>
      <c r="D11" s="2690" t="s">
        <v>2779</v>
      </c>
      <c r="E11" s="2691"/>
      <c r="F11" s="2690" t="s">
        <v>2780</v>
      </c>
      <c r="G11" s="2692"/>
      <c r="H11" s="2691"/>
      <c r="I11" s="2690" t="s">
        <v>2781</v>
      </c>
      <c r="J11" s="2691"/>
      <c r="K11" s="2687"/>
      <c r="L11" s="2688" t="s">
        <v>2777</v>
      </c>
      <c r="M11" s="2689" t="s">
        <v>2778</v>
      </c>
      <c r="N11" s="2688" t="s">
        <v>2782</v>
      </c>
      <c r="O11" s="2690" t="s">
        <v>2783</v>
      </c>
      <c r="P11" s="2692"/>
      <c r="Q11" s="2692"/>
      <c r="R11" s="2692"/>
      <c r="S11" s="2692"/>
      <c r="T11" s="2691"/>
      <c r="U11" s="2690" t="s">
        <v>2784</v>
      </c>
      <c r="V11" s="2692"/>
      <c r="W11" s="2691"/>
      <c r="X11" s="2688" t="s">
        <v>2785</v>
      </c>
      <c r="Y11" s="2688" t="s">
        <v>2786</v>
      </c>
      <c r="Z11" s="2688" t="s">
        <v>2787</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2788</v>
      </c>
      <c r="E12" s="2697" t="s">
        <v>2789</v>
      </c>
      <c r="F12" s="2697" t="s">
        <v>2790</v>
      </c>
      <c r="G12" s="2697" t="s">
        <v>2791</v>
      </c>
      <c r="H12" s="2697" t="s">
        <v>2773</v>
      </c>
      <c r="I12" s="2698" t="s">
        <v>2792</v>
      </c>
      <c r="J12" s="2698" t="s">
        <v>2792</v>
      </c>
      <c r="K12" s="2694"/>
      <c r="L12" s="2695"/>
      <c r="M12" s="2696"/>
      <c r="N12" s="2695"/>
      <c r="O12" s="2698" t="s">
        <v>2793</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2794</v>
      </c>
      <c r="C13" s="2702">
        <v>42301</v>
      </c>
      <c r="D13" s="2703">
        <v>4.3499999999999996</v>
      </c>
      <c r="E13" s="2703">
        <v>4.3499999999999996</v>
      </c>
      <c r="F13" s="2703">
        <v>4.75</v>
      </c>
      <c r="G13" s="2703">
        <v>4.75</v>
      </c>
      <c r="H13" s="2703">
        <v>4.9000000000000004</v>
      </c>
      <c r="I13" s="2703">
        <v>2.75</v>
      </c>
      <c r="J13" s="2703">
        <v>3.25</v>
      </c>
      <c r="K13" s="2700"/>
      <c r="L13" s="2701" t="s">
        <v>2794</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2795</v>
      </c>
      <c r="Y42" s="2707" t="s">
        <v>2795</v>
      </c>
      <c r="Z42" s="2707" t="s">
        <v>2795</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2795</v>
      </c>
      <c r="Y43" s="2707" t="s">
        <v>2795</v>
      </c>
      <c r="Z43" s="2707" t="s">
        <v>2795</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2795</v>
      </c>
      <c r="Y44" s="2707" t="s">
        <v>2795</v>
      </c>
      <c r="Z44" s="2707" t="s">
        <v>2795</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2795</v>
      </c>
      <c r="Y45" s="2707" t="s">
        <v>2795</v>
      </c>
      <c r="Z45" s="2707" t="s">
        <v>2795</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2795</v>
      </c>
      <c r="Y46" s="2707" t="s">
        <v>2795</v>
      </c>
      <c r="Z46" s="2707" t="s">
        <v>2795</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2795</v>
      </c>
      <c r="Y47" s="2707" t="s">
        <v>2795</v>
      </c>
      <c r="Z47" s="2707" t="s">
        <v>2795</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2795</v>
      </c>
      <c r="Y48" s="2707" t="s">
        <v>2795</v>
      </c>
      <c r="Z48" s="2707" t="s">
        <v>2795</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2795</v>
      </c>
      <c r="Y49" s="2707" t="s">
        <v>2795</v>
      </c>
      <c r="Z49" s="2707" t="s">
        <v>2795</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2795</v>
      </c>
      <c r="Y50" s="2707" t="s">
        <v>2795</v>
      </c>
      <c r="Z50" s="2707" t="s">
        <v>2795</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2795</v>
      </c>
      <c r="V51" s="2707" t="s">
        <v>2795</v>
      </c>
      <c r="W51" s="2707" t="s">
        <v>2795</v>
      </c>
      <c r="X51" s="2707" t="s">
        <v>2795</v>
      </c>
      <c r="Y51" s="2707" t="s">
        <v>2795</v>
      </c>
      <c r="Z51" s="2707" t="s">
        <v>2795</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2795</v>
      </c>
      <c r="J55" s="2707" t="s">
        <v>2795</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Normal="60" zoomScaleSheetLayoutView="100" workbookViewId="0">
      <selection activeCell="C43" sqref="C4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1668</v>
      </c>
      <c r="D1" s="2798" t="s">
        <v>943</v>
      </c>
      <c r="E1" s="2242" t="s">
        <v>2357</v>
      </c>
      <c r="F1" s="2243">
        <f ca="1">J53</f>
        <v>35.35</v>
      </c>
      <c r="G1" s="3259">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783418</v>
      </c>
      <c r="C2" s="3264"/>
      <c r="D2" s="3265"/>
      <c r="E2" s="3266"/>
      <c r="F2" s="3266"/>
      <c r="G2" s="3260"/>
      <c r="H2" s="1940"/>
      <c r="I2" s="1940"/>
      <c r="J2" s="1940"/>
      <c r="K2" s="1941"/>
      <c r="L2" s="1940"/>
      <c r="M2" s="1940"/>
    </row>
    <row r="3" spans="1:33" ht="18" customHeight="1" thickBot="1">
      <c r="A3" s="822" t="s">
        <v>1718</v>
      </c>
      <c r="B3" s="823">
        <f ca="1">IF(ISERROR(B2*10000/F43),0,ROUND(B2*10000/F43,0))</f>
        <v>51822</v>
      </c>
      <c r="C3" s="3264"/>
      <c r="D3" s="3265"/>
      <c r="E3" s="3266"/>
      <c r="F3" s="3266"/>
      <c r="G3" s="3260"/>
      <c r="H3" s="766" t="s">
        <v>689</v>
      </c>
      <c r="I3" s="1316"/>
      <c r="J3" s="1316"/>
      <c r="K3" s="1525"/>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2438</v>
      </c>
      <c r="C5" s="55">
        <f ca="1">C6+C10+C12</f>
        <v>64640</v>
      </c>
      <c r="D5" s="2349" t="s">
        <v>2441</v>
      </c>
      <c r="E5" s="2343"/>
      <c r="F5" s="2344"/>
      <c r="G5" s="1945"/>
      <c r="H5" s="771">
        <v>1</v>
      </c>
      <c r="I5" s="772" t="s">
        <v>2438</v>
      </c>
      <c r="J5" s="55">
        <f ca="1">J6+J10+J12</f>
        <v>0</v>
      </c>
      <c r="K5" s="2349" t="s">
        <v>2441</v>
      </c>
      <c r="L5" s="2343"/>
      <c r="M5" s="2344"/>
    </row>
    <row r="6" spans="1:33" ht="18" customHeight="1">
      <c r="A6" s="1745" t="s">
        <v>1815</v>
      </c>
      <c r="B6" s="3609" t="s">
        <v>2443</v>
      </c>
      <c r="C6" s="773">
        <f ca="1">ROUND(F6*F8*F7*(1-F9)/10000,0)</f>
        <v>64559</v>
      </c>
      <c r="D6" s="2350" t="s">
        <v>2442</v>
      </c>
      <c r="E6" s="774" t="s">
        <v>1729</v>
      </c>
      <c r="F6" s="775">
        <f ca="1">INDIRECT("'数据-取费表'!u"&amp;$G$1)</f>
        <v>13</v>
      </c>
      <c r="G6" s="1945"/>
      <c r="H6" s="2357" t="s">
        <v>2448</v>
      </c>
      <c r="I6" s="3609" t="s">
        <v>2443</v>
      </c>
      <c r="J6" s="773">
        <f ca="1">ROUND(M6*M8*M7*(1-M9)/10000,0)</f>
        <v>0</v>
      </c>
      <c r="K6" s="339" t="s">
        <v>1728</v>
      </c>
      <c r="L6" s="774" t="s">
        <v>1729</v>
      </c>
      <c r="M6" s="775">
        <f ca="1">INDIRECT("'数据-取费表'!z"&amp;$G$1)</f>
        <v>0</v>
      </c>
    </row>
    <row r="7" spans="1:33" ht="18" customHeight="1">
      <c r="A7" s="2353"/>
      <c r="B7" s="3610"/>
      <c r="C7" s="778"/>
      <c r="D7" s="779"/>
      <c r="E7" s="774" t="s">
        <v>1730</v>
      </c>
      <c r="F7" s="775">
        <f ca="1">IF(INDIRECT("'数据-取费表'!ah"&amp;$G$1)="",INDIRECT("'数据-取费表'!k"&amp;$G$1),INDIRECT("'数据-取费表'!ah"&amp;$G$1))</f>
        <v>151175</v>
      </c>
      <c r="G7" s="1945"/>
      <c r="H7" s="2342"/>
      <c r="I7" s="3610"/>
      <c r="J7" s="778"/>
      <c r="K7" s="779"/>
      <c r="L7" s="774" t="s">
        <v>1730</v>
      </c>
      <c r="M7" s="775">
        <f ca="1">F7</f>
        <v>151175</v>
      </c>
    </row>
    <row r="8" spans="1:33" ht="18" customHeight="1">
      <c r="A8" s="2346"/>
      <c r="B8" s="3611"/>
      <c r="C8" s="778"/>
      <c r="D8" s="779"/>
      <c r="E8" s="774" t="s">
        <v>1731</v>
      </c>
      <c r="F8" s="775">
        <f ca="1">INDIRECT("'数据-取费表'!ai"&amp;$G$1)</f>
        <v>365</v>
      </c>
      <c r="G8" s="1945"/>
      <c r="H8" s="2342"/>
      <c r="I8" s="3611"/>
      <c r="J8" s="778"/>
      <c r="K8" s="779"/>
      <c r="L8" s="774" t="s">
        <v>1731</v>
      </c>
      <c r="M8" s="775">
        <f ca="1">INDIRECT("'数据-取费表'!ai"&amp;$G$1)</f>
        <v>365</v>
      </c>
    </row>
    <row r="9" spans="1:33" ht="18" customHeight="1">
      <c r="A9" s="776"/>
      <c r="B9" s="3612"/>
      <c r="C9" s="778"/>
      <c r="D9" s="779"/>
      <c r="E9" s="774" t="s">
        <v>1732</v>
      </c>
      <c r="F9" s="784">
        <f ca="1">INDIRECT("'数据-取费表'!w"&amp;$G$1)</f>
        <v>0.1</v>
      </c>
      <c r="G9" s="1945"/>
      <c r="H9" s="2358"/>
      <c r="I9" s="3611"/>
      <c r="J9" s="778"/>
      <c r="K9" s="779"/>
      <c r="L9" s="785" t="s">
        <v>1732</v>
      </c>
      <c r="M9" s="786">
        <f ca="1">INDIRECT("'数据-取费表'!ab"&amp;$G$1)</f>
        <v>0</v>
      </c>
    </row>
    <row r="10" spans="1:33" ht="18" customHeight="1">
      <c r="A10" s="1745" t="s">
        <v>2446</v>
      </c>
      <c r="B10" s="2347" t="s">
        <v>2439</v>
      </c>
      <c r="C10" s="789">
        <f ca="1">ROUND(IF(F10="押一",C6/12*F11,IF(F10="押二",C6/12*2*F11,IF(F10="押三",C6/12*3*F11,C11*F11))),0)</f>
        <v>81</v>
      </c>
      <c r="D10" s="2354" t="s">
        <v>2932</v>
      </c>
      <c r="E10" s="2351" t="s">
        <v>2444</v>
      </c>
      <c r="F10" s="2465" t="s">
        <v>3099</v>
      </c>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1733</v>
      </c>
      <c r="C13" s="782">
        <f ca="1">ROUND(C29*F13,0)</f>
        <v>327933</v>
      </c>
      <c r="D13" s="1749" t="s">
        <v>2283</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190462</v>
      </c>
      <c r="D14" s="1893" t="s">
        <v>1736</v>
      </c>
      <c r="E14" s="1894"/>
      <c r="F14" s="795"/>
      <c r="G14" s="1945"/>
      <c r="H14" s="1577" t="s">
        <v>1821</v>
      </c>
      <c r="I14" s="2111" t="s">
        <v>2803</v>
      </c>
      <c r="J14" s="53">
        <f ca="1">C29</f>
        <v>327933</v>
      </c>
      <c r="K14" s="26"/>
      <c r="L14" s="791"/>
      <c r="M14" s="792"/>
    </row>
    <row r="15" spans="1:33" s="1947" customFormat="1" ht="18" customHeight="1" thickBot="1">
      <c r="A15" s="1576" t="s">
        <v>1876</v>
      </c>
      <c r="B15" s="774" t="s">
        <v>641</v>
      </c>
      <c r="C15" s="53">
        <f ca="1">ROUND(C14*F15,0)</f>
        <v>5714</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34138</v>
      </c>
      <c r="K16" s="1736" t="s">
        <v>1741</v>
      </c>
      <c r="L16" s="2339"/>
      <c r="M16" s="2344"/>
    </row>
    <row r="17" spans="1:33" s="1947" customFormat="1" ht="18" customHeight="1">
      <c r="A17" s="1576" t="s">
        <v>1878</v>
      </c>
      <c r="B17" s="774" t="s">
        <v>647</v>
      </c>
      <c r="C17" s="53">
        <f ca="1">ROUND(F17*(F43+INDIRECT("'数据-取费表'!S"&amp;$G$1))/10000,0)</f>
        <v>3225</v>
      </c>
      <c r="D17" s="774" t="s">
        <v>1742</v>
      </c>
      <c r="E17" s="774" t="s">
        <v>1743</v>
      </c>
      <c r="F17" s="56">
        <f>'数据-取费表'!B35</f>
        <v>200</v>
      </c>
      <c r="G17" s="3261"/>
      <c r="H17" s="1577" t="s">
        <v>1821</v>
      </c>
      <c r="I17" s="774" t="s">
        <v>650</v>
      </c>
      <c r="J17" s="3019">
        <f ca="1">ROUND(IF(AND(项目基本情况!B11="自然人",项目基本情况!B10="北京市"),J6*M17/(1+'数据-取费表'!C42),J18+J19+J20),0)</f>
        <v>27579</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2857</v>
      </c>
      <c r="D18" s="774" t="s">
        <v>1737</v>
      </c>
      <c r="E18" s="774" t="s">
        <v>1738</v>
      </c>
      <c r="F18" s="799">
        <f>'数据-取费表'!B36</f>
        <v>1.4999999999999999E-2</v>
      </c>
      <c r="G18" s="3261"/>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202258</v>
      </c>
      <c r="D19" s="259" t="s">
        <v>1748</v>
      </c>
      <c r="E19" s="1896"/>
      <c r="F19" s="56"/>
      <c r="G19" s="1945"/>
      <c r="H19" s="1576" t="s">
        <v>1876</v>
      </c>
      <c r="I19" s="774" t="s">
        <v>1749</v>
      </c>
      <c r="J19" s="53">
        <f ca="1">IF(K19="按租金收入计税",ROUND(J6*M19/(1+'数据-取费表'!C42),1),ROUND(C29*F33*0.7,1))</f>
        <v>27546.400000000001</v>
      </c>
      <c r="K19" s="800" t="s">
        <v>659</v>
      </c>
      <c r="L19" s="774" t="s">
        <v>1738</v>
      </c>
      <c r="M19" s="799">
        <f>IF(K19="按租金收入计税",'数据-取费表'!B51,'数据-取费表'!B50)</f>
        <v>1.2E-2</v>
      </c>
    </row>
    <row r="20" spans="1:33" s="1947" customFormat="1" ht="18" customHeight="1">
      <c r="A20" s="1577" t="s">
        <v>1880</v>
      </c>
      <c r="B20" s="774" t="s">
        <v>660</v>
      </c>
      <c r="C20" s="53">
        <f ca="1">ROUND(C19*F20,0)</f>
        <v>6068</v>
      </c>
      <c r="D20" s="801" t="s">
        <v>1750</v>
      </c>
      <c r="E20" s="774" t="s">
        <v>1738</v>
      </c>
      <c r="F20" s="799">
        <f>'数据-取费表'!B37</f>
        <v>0.03</v>
      </c>
      <c r="G20" s="3261"/>
      <c r="H20" s="1579" t="s">
        <v>1871</v>
      </c>
      <c r="I20" s="339" t="s">
        <v>1751</v>
      </c>
      <c r="J20" s="54">
        <f ca="1">ROUND(M20*M21/10000,0)</f>
        <v>33</v>
      </c>
      <c r="K20" s="803" t="s">
        <v>1752</v>
      </c>
      <c r="L20" s="774" t="s">
        <v>1753</v>
      </c>
      <c r="M20" s="632">
        <f>'数据-取费表'!B52</f>
        <v>30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2284</v>
      </c>
      <c r="E21" s="774" t="s">
        <v>1756</v>
      </c>
      <c r="F21" s="799">
        <f>'数据-取费表'!B38</f>
        <v>0.03</v>
      </c>
      <c r="G21" s="3261"/>
      <c r="H21" s="2359"/>
      <c r="I21" s="783"/>
      <c r="J21" s="69"/>
      <c r="K21" s="805"/>
      <c r="L21" s="774" t="s">
        <v>1757</v>
      </c>
      <c r="M21" s="775">
        <f ca="1">INDIRECT("'数据-取费表'!r"&amp;$G$1)</f>
        <v>11132.66</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6559</v>
      </c>
      <c r="K22" s="2337" t="s">
        <v>1760</v>
      </c>
      <c r="L22" s="774" t="s">
        <v>1738</v>
      </c>
      <c r="M22" s="806">
        <f ca="1">INDIRECT("'数据-取费表'!Ak"&amp;$G$1)</f>
        <v>0.02</v>
      </c>
    </row>
    <row r="23" spans="1:33" s="1947" customFormat="1" ht="18" customHeight="1">
      <c r="A23" s="1576" t="s">
        <v>1822</v>
      </c>
      <c r="B23" s="774" t="s">
        <v>2515</v>
      </c>
      <c r="C23" s="53">
        <f ca="1">ROUND(IF('数据-取费表'!B22&lt;=1,(C19+C20)*F24*F23/2,(C19+C20)*(POWER((1+F24),F23/2)-1)),0)</f>
        <v>25627</v>
      </c>
      <c r="D23" s="2423" t="str">
        <f>IF(F23&lt;=1,"(建造成本+管理费用)×利率×(建设周期÷2)","(建造成本+管理费用)×((1+利率)^(建设周期÷2)-1)")</f>
        <v>(建造成本+管理费用)×((1+利率)^(建设周期÷2)-1)</v>
      </c>
      <c r="E23" s="774" t="s">
        <v>1761</v>
      </c>
      <c r="F23" s="632">
        <f>'数据-取费表'!B20</f>
        <v>5</v>
      </c>
      <c r="G23" s="3261"/>
      <c r="H23" s="1577" t="s">
        <v>1881</v>
      </c>
      <c r="I23" s="774" t="s">
        <v>673</v>
      </c>
      <c r="J23" s="53">
        <f ca="1">ROUND(J13*M23,0)</f>
        <v>0</v>
      </c>
      <c r="K23" s="2337" t="s">
        <v>1762</v>
      </c>
      <c r="L23" s="774" t="s">
        <v>1738</v>
      </c>
      <c r="M23" s="807">
        <f ca="1">INDIRECT("'数据-取费表'!Al"&amp;$G$1)</f>
        <v>2E-3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3.7000000000000002E-3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2.5000000000000001E-2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2799</v>
      </c>
      <c r="J25" s="782">
        <f ca="1">J5-J16</f>
        <v>-34138</v>
      </c>
      <c r="K25" s="2401" t="s">
        <v>1768</v>
      </c>
      <c r="L25" s="2402"/>
      <c r="M25" s="2403"/>
    </row>
    <row r="26" spans="1:33" ht="18" customHeight="1">
      <c r="A26" s="1576" t="s">
        <v>1822</v>
      </c>
      <c r="B26" s="774" t="s">
        <v>2420</v>
      </c>
      <c r="C26" s="53">
        <f ca="1">ROUND((C19+C20)*F26,0)</f>
        <v>62498</v>
      </c>
      <c r="D26" s="801" t="s">
        <v>1769</v>
      </c>
      <c r="E26" s="785" t="s">
        <v>1770</v>
      </c>
      <c r="F26" s="784">
        <f ca="1">INDIRECT("'数据-取费表'!q"&amp;$G$1)</f>
        <v>0.3</v>
      </c>
      <c r="G26" s="1945"/>
      <c r="H26" s="2355" t="s">
        <v>1771</v>
      </c>
      <c r="I26" s="2112" t="s">
        <v>2804</v>
      </c>
      <c r="J26" s="773">
        <f ca="1">IF(J5&lt;&gt;0,ROUND(J25*(1-((1+M28)/(1+M26))^M27)/(M26-M28),0),0)</f>
        <v>0</v>
      </c>
      <c r="K26" s="803" t="s">
        <v>1772</v>
      </c>
      <c r="L26" s="774" t="s">
        <v>2402</v>
      </c>
      <c r="M26" s="784">
        <f ca="1">INDIRECT("'数据-取费表'!I"&amp;$G$1)</f>
        <v>0.06</v>
      </c>
    </row>
    <row r="27" spans="1:33" ht="18" customHeight="1">
      <c r="A27" s="1576" t="s">
        <v>1823</v>
      </c>
      <c r="B27" s="774" t="s">
        <v>680</v>
      </c>
      <c r="C27" s="53">
        <f ca="1">ROUND(F21*F26,4)</f>
        <v>8.9999999999999993E-3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2285</v>
      </c>
      <c r="E28" s="774" t="s">
        <v>1776</v>
      </c>
      <c r="F28" s="799">
        <f>'数据-取费表'!B41</f>
        <v>5.6000000000000001E-2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2286</v>
      </c>
      <c r="C29" s="2397">
        <f ca="1">ROUND((C19+C20+C23+C26)/(1-F21-C24-C27-C28),0)</f>
        <v>327933</v>
      </c>
      <c r="D29" s="2398"/>
      <c r="E29" s="2399"/>
      <c r="F29" s="2400"/>
      <c r="G29" s="3261"/>
      <c r="H29" s="812" t="s">
        <v>1778</v>
      </c>
      <c r="I29" s="813" t="s">
        <v>1779</v>
      </c>
      <c r="J29" s="814">
        <f ca="1">ROUND(J26/(1+F40)^F41,0)</f>
        <v>0</v>
      </c>
      <c r="K29" s="815" t="s">
        <v>1780</v>
      </c>
      <c r="L29" s="816"/>
      <c r="M29" s="817">
        <f ca="1">INDIRECT("'数据-取费表'!k"&amp;$G$1)</f>
        <v>151175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19686</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10855</v>
      </c>
      <c r="D31" s="1893" t="s">
        <v>1783</v>
      </c>
      <c r="E31" s="1891" t="s">
        <v>1784</v>
      </c>
      <c r="F31" s="3018" t="str">
        <f>IF(项目基本情况!B11="企业","——",IF('数据-取费表'!B10="住宅",IF(F6*F7*F8/12/(1+'数据-取费表'!F30)&gt;100000,4%,2.5%),IF(F6*F7*F8/12/(1+'数据-取费表'!F30)&gt;100000,12%,7%)))</f>
        <v>——</v>
      </c>
      <c r="G31" s="1945"/>
      <c r="H31" s="3258" t="s">
        <v>2991</v>
      </c>
      <c r="I31" s="1949"/>
      <c r="J31" s="1950"/>
      <c r="K31" s="1951"/>
      <c r="L31" s="1952"/>
      <c r="M31" s="1953"/>
    </row>
    <row r="32" spans="1:33" ht="18" customHeight="1">
      <c r="A32" s="1576" t="s">
        <v>1822</v>
      </c>
      <c r="B32" s="774" t="s">
        <v>1785</v>
      </c>
      <c r="C32" s="53">
        <f ca="1">ROUND(C6*F32/(1+'数据-取费表'!C42),1)</f>
        <v>3443.1</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7378.2</v>
      </c>
      <c r="D33" s="800" t="s">
        <v>3100</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33.4</v>
      </c>
      <c r="D34" s="803" t="s">
        <v>1790</v>
      </c>
      <c r="E34" s="774" t="s">
        <v>1791</v>
      </c>
      <c r="F34" s="632">
        <f>'数据-取费表'!B52</f>
        <v>30</v>
      </c>
      <c r="G34" s="1945"/>
      <c r="H34" s="1948"/>
      <c r="I34" s="824" t="s">
        <v>1804</v>
      </c>
      <c r="J34" s="825"/>
      <c r="K34" s="1963"/>
      <c r="L34" s="1962"/>
      <c r="M34" s="1962"/>
    </row>
    <row r="35" spans="1:18" ht="18" customHeight="1">
      <c r="A35" s="804"/>
      <c r="B35" s="783"/>
      <c r="C35" s="69"/>
      <c r="D35" s="805"/>
      <c r="E35" s="774" t="s">
        <v>1792</v>
      </c>
      <c r="F35" s="775">
        <f ca="1">INDIRECT("'数据-取费表'!r"&amp;$G$1)</f>
        <v>11132.66</v>
      </c>
      <c r="G35" s="1945"/>
      <c r="H35" s="1948"/>
      <c r="I35" s="826" t="s">
        <v>1805</v>
      </c>
      <c r="J35" s="827">
        <f ca="1">ROUND(C13*J36,0)</f>
        <v>26235</v>
      </c>
      <c r="K35" s="1961"/>
      <c r="L35" s="1960"/>
      <c r="M35" s="1960"/>
    </row>
    <row r="36" spans="1:18" ht="18" customHeight="1">
      <c r="A36" s="1577" t="s">
        <v>1880</v>
      </c>
      <c r="B36" s="774" t="s">
        <v>1793</v>
      </c>
      <c r="C36" s="53">
        <f ca="1">ROUND(C29*F36,1)</f>
        <v>6558.7</v>
      </c>
      <c r="D36" s="1891" t="s">
        <v>1794</v>
      </c>
      <c r="E36" s="774" t="s">
        <v>1787</v>
      </c>
      <c r="F36" s="806">
        <f ca="1">INDIRECT("'数据-取费表'!Ak"&amp;$G$1)</f>
        <v>0.02</v>
      </c>
      <c r="G36" s="1945"/>
      <c r="H36" s="1960"/>
      <c r="I36" s="828" t="s">
        <v>1806</v>
      </c>
      <c r="J36" s="829">
        <f ca="1">INDIRECT("'数据-取费表'!j"&amp;$G$1)</f>
        <v>0.08</v>
      </c>
      <c r="K36" s="1964"/>
      <c r="L36" s="1960"/>
      <c r="M36" s="1960"/>
    </row>
    <row r="37" spans="1:18" ht="18" customHeight="1">
      <c r="A37" s="1577" t="s">
        <v>1881</v>
      </c>
      <c r="B37" s="774" t="s">
        <v>673</v>
      </c>
      <c r="C37" s="53">
        <f ca="1">ROUND(C13*F37,1)</f>
        <v>655.9</v>
      </c>
      <c r="D37" s="1891" t="s">
        <v>1795</v>
      </c>
      <c r="E37" s="774" t="s">
        <v>1787</v>
      </c>
      <c r="F37" s="807">
        <f ca="1">INDIRECT("'数据-取费表'!Al"&amp;$G$1)</f>
        <v>2E-3</v>
      </c>
      <c r="G37" s="1945"/>
      <c r="H37" s="1960"/>
      <c r="I37" s="830" t="s">
        <v>1807</v>
      </c>
      <c r="J37" s="831"/>
      <c r="K37" s="1964"/>
      <c r="L37" s="1960"/>
      <c r="M37" s="1960"/>
    </row>
    <row r="38" spans="1:18" ht="18" customHeight="1" thickBot="1">
      <c r="A38" s="2404" t="s">
        <v>1882</v>
      </c>
      <c r="B38" s="2399" t="s">
        <v>660</v>
      </c>
      <c r="C38" s="2397">
        <f ca="1">ROUND(C5*F38,1)</f>
        <v>1616</v>
      </c>
      <c r="D38" s="2398" t="s">
        <v>1796</v>
      </c>
      <c r="E38" s="2399" t="s">
        <v>1787</v>
      </c>
      <c r="F38" s="2395">
        <f ca="1">INDIRECT("'数据-取费表'!Am"&amp;$G$1)</f>
        <v>2.5000000000000001E-2</v>
      </c>
      <c r="G38" s="1945"/>
      <c r="H38" s="1960"/>
      <c r="I38" s="832" t="s">
        <v>1808</v>
      </c>
      <c r="J38" s="833"/>
      <c r="K38" s="1965"/>
      <c r="L38" s="1960"/>
      <c r="M38" s="1960"/>
    </row>
    <row r="39" spans="1:18" ht="24.6" customHeight="1" thickTop="1">
      <c r="A39" s="1744" t="s">
        <v>1885</v>
      </c>
      <c r="B39" s="2723" t="s">
        <v>2799</v>
      </c>
      <c r="C39" s="782">
        <f ca="1">C5-C30</f>
        <v>44954</v>
      </c>
      <c r="D39" s="2401" t="s">
        <v>1797</v>
      </c>
      <c r="E39" s="2402"/>
      <c r="F39" s="2403"/>
      <c r="G39" s="1945"/>
      <c r="H39" s="1960"/>
      <c r="I39" s="826" t="s">
        <v>1809</v>
      </c>
      <c r="J39" s="834">
        <f ca="1">ROUND(J35/C39,3)</f>
        <v>0.58399999999999996</v>
      </c>
      <c r="K39" s="1965"/>
      <c r="L39" s="1960"/>
      <c r="M39" s="1960"/>
    </row>
    <row r="40" spans="1:18" ht="18" customHeight="1">
      <c r="A40" s="771" t="s">
        <v>1886</v>
      </c>
      <c r="B40" s="2112" t="s">
        <v>2287</v>
      </c>
      <c r="C40" s="773">
        <f ca="1">ROUND(C39*(1-((1+F42)/(1+F40))^F41)/(F40-F42),0)</f>
        <v>783418</v>
      </c>
      <c r="D40" s="803" t="s">
        <v>1798</v>
      </c>
      <c r="E40" s="774" t="s">
        <v>2402</v>
      </c>
      <c r="F40" s="784">
        <f ca="1">INDIRECT("'数据-取费表'!I"&amp;$G$1)</f>
        <v>0.06</v>
      </c>
      <c r="G40" s="1945"/>
      <c r="H40" s="1945"/>
      <c r="I40" s="826" t="s">
        <v>1810</v>
      </c>
      <c r="J40" s="834">
        <f ca="1">1-J39</f>
        <v>0.41600000000000004</v>
      </c>
      <c r="K40" s="1965"/>
      <c r="L40" s="1945"/>
      <c r="M40" s="1945"/>
    </row>
    <row r="41" spans="1:18" ht="18" customHeight="1">
      <c r="A41" s="776"/>
      <c r="B41" s="777"/>
      <c r="C41" s="778"/>
      <c r="D41" s="810" t="s">
        <v>1799</v>
      </c>
      <c r="E41" s="774" t="s">
        <v>2923</v>
      </c>
      <c r="F41" s="811">
        <f ca="1">IF(INDIRECT("'数据-取费表'!af"&amp;$G$1)=0,INDIRECT("'数据-取费表'!ae"&amp;$G$1),INDIRECT("'数据-取费表'!af"&amp;$G$1))</f>
        <v>35.35</v>
      </c>
      <c r="G41" s="1945"/>
      <c r="H41" s="1900"/>
      <c r="I41" s="832" t="s">
        <v>1811</v>
      </c>
      <c r="J41" s="835"/>
      <c r="K41" s="1964"/>
      <c r="L41" s="1900"/>
      <c r="M41" s="1900"/>
    </row>
    <row r="42" spans="1:18" ht="18" customHeight="1">
      <c r="A42" s="780"/>
      <c r="B42" s="781"/>
      <c r="C42" s="782"/>
      <c r="D42" s="805"/>
      <c r="E42" s="774" t="s">
        <v>1800</v>
      </c>
      <c r="F42" s="784">
        <f ca="1">INDIRECT("'数据-取费表'!v"&amp;$G$1)</f>
        <v>1.4999999999999999E-2</v>
      </c>
      <c r="G42" s="1945"/>
      <c r="H42" s="1900"/>
      <c r="I42" s="836" t="s">
        <v>1812</v>
      </c>
      <c r="J42" s="834">
        <f ca="1">ROUND(C13/C40,3)</f>
        <v>0.41899999999999998</v>
      </c>
      <c r="K42" s="1964"/>
      <c r="L42" s="1900"/>
      <c r="M42" s="1900"/>
    </row>
    <row r="43" spans="1:18" ht="18" customHeight="1" thickBot="1">
      <c r="A43" s="812" t="s">
        <v>1778</v>
      </c>
      <c r="B43" s="813" t="s">
        <v>1801</v>
      </c>
      <c r="C43" s="814">
        <f ca="1">ROUND(C40*10000/F43,0)</f>
        <v>51822</v>
      </c>
      <c r="D43" s="815" t="s">
        <v>1802</v>
      </c>
      <c r="E43" s="816" t="s">
        <v>1803</v>
      </c>
      <c r="F43" s="817">
        <f ca="1">INDIRECT("'数据-取费表'!k"&amp;$G$1)</f>
        <v>151175</v>
      </c>
      <c r="G43" s="1945"/>
      <c r="H43" s="1900"/>
      <c r="I43" s="836" t="s">
        <v>1813</v>
      </c>
      <c r="J43" s="837">
        <f ca="1">1-J42</f>
        <v>0.58099999999999996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2281</v>
      </c>
      <c r="B46" s="1967"/>
      <c r="C46" s="2426">
        <f ca="1">C67-C40</f>
        <v>-888819</v>
      </c>
      <c r="D46" s="3262"/>
      <c r="E46" s="3262"/>
      <c r="F46" s="3262"/>
      <c r="I46" s="2233" t="s">
        <v>2326</v>
      </c>
      <c r="J46" s="2234"/>
      <c r="K46" s="2235"/>
      <c r="L46" s="2811" t="str">
        <f ca="1">IF(OR(M47="住宅",D1="土地（套用方法）"),0,IF(L48&gt;J51,L60,J60))</f>
        <v>0</v>
      </c>
      <c r="M46" s="3263"/>
      <c r="O46" s="2249" t="s">
        <v>2393</v>
      </c>
      <c r="P46" s="1526"/>
      <c r="Q46" s="1534"/>
      <c r="R46" s="1526"/>
    </row>
    <row r="47" spans="1:18" s="1942" customFormat="1" ht="18" customHeight="1" thickBot="1">
      <c r="A47" s="2227">
        <v>1</v>
      </c>
      <c r="B47" s="2228" t="s">
        <v>629</v>
      </c>
      <c r="C47" s="2426">
        <f ca="1">C48+C52+C54</f>
        <v>0</v>
      </c>
      <c r="D47" s="3262"/>
      <c r="E47" s="3262"/>
      <c r="F47" s="3262"/>
      <c r="I47" s="2802" t="s">
        <v>2327</v>
      </c>
      <c r="J47" s="2236" t="s">
        <v>3102</v>
      </c>
      <c r="K47" s="2808" t="s">
        <v>2332</v>
      </c>
      <c r="L47" s="2812">
        <f ca="1">INDIRECT("'数据-取费表'!d"&amp;$G$1)</f>
        <v>50</v>
      </c>
      <c r="M47" s="1534" t="str">
        <f>IF(ISNUMBER(FIND("住宅",C1)),"住宅","非住宅")</f>
        <v>非住宅</v>
      </c>
      <c r="O47" s="2250" t="s">
        <v>2358</v>
      </c>
      <c r="P47" s="2251" t="s">
        <v>2359</v>
      </c>
      <c r="Q47" s="2252" t="s">
        <v>2360</v>
      </c>
      <c r="R47" s="2251" t="s">
        <v>2361</v>
      </c>
    </row>
    <row r="48" spans="1:18" s="1942" customFormat="1" ht="18" customHeight="1" thickBot="1">
      <c r="A48" s="2484" t="s">
        <v>2517</v>
      </c>
      <c r="B48" s="2485" t="s">
        <v>2518</v>
      </c>
      <c r="C48" s="2229">
        <f ca="1">ROUND(F48*F50*F49*(1-F51)/10000,0)</f>
        <v>0</v>
      </c>
      <c r="D48" s="2230" t="s">
        <v>630</v>
      </c>
      <c r="E48" s="2231" t="s">
        <v>2282</v>
      </c>
      <c r="F48" s="2232"/>
      <c r="G48" s="1972"/>
      <c r="I48" s="2799" t="s">
        <v>2328</v>
      </c>
      <c r="J48" s="2237" t="s">
        <v>2333</v>
      </c>
      <c r="K48" s="2809" t="s">
        <v>2334</v>
      </c>
      <c r="L48" s="1822">
        <f ca="1">INDIRECT("'数据-取费表'!f"&amp;$G$1)</f>
        <v>35.35</v>
      </c>
      <c r="M48" s="3263"/>
      <c r="O48" s="2253" t="s">
        <v>2362</v>
      </c>
      <c r="P48" s="2254" t="s">
        <v>2388</v>
      </c>
      <c r="Q48" s="2255">
        <f ca="1">C40+J29</f>
        <v>783418</v>
      </c>
      <c r="R48" s="2254" t="s">
        <v>2363</v>
      </c>
    </row>
    <row r="49" spans="1:18" s="1942" customFormat="1" ht="18" customHeight="1" thickBot="1">
      <c r="A49" s="776"/>
      <c r="B49" s="777"/>
      <c r="C49" s="778"/>
      <c r="D49" s="779"/>
      <c r="E49" s="774" t="s">
        <v>1730</v>
      </c>
      <c r="F49" s="775">
        <f ca="1">F7</f>
        <v>151175</v>
      </c>
      <c r="G49" s="1972"/>
      <c r="H49" s="1975"/>
      <c r="I49" s="2799" t="s">
        <v>2329</v>
      </c>
      <c r="J49" s="2238">
        <v>2025</v>
      </c>
      <c r="K49" s="2810" t="s">
        <v>2335</v>
      </c>
      <c r="L49" s="2239"/>
      <c r="M49" s="3263"/>
      <c r="O49" s="2253" t="s">
        <v>2364</v>
      </c>
      <c r="P49" s="2254" t="s">
        <v>2389</v>
      </c>
      <c r="Q49" s="2255" t="str">
        <f ca="1">J60</f>
        <v>0</v>
      </c>
      <c r="R49" s="2254" t="s">
        <v>2365</v>
      </c>
    </row>
    <row r="50" spans="1:18" s="1942" customFormat="1" ht="18" customHeight="1" thickBot="1">
      <c r="A50" s="776"/>
      <c r="B50" s="777"/>
      <c r="C50" s="778"/>
      <c r="D50" s="779"/>
      <c r="E50" s="774" t="s">
        <v>1731</v>
      </c>
      <c r="F50" s="775">
        <f ca="1">F8</f>
        <v>365</v>
      </c>
      <c r="G50" s="1977"/>
      <c r="H50" s="1975"/>
      <c r="I50" s="2799" t="s">
        <v>2330</v>
      </c>
      <c r="J50" s="2806">
        <f>SUMPRODUCT((I63:I65=J47)*(J62:L62=J48)*(J63:L65))</f>
        <v>60</v>
      </c>
      <c r="K50" s="2810" t="s">
        <v>2336</v>
      </c>
      <c r="L50" s="2239"/>
      <c r="M50" s="3263"/>
      <c r="O50" s="2256" t="s">
        <v>2366</v>
      </c>
      <c r="P50" s="2254" t="s">
        <v>2390</v>
      </c>
      <c r="Q50" s="2255">
        <f ca="1">C29</f>
        <v>327933</v>
      </c>
      <c r="R50" s="2254" t="s">
        <v>2363</v>
      </c>
    </row>
    <row r="51" spans="1:18" s="1942" customFormat="1" ht="18" customHeight="1" thickBot="1">
      <c r="A51" s="776"/>
      <c r="B51" s="777"/>
      <c r="C51" s="778"/>
      <c r="D51" s="779"/>
      <c r="E51" s="774" t="s">
        <v>634</v>
      </c>
      <c r="F51" s="2226"/>
      <c r="H51" s="1975"/>
      <c r="I51" s="2803" t="s">
        <v>2331</v>
      </c>
      <c r="J51" s="2807">
        <f>IF(J49="",J50,J49+J50-YEAR('数据-取费表'!B2))</f>
        <v>65</v>
      </c>
      <c r="K51" s="2799" t="s">
        <v>2337</v>
      </c>
      <c r="L51" s="2813">
        <f ca="1">ROUND(-PV(INDIRECT("'数据-取费表'!h"&amp;$G$1),J51,(C39-C13*J36),0),0)</f>
        <v>346644</v>
      </c>
      <c r="M51" s="3263"/>
      <c r="O51" s="2256" t="s">
        <v>2367</v>
      </c>
      <c r="P51" s="2254" t="s">
        <v>2368</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4" t="s">
        <v>2404</v>
      </c>
      <c r="J52" s="2240">
        <v>8.5000000000000006E-2</v>
      </c>
      <c r="K52" s="2804" t="s">
        <v>2403</v>
      </c>
      <c r="L52" s="2240"/>
      <c r="M52" s="3263"/>
      <c r="O52" s="2256" t="s">
        <v>2369</v>
      </c>
      <c r="P52" s="2254" t="s">
        <v>2370</v>
      </c>
      <c r="Q52" s="2257">
        <f>J52</f>
        <v>8.5000000000000006E-2</v>
      </c>
      <c r="R52" s="2258"/>
    </row>
    <row r="53" spans="1:18" s="1942" customFormat="1" ht="39.75" customHeight="1" thickBot="1">
      <c r="A53" s="776"/>
      <c r="B53" s="2348" t="s">
        <v>2553</v>
      </c>
      <c r="C53" s="2352"/>
      <c r="D53" s="2354"/>
      <c r="E53" s="2351"/>
      <c r="F53" s="790"/>
      <c r="I53" s="2805" t="s">
        <v>2936</v>
      </c>
      <c r="J53" s="2858">
        <f ca="1">IF(M47="住宅",IF(D1="——",MAX(J51,L48),MAX(J51,L48-'数据-取费表'!B20)),IF(D1="——",MIN(J51,L48),MIN(J51,L48-'数据-取费表'!B20)))</f>
        <v>35.35</v>
      </c>
      <c r="K53" s="3649" t="s">
        <v>2925</v>
      </c>
      <c r="L53" s="3650"/>
      <c r="M53" s="3263"/>
      <c r="O53" s="2256" t="s">
        <v>2371</v>
      </c>
      <c r="P53" s="2254" t="s">
        <v>2372</v>
      </c>
      <c r="Q53" s="2255">
        <f ca="1">J53</f>
        <v>35.35</v>
      </c>
      <c r="R53" s="2254" t="s">
        <v>2373</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2374</v>
      </c>
      <c r="P54" s="2254" t="s">
        <v>2391</v>
      </c>
      <c r="Q54" s="2255">
        <f ca="1">Q48+Q49</f>
        <v>783418</v>
      </c>
      <c r="R54" s="2258" t="s">
        <v>2375</v>
      </c>
    </row>
    <row r="55" spans="1:18" s="1942" customFormat="1" ht="18" customHeight="1" thickTop="1" thickBot="1">
      <c r="A55" s="787">
        <v>2</v>
      </c>
      <c r="B55" s="788" t="s">
        <v>638</v>
      </c>
      <c r="C55" s="789">
        <f ca="1">C13</f>
        <v>327933</v>
      </c>
      <c r="D55" s="785"/>
      <c r="E55" s="785"/>
      <c r="F55" s="790"/>
      <c r="I55" s="2816" t="s">
        <v>2338</v>
      </c>
      <c r="J55" s="2788" t="e">
        <f ca="1">ROUND(IF(J47="钢混",J57/J50,1-(1-2%)*(J50-J57)/J50),3)</f>
        <v>#VALUE!</v>
      </c>
      <c r="K55" s="2817" t="s">
        <v>2339</v>
      </c>
      <c r="L55" s="2241"/>
      <c r="M55" s="3263"/>
      <c r="O55" s="2259" t="s">
        <v>2394</v>
      </c>
      <c r="P55" s="1526"/>
      <c r="Q55" s="1534"/>
      <c r="R55" s="1526"/>
    </row>
    <row r="56" spans="1:18" s="1942" customFormat="1" ht="42.75" customHeight="1" thickBot="1">
      <c r="A56" s="1578"/>
      <c r="B56" s="2111" t="s">
        <v>2288</v>
      </c>
      <c r="C56" s="53">
        <f ca="1">C29</f>
        <v>327933</v>
      </c>
      <c r="D56" s="2481"/>
      <c r="E56" s="774"/>
      <c r="F56" s="799"/>
      <c r="I56" s="2818" t="s">
        <v>2340</v>
      </c>
      <c r="J56" s="2828" t="s">
        <v>1669</v>
      </c>
      <c r="K56" s="2799" t="s">
        <v>2345</v>
      </c>
      <c r="L56" s="1822" t="str">
        <f ca="1">IF(L48&lt;J51,"——",L48-J51)</f>
        <v>——</v>
      </c>
      <c r="M56" s="3263"/>
      <c r="O56" s="2250" t="s">
        <v>2358</v>
      </c>
      <c r="P56" s="2251" t="s">
        <v>2359</v>
      </c>
      <c r="Q56" s="2252" t="s">
        <v>2360</v>
      </c>
      <c r="R56" s="2251" t="s">
        <v>2361</v>
      </c>
    </row>
    <row r="57" spans="1:18" s="1942" customFormat="1" ht="28.5" customHeight="1" thickBot="1">
      <c r="A57" s="787" t="s">
        <v>1739</v>
      </c>
      <c r="B57" s="788" t="s">
        <v>645</v>
      </c>
      <c r="C57" s="789">
        <f ca="1">ROUND(C58+C63+C64+C65,0)</f>
        <v>7248</v>
      </c>
      <c r="D57" s="26" t="s">
        <v>1741</v>
      </c>
      <c r="E57" s="2482"/>
      <c r="F57" s="56"/>
      <c r="I57" s="2819" t="s">
        <v>2341</v>
      </c>
      <c r="J57" s="2820" t="str">
        <f ca="1">IF(OR(M47="住宅",J51&lt;L48,J56="是"),"——",J51-L48)</f>
        <v>——</v>
      </c>
      <c r="K57" s="2799" t="s">
        <v>2346</v>
      </c>
      <c r="L57" s="1822" t="str">
        <f ca="1">IF(L48&lt;J51,"——",IF(L55="比较法",L49,IF(L55="基准地价",L50,L51)))</f>
        <v>——</v>
      </c>
      <c r="M57" s="3263"/>
      <c r="O57" s="2253" t="s">
        <v>2362</v>
      </c>
      <c r="P57" s="2254" t="s">
        <v>2392</v>
      </c>
      <c r="Q57" s="2255">
        <f ca="1">C40+J29</f>
        <v>783418</v>
      </c>
      <c r="R57" s="2254" t="s">
        <v>2363</v>
      </c>
    </row>
    <row r="58" spans="1:18" s="1942" customFormat="1" ht="28.5" customHeight="1" thickBot="1">
      <c r="A58" s="1577" t="s">
        <v>1815</v>
      </c>
      <c r="B58" s="774" t="s">
        <v>650</v>
      </c>
      <c r="C58" s="3019">
        <f ca="1">ROUND(IF(AND(项目基本情况!B11="自然人",项目基本情况!B10="北京市"),C48*F58/(1+'数据-取费表'!C42),C59+C60+C61),0)</f>
        <v>33</v>
      </c>
      <c r="D58" s="2480" t="s">
        <v>651</v>
      </c>
      <c r="E58" s="2481" t="s">
        <v>684</v>
      </c>
      <c r="F58" s="3018" t="str">
        <f>IF(项目基本情况!B11="企业","——",IF('数据-取费表'!B10="住宅",IF(F48*F49*F50/12/(1+'数据-取费表'!F30)&gt;100000,4%,2.5%),IF(F48*F49*F50/12/(1+'数据-取费表'!F30)&gt;100000,12%,7%)))</f>
        <v>——</v>
      </c>
      <c r="I58" s="2819" t="s">
        <v>2342</v>
      </c>
      <c r="J58" s="2789" t="e">
        <f ca="1">IF(J55&lt;0.4,0.4,J55)</f>
        <v>#VALUE!</v>
      </c>
      <c r="K58" s="2799" t="s">
        <v>2347</v>
      </c>
      <c r="L58" s="1822" t="e">
        <f ca="1">ROUND(POWER(1+L52,L47-L48)*(POWER(1+L52,L48)-1)/(POWER(1+L52,L47)-1),4)</f>
        <v>#DIV/0!</v>
      </c>
      <c r="M58" s="3263"/>
      <c r="O58" s="2253" t="s">
        <v>2364</v>
      </c>
      <c r="P58" s="2254" t="s">
        <v>2395</v>
      </c>
      <c r="Q58" s="2255">
        <f ca="1">L60</f>
        <v>0</v>
      </c>
      <c r="R58" s="2258" t="s">
        <v>2397</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2343</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2366</v>
      </c>
      <c r="P59" s="2254" t="s">
        <v>2396</v>
      </c>
      <c r="Q59" s="2255">
        <f>IF(L55="比较法",L49,IF(L55="基准地价",L50,0))</f>
        <v>0</v>
      </c>
      <c r="R59" s="2254" t="s">
        <v>2363</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2344</v>
      </c>
      <c r="J60" s="2822" t="str">
        <f ca="1">IF(OR(M47="住宅",J51&lt;L48,J56="是"),"0",ROUND(J59/(1+J52)^J53,0))</f>
        <v>0</v>
      </c>
      <c r="K60" s="2823" t="s">
        <v>2349</v>
      </c>
      <c r="L60" s="2822">
        <f ca="1">IF(OR(M47="住宅",L48&lt;J51),0,ROUND(L57*(L58/L59-1),0))</f>
        <v>0</v>
      </c>
      <c r="M60" s="3263"/>
      <c r="O60" s="2256" t="s">
        <v>2367</v>
      </c>
      <c r="P60" s="2254" t="s">
        <v>2376</v>
      </c>
      <c r="Q60" s="2257">
        <f>L52</f>
        <v>0</v>
      </c>
      <c r="R60" s="2258"/>
    </row>
    <row r="61" spans="1:18" s="1942" customFormat="1" ht="18" customHeight="1" thickBot="1">
      <c r="A61" s="1579" t="s">
        <v>1824</v>
      </c>
      <c r="B61" s="339" t="s">
        <v>662</v>
      </c>
      <c r="C61" s="54">
        <f ca="1">ROUND(F61*F62/10000,1)</f>
        <v>33.4</v>
      </c>
      <c r="D61" s="803" t="s">
        <v>663</v>
      </c>
      <c r="E61" s="774" t="s">
        <v>664</v>
      </c>
      <c r="F61" s="632">
        <f t="shared" si="0"/>
        <v>30</v>
      </c>
      <c r="K61" s="1968"/>
      <c r="O61" s="2256" t="s">
        <v>2369</v>
      </c>
      <c r="P61" s="2254" t="s">
        <v>2377</v>
      </c>
      <c r="Q61" s="2255" t="e">
        <f ca="1">L58</f>
        <v>#DIV/0!</v>
      </c>
      <c r="R61" s="2258" t="s">
        <v>2378</v>
      </c>
    </row>
    <row r="62" spans="1:18" s="1942" customFormat="1" ht="15.75" thickBot="1">
      <c r="A62" s="804"/>
      <c r="B62" s="783"/>
      <c r="C62" s="69"/>
      <c r="D62" s="805"/>
      <c r="E62" s="774" t="s">
        <v>668</v>
      </c>
      <c r="F62" s="775">
        <f t="shared" ca="1" si="0"/>
        <v>11132.66</v>
      </c>
      <c r="I62" s="2824" t="s">
        <v>2350</v>
      </c>
      <c r="J62" s="2825" t="s">
        <v>2351</v>
      </c>
      <c r="K62" s="2825" t="s">
        <v>2352</v>
      </c>
      <c r="L62" s="2825" t="s">
        <v>2333</v>
      </c>
      <c r="M62" s="2826" t="s">
        <v>2904</v>
      </c>
      <c r="O62" s="2256" t="s">
        <v>2371</v>
      </c>
      <c r="P62" s="2254" t="str">
        <f>K59</f>
        <v>建筑物剩余耐用年限下的土地年期修正系数Kn</v>
      </c>
      <c r="Q62" s="2255" t="e">
        <f ca="1">L59</f>
        <v>#DIV/0!</v>
      </c>
      <c r="R62" s="2258" t="s">
        <v>2380</v>
      </c>
    </row>
    <row r="63" spans="1:18" s="1942" customFormat="1" ht="15.75" thickBot="1">
      <c r="A63" s="1577" t="s">
        <v>1880</v>
      </c>
      <c r="B63" s="774" t="s">
        <v>670</v>
      </c>
      <c r="C63" s="53">
        <f ca="1">ROUND(C56*F63,1)</f>
        <v>6558.7</v>
      </c>
      <c r="D63" s="2481" t="s">
        <v>1794</v>
      </c>
      <c r="E63" s="774" t="s">
        <v>1738</v>
      </c>
      <c r="F63" s="806">
        <f t="shared" ca="1" si="0"/>
        <v>0.02</v>
      </c>
      <c r="I63" s="2824" t="s">
        <v>2353</v>
      </c>
      <c r="J63" s="2825">
        <v>70</v>
      </c>
      <c r="K63" s="2825">
        <v>50</v>
      </c>
      <c r="L63" s="2825">
        <v>80</v>
      </c>
      <c r="M63" s="2827">
        <v>0.02</v>
      </c>
      <c r="O63" s="2253" t="s">
        <v>2374</v>
      </c>
      <c r="P63" s="2254" t="s">
        <v>2391</v>
      </c>
      <c r="Q63" s="2255">
        <f ca="1">Q57+Q58</f>
        <v>783418</v>
      </c>
      <c r="R63" s="2258" t="s">
        <v>2375</v>
      </c>
    </row>
    <row r="64" spans="1:18" s="1942" customFormat="1" ht="16.5" thickBot="1">
      <c r="A64" s="1577" t="s">
        <v>1881</v>
      </c>
      <c r="B64" s="774" t="s">
        <v>673</v>
      </c>
      <c r="C64" s="53">
        <f ca="1">ROUND(C55*F64,1)</f>
        <v>655.9</v>
      </c>
      <c r="D64" s="2481" t="s">
        <v>674</v>
      </c>
      <c r="E64" s="774" t="s">
        <v>1738</v>
      </c>
      <c r="F64" s="807">
        <f t="shared" ca="1" si="0"/>
        <v>2E-3</v>
      </c>
      <c r="I64" s="2824" t="s">
        <v>2354</v>
      </c>
      <c r="J64" s="2825">
        <v>50</v>
      </c>
      <c r="K64" s="2825">
        <v>35</v>
      </c>
      <c r="L64" s="2825">
        <v>60</v>
      </c>
      <c r="M64" s="835">
        <v>0</v>
      </c>
      <c r="O64" s="2259" t="s">
        <v>2398</v>
      </c>
      <c r="P64" s="1526"/>
      <c r="Q64" s="1534"/>
      <c r="R64" s="1526"/>
    </row>
    <row r="65" spans="1:18" s="1942" customFormat="1" ht="15.75" thickBot="1">
      <c r="A65" s="1577" t="s">
        <v>1882</v>
      </c>
      <c r="B65" s="774" t="s">
        <v>660</v>
      </c>
      <c r="C65" s="53">
        <f ca="1">ROUND(C47*F65,1)</f>
        <v>0</v>
      </c>
      <c r="D65" s="2481" t="s">
        <v>677</v>
      </c>
      <c r="E65" s="774" t="s">
        <v>1738</v>
      </c>
      <c r="F65" s="784">
        <f t="shared" ca="1" si="0"/>
        <v>2.5000000000000001E-2</v>
      </c>
      <c r="I65" s="2824" t="s">
        <v>2355</v>
      </c>
      <c r="J65" s="2825">
        <v>40</v>
      </c>
      <c r="K65" s="2825">
        <v>30</v>
      </c>
      <c r="L65" s="2825">
        <v>50</v>
      </c>
      <c r="M65" s="2827">
        <v>0.02</v>
      </c>
      <c r="O65" s="2250" t="s">
        <v>2358</v>
      </c>
      <c r="P65" s="2251" t="s">
        <v>2359</v>
      </c>
      <c r="Q65" s="2252" t="s">
        <v>2360</v>
      </c>
      <c r="R65" s="2251" t="s">
        <v>2361</v>
      </c>
    </row>
    <row r="66" spans="1:18" s="1942" customFormat="1" ht="24.75" thickBot="1">
      <c r="A66" s="787" t="s">
        <v>1767</v>
      </c>
      <c r="B66" s="2724" t="s">
        <v>2799</v>
      </c>
      <c r="C66" s="789">
        <f ca="1">C47-C57</f>
        <v>-7248</v>
      </c>
      <c r="D66" s="2480" t="s">
        <v>694</v>
      </c>
      <c r="E66" s="2479"/>
      <c r="F66" s="809"/>
      <c r="K66" s="1968"/>
      <c r="O66" s="2253" t="s">
        <v>2362</v>
      </c>
      <c r="P66" s="2254" t="s">
        <v>2392</v>
      </c>
      <c r="Q66" s="2255">
        <f ca="1">C40+J29</f>
        <v>783418</v>
      </c>
      <c r="R66" s="2254" t="s">
        <v>2363</v>
      </c>
    </row>
    <row r="67" spans="1:18" s="1942" customFormat="1" ht="20.25" thickBot="1">
      <c r="A67" s="771" t="s">
        <v>1771</v>
      </c>
      <c r="B67" s="2112" t="s">
        <v>2287</v>
      </c>
      <c r="C67" s="773">
        <f ca="1">ROUND(C66*(1-((1+F69)/(1+F67))^F68)/(F67-F69),0)</f>
        <v>-105401</v>
      </c>
      <c r="D67" s="803" t="s">
        <v>698</v>
      </c>
      <c r="E67" s="774" t="s">
        <v>699</v>
      </c>
      <c r="F67" s="784">
        <f ca="1">F40</f>
        <v>0.06</v>
      </c>
      <c r="K67" s="1968"/>
      <c r="O67" s="2253" t="s">
        <v>2364</v>
      </c>
      <c r="P67" s="2254" t="s">
        <v>2395</v>
      </c>
      <c r="Q67" s="2255">
        <f ca="1">L60</f>
        <v>0</v>
      </c>
      <c r="R67" s="2258" t="s">
        <v>2397</v>
      </c>
    </row>
    <row r="68" spans="1:18" ht="21.75" thickBot="1">
      <c r="A68" s="776"/>
      <c r="B68" s="777"/>
      <c r="C68" s="778"/>
      <c r="D68" s="810" t="s">
        <v>1799</v>
      </c>
      <c r="E68" s="774" t="s">
        <v>1775</v>
      </c>
      <c r="F68" s="811">
        <f ca="1">F41</f>
        <v>35.35</v>
      </c>
      <c r="O68" s="2256" t="s">
        <v>2366</v>
      </c>
      <c r="P68" s="2254" t="s">
        <v>2396</v>
      </c>
      <c r="Q68" s="2260">
        <f ca="1">L51</f>
        <v>346644</v>
      </c>
      <c r="R68" s="2261" t="s">
        <v>2399</v>
      </c>
    </row>
    <row r="69" spans="1:18" ht="20.25" thickBot="1">
      <c r="A69" s="780"/>
      <c r="B69" s="781"/>
      <c r="C69" s="782"/>
      <c r="D69" s="805"/>
      <c r="E69" s="774" t="s">
        <v>704</v>
      </c>
      <c r="F69" s="2226"/>
      <c r="O69" s="2256" t="s">
        <v>2367</v>
      </c>
      <c r="P69" s="2262" t="s">
        <v>2381</v>
      </c>
      <c r="Q69" s="2255">
        <f ca="1">ROUND(Q70-Q71*Q72,0)</f>
        <v>18719</v>
      </c>
      <c r="R69" s="2258"/>
    </row>
    <row r="70" spans="1:18" ht="15.75" thickBot="1">
      <c r="A70" s="812" t="s">
        <v>1778</v>
      </c>
      <c r="B70" s="813" t="s">
        <v>1801</v>
      </c>
      <c r="C70" s="814">
        <f ca="1">ROUND(C67*10000/F70,0)</f>
        <v>-6972</v>
      </c>
      <c r="D70" s="815" t="s">
        <v>1802</v>
      </c>
      <c r="E70" s="816" t="s">
        <v>1803</v>
      </c>
      <c r="F70" s="817">
        <f ca="1">F43</f>
        <v>151175</v>
      </c>
      <c r="O70" s="2256" t="s">
        <v>2382</v>
      </c>
      <c r="P70" s="2262" t="s">
        <v>2383</v>
      </c>
      <c r="Q70" s="2255">
        <f ca="1">C39</f>
        <v>44954</v>
      </c>
      <c r="R70" s="2254" t="s">
        <v>2363</v>
      </c>
    </row>
    <row r="71" spans="1:18" ht="15.75" thickBot="1">
      <c r="O71" s="2256" t="s">
        <v>2384</v>
      </c>
      <c r="P71" s="2262" t="s">
        <v>2385</v>
      </c>
      <c r="Q71" s="2255">
        <f ca="1">C13</f>
        <v>327933</v>
      </c>
      <c r="R71" s="2254" t="s">
        <v>2363</v>
      </c>
    </row>
    <row r="72" spans="1:18" ht="15.75" thickBot="1">
      <c r="O72" s="2256" t="s">
        <v>2386</v>
      </c>
      <c r="P72" s="2262" t="s">
        <v>2387</v>
      </c>
      <c r="Q72" s="2257">
        <f ca="1">J36</f>
        <v>0.08</v>
      </c>
      <c r="R72" s="2258"/>
    </row>
    <row r="73" spans="1:18" ht="15.75" thickBot="1">
      <c r="O73" s="2256" t="s">
        <v>2369</v>
      </c>
      <c r="P73" s="2254" t="s">
        <v>2376</v>
      </c>
      <c r="Q73" s="2257">
        <f>L52</f>
        <v>0</v>
      </c>
      <c r="R73" s="2258"/>
    </row>
    <row r="74" spans="1:18" ht="20.25" thickBot="1">
      <c r="O74" s="2256" t="s">
        <v>2371</v>
      </c>
      <c r="P74" s="2254" t="s">
        <v>2377</v>
      </c>
      <c r="Q74" s="2255" t="e">
        <f ca="1">L58</f>
        <v>#DIV/0!</v>
      </c>
      <c r="R74" s="2258" t="s">
        <v>2378</v>
      </c>
    </row>
    <row r="75" spans="1:18" ht="15.75" thickBot="1">
      <c r="O75" s="2256" t="s">
        <v>2400</v>
      </c>
      <c r="P75" s="2254" t="str">
        <f>K59</f>
        <v>建筑物剩余耐用年限下的土地年期修正系数Kn</v>
      </c>
      <c r="Q75" s="2255" t="e">
        <f ca="1">L59</f>
        <v>#DIV/0!</v>
      </c>
      <c r="R75" s="2258" t="s">
        <v>2380</v>
      </c>
    </row>
    <row r="76" spans="1:18" ht="15.75" thickBot="1">
      <c r="O76" s="2253" t="s">
        <v>2374</v>
      </c>
      <c r="P76" s="2254" t="s">
        <v>2391</v>
      </c>
      <c r="Q76" s="2255">
        <f ca="1">Q66+Q67</f>
        <v>783418</v>
      </c>
      <c r="R76" s="2258"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27" priority="7">
      <formula>$L$48&gt;$J$51</formula>
    </cfRule>
  </conditionalFormatting>
  <conditionalFormatting sqref="I55">
    <cfRule type="expression" dxfId="26" priority="8">
      <formula>$J$51&gt;$L$48</formula>
    </cfRule>
  </conditionalFormatting>
  <conditionalFormatting sqref="I60">
    <cfRule type="expression" dxfId="25" priority="6">
      <formula>$J$51&gt;$L$48</formula>
    </cfRule>
  </conditionalFormatting>
  <conditionalFormatting sqref="K60">
    <cfRule type="expression" dxfId="24" priority="5">
      <formula>$L$48&gt;$J$51</formula>
    </cfRule>
  </conditionalFormatting>
  <conditionalFormatting sqref="C11">
    <cfRule type="expression" dxfId="23" priority="4">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3" sqref="D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3251</v>
      </c>
      <c r="D1" s="2798" t="s">
        <v>943</v>
      </c>
      <c r="E1" s="2242" t="s">
        <v>2357</v>
      </c>
      <c r="F1" s="2243">
        <f ca="1">J53</f>
        <v>35.35</v>
      </c>
      <c r="G1" s="3259">
        <f>MATCH(C1,'数据-取费表'!A6:A16,0)+5</f>
        <v>9</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13790</v>
      </c>
      <c r="C2" s="3264"/>
      <c r="D2" s="3265"/>
      <c r="E2" s="3266"/>
      <c r="F2" s="3266"/>
      <c r="G2" s="3260"/>
      <c r="H2" s="1940"/>
      <c r="I2" s="1940"/>
      <c r="J2" s="1940"/>
      <c r="K2" s="1941"/>
      <c r="L2" s="1940"/>
      <c r="M2" s="1940"/>
    </row>
    <row r="3" spans="1:33" ht="18" customHeight="1" thickBot="1">
      <c r="A3" s="822" t="s">
        <v>1718</v>
      </c>
      <c r="B3" s="823">
        <f ca="1">IF(ISERROR(B2*10000/F43),0,ROUND(B2*10000/F43,0))</f>
        <v>2959</v>
      </c>
      <c r="C3" s="3264"/>
      <c r="D3" s="3265"/>
      <c r="E3" s="3266"/>
      <c r="F3" s="3266"/>
      <c r="G3" s="3260"/>
      <c r="H3" s="766" t="s">
        <v>689</v>
      </c>
      <c r="I3" s="1316"/>
      <c r="J3" s="1316"/>
      <c r="K3" s="1525"/>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2438</v>
      </c>
      <c r="C5" s="55">
        <f ca="1">C6+C10+C12</f>
        <v>2100</v>
      </c>
      <c r="D5" s="2349" t="s">
        <v>2441</v>
      </c>
      <c r="E5" s="2343"/>
      <c r="F5" s="2344"/>
      <c r="G5" s="1945"/>
      <c r="H5" s="771">
        <v>1</v>
      </c>
      <c r="I5" s="772" t="s">
        <v>2438</v>
      </c>
      <c r="J5" s="55">
        <f ca="1">J6+J10+J12</f>
        <v>0</v>
      </c>
      <c r="K5" s="2349" t="s">
        <v>2441</v>
      </c>
      <c r="L5" s="2343"/>
      <c r="M5" s="2344"/>
    </row>
    <row r="6" spans="1:33" ht="18" customHeight="1">
      <c r="A6" s="1745" t="s">
        <v>1815</v>
      </c>
      <c r="B6" s="3609" t="s">
        <v>2443</v>
      </c>
      <c r="C6" s="773">
        <f ca="1">ROUND(F6*F8*F7*(1-F9)/10000,0)</f>
        <v>2100</v>
      </c>
      <c r="D6" s="2350" t="s">
        <v>2442</v>
      </c>
      <c r="E6" s="774" t="s">
        <v>1729</v>
      </c>
      <c r="F6" s="775">
        <f ca="1">INDIRECT("'数据-取费表'!u"&amp;$G$1)</f>
        <v>1800</v>
      </c>
      <c r="G6" s="1945"/>
      <c r="H6" s="2357" t="s">
        <v>2448</v>
      </c>
      <c r="I6" s="3609" t="s">
        <v>2443</v>
      </c>
      <c r="J6" s="773">
        <f ca="1">ROUND(M6*M8*M7*(1-M9)/10000,0)</f>
        <v>0</v>
      </c>
      <c r="K6" s="339" t="s">
        <v>1728</v>
      </c>
      <c r="L6" s="774" t="s">
        <v>1729</v>
      </c>
      <c r="M6" s="775">
        <f ca="1">INDIRECT("'数据-取费表'!z"&amp;$G$1)</f>
        <v>0</v>
      </c>
    </row>
    <row r="7" spans="1:33" ht="18" customHeight="1">
      <c r="A7" s="2353"/>
      <c r="B7" s="3610"/>
      <c r="C7" s="778"/>
      <c r="D7" s="779"/>
      <c r="E7" s="774" t="s">
        <v>1730</v>
      </c>
      <c r="F7" s="775">
        <f ca="1">IF(INDIRECT("'数据-取费表'!ah"&amp;$G$1)="",INDIRECT("'数据-取费表'!k"&amp;$G$1),INDIRECT("'数据-取费表'!ah"&amp;$G$1))</f>
        <v>1080</v>
      </c>
      <c r="G7" s="1945"/>
      <c r="H7" s="2342"/>
      <c r="I7" s="3610"/>
      <c r="J7" s="778"/>
      <c r="K7" s="779"/>
      <c r="L7" s="774" t="s">
        <v>1730</v>
      </c>
      <c r="M7" s="775">
        <f ca="1">F7</f>
        <v>1080</v>
      </c>
    </row>
    <row r="8" spans="1:33" ht="18" customHeight="1">
      <c r="A8" s="2346"/>
      <c r="B8" s="3611"/>
      <c r="C8" s="778"/>
      <c r="D8" s="779"/>
      <c r="E8" s="774" t="s">
        <v>1731</v>
      </c>
      <c r="F8" s="775">
        <f ca="1">INDIRECT("'数据-取费表'!ai"&amp;$G$1)</f>
        <v>12</v>
      </c>
      <c r="G8" s="1945"/>
      <c r="H8" s="2342"/>
      <c r="I8" s="3611"/>
      <c r="J8" s="778"/>
      <c r="K8" s="779"/>
      <c r="L8" s="774" t="s">
        <v>1731</v>
      </c>
      <c r="M8" s="775">
        <f ca="1">INDIRECT("'数据-取费表'!ai"&amp;$G$1)</f>
        <v>12</v>
      </c>
    </row>
    <row r="9" spans="1:33" ht="18" customHeight="1">
      <c r="A9" s="776"/>
      <c r="B9" s="3612"/>
      <c r="C9" s="778"/>
      <c r="D9" s="779"/>
      <c r="E9" s="774" t="s">
        <v>1732</v>
      </c>
      <c r="F9" s="784">
        <f ca="1">INDIRECT("'数据-取费表'!w"&amp;$G$1)</f>
        <v>0.1</v>
      </c>
      <c r="G9" s="1945"/>
      <c r="H9" s="2358"/>
      <c r="I9" s="3611"/>
      <c r="J9" s="778"/>
      <c r="K9" s="779"/>
      <c r="L9" s="785" t="s">
        <v>1732</v>
      </c>
      <c r="M9" s="786">
        <f ca="1">INDIRECT("'数据-取费表'!ab"&amp;$G$1)</f>
        <v>0</v>
      </c>
    </row>
    <row r="10" spans="1:33" ht="18" customHeight="1">
      <c r="A10" s="1745" t="s">
        <v>2446</v>
      </c>
      <c r="B10" s="2347" t="s">
        <v>2439</v>
      </c>
      <c r="C10" s="789">
        <f ca="1">ROUND(IF(F10="押一",C6/12*F11,IF(F10="押二",C6/12*2*F11,IF(F10="押三",C6/12*3*F11,C11*F11))),0)</f>
        <v>0</v>
      </c>
      <c r="D10" s="2354" t="s">
        <v>2932</v>
      </c>
      <c r="E10" s="2351" t="s">
        <v>2444</v>
      </c>
      <c r="F10" s="2465"/>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1733</v>
      </c>
      <c r="C13" s="782">
        <f ca="1">ROUND(C29*F13,0)</f>
        <v>68899</v>
      </c>
      <c r="D13" s="1749" t="s">
        <v>2283</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44731</v>
      </c>
      <c r="D14" s="3279" t="s">
        <v>1736</v>
      </c>
      <c r="E14" s="3280"/>
      <c r="F14" s="795"/>
      <c r="G14" s="1945"/>
      <c r="H14" s="1577" t="s">
        <v>1821</v>
      </c>
      <c r="I14" s="2111" t="s">
        <v>2802</v>
      </c>
      <c r="J14" s="53">
        <f ca="1">C29</f>
        <v>68899</v>
      </c>
      <c r="K14" s="26"/>
      <c r="L14" s="791"/>
      <c r="M14" s="792"/>
    </row>
    <row r="15" spans="1:33" s="1947" customFormat="1" ht="18" customHeight="1" thickBot="1">
      <c r="A15" s="1576" t="s">
        <v>1876</v>
      </c>
      <c r="B15" s="774" t="s">
        <v>641</v>
      </c>
      <c r="C15" s="53">
        <f ca="1">ROUND(C14*F15,0)</f>
        <v>1342</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6487</v>
      </c>
      <c r="K16" s="1736" t="s">
        <v>1741</v>
      </c>
      <c r="L16" s="3281"/>
      <c r="M16" s="2344"/>
    </row>
    <row r="17" spans="1:33" s="1947" customFormat="1" ht="18" customHeight="1">
      <c r="A17" s="1576" t="s">
        <v>1878</v>
      </c>
      <c r="B17" s="774" t="s">
        <v>647</v>
      </c>
      <c r="C17" s="53">
        <f ca="1">ROUND(F17*(F43+INDIRECT("'数据-取费表'!S"&amp;$G$1))/10000,0)</f>
        <v>994</v>
      </c>
      <c r="D17" s="774" t="s">
        <v>1742</v>
      </c>
      <c r="E17" s="774" t="s">
        <v>1743</v>
      </c>
      <c r="F17" s="56">
        <f>'数据-取费表'!B35</f>
        <v>200</v>
      </c>
      <c r="G17" s="3261"/>
      <c r="H17" s="1577" t="s">
        <v>1821</v>
      </c>
      <c r="I17" s="774" t="s">
        <v>650</v>
      </c>
      <c r="J17" s="3019">
        <f ca="1">ROUND(IF(AND(项目基本情况!B11="自然人",项目基本情况!B10="北京市"),J6*M17/(1+'数据-取费表'!C42),J18+J19+J20),0)</f>
        <v>5798</v>
      </c>
      <c r="K17" s="3279" t="s">
        <v>1744</v>
      </c>
      <c r="L17" s="3278"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671</v>
      </c>
      <c r="D18" s="774" t="s">
        <v>1737</v>
      </c>
      <c r="E18" s="774" t="s">
        <v>1738</v>
      </c>
      <c r="F18" s="799">
        <f>'数据-取费表'!B36</f>
        <v>1.4999999999999999E-2</v>
      </c>
      <c r="G18" s="3261"/>
      <c r="H18" s="1576" t="s">
        <v>1875</v>
      </c>
      <c r="I18" s="774" t="s">
        <v>1746</v>
      </c>
      <c r="J18" s="53">
        <f ca="1">ROUND(J6*M18/(1+'数据-取费表'!C42),1)</f>
        <v>0</v>
      </c>
      <c r="K18" s="3278"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47738</v>
      </c>
      <c r="D19" s="259" t="s">
        <v>1748</v>
      </c>
      <c r="E19" s="3287"/>
      <c r="F19" s="56"/>
      <c r="G19" s="1945"/>
      <c r="H19" s="1576" t="s">
        <v>1876</v>
      </c>
      <c r="I19" s="774" t="s">
        <v>1749</v>
      </c>
      <c r="J19" s="53">
        <f ca="1">IF(K19="按租金收入计税",ROUND(J6*M19/(1+'数据-取费表'!C42),1),ROUND(C29*F33*0.7,1))</f>
        <v>5787.5</v>
      </c>
      <c r="K19" s="800" t="s">
        <v>659</v>
      </c>
      <c r="L19" s="774" t="s">
        <v>1738</v>
      </c>
      <c r="M19" s="799">
        <f>IF(K19="按租金收入计税",'数据-取费表'!B51,'数据-取费表'!B50)</f>
        <v>1.2E-2</v>
      </c>
    </row>
    <row r="20" spans="1:33" s="1947" customFormat="1" ht="18" customHeight="1">
      <c r="A20" s="1577" t="s">
        <v>1880</v>
      </c>
      <c r="B20" s="774" t="s">
        <v>660</v>
      </c>
      <c r="C20" s="53">
        <f ca="1">ROUND(C19*F20,0)</f>
        <v>1432</v>
      </c>
      <c r="D20" s="801" t="s">
        <v>1750</v>
      </c>
      <c r="E20" s="774" t="s">
        <v>1738</v>
      </c>
      <c r="F20" s="799">
        <f>'数据-取费表'!B37</f>
        <v>0.03</v>
      </c>
      <c r="G20" s="3261"/>
      <c r="H20" s="1579" t="s">
        <v>1871</v>
      </c>
      <c r="I20" s="339" t="s">
        <v>1751</v>
      </c>
      <c r="J20" s="54">
        <f ca="1">ROUND(M20*M21/10000,0)</f>
        <v>10</v>
      </c>
      <c r="K20" s="803" t="s">
        <v>1752</v>
      </c>
      <c r="L20" s="774" t="s">
        <v>1753</v>
      </c>
      <c r="M20" s="632">
        <f>'数据-取费表'!B52</f>
        <v>30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2284</v>
      </c>
      <c r="E21" s="774" t="s">
        <v>1756</v>
      </c>
      <c r="F21" s="799">
        <f>'数据-取费表'!B38</f>
        <v>0.03</v>
      </c>
      <c r="G21" s="3261"/>
      <c r="H21" s="2359"/>
      <c r="I21" s="783"/>
      <c r="J21" s="69"/>
      <c r="K21" s="805"/>
      <c r="L21" s="774" t="s">
        <v>1757</v>
      </c>
      <c r="M21" s="775">
        <f ca="1">INDIRECT("'数据-取费表'!r"&amp;$G$1)</f>
        <v>3431.73</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3287"/>
      <c r="F22" s="56"/>
      <c r="G22" s="1945"/>
      <c r="H22" s="1577" t="s">
        <v>1880</v>
      </c>
      <c r="I22" s="774" t="s">
        <v>1759</v>
      </c>
      <c r="J22" s="53">
        <f ca="1">ROUND(J14*M22,0)</f>
        <v>689</v>
      </c>
      <c r="K22" s="3278" t="s">
        <v>1760</v>
      </c>
      <c r="L22" s="774" t="s">
        <v>1738</v>
      </c>
      <c r="M22" s="806">
        <f ca="1">INDIRECT("'数据-取费表'!Ak"&amp;$G$1)</f>
        <v>0.01</v>
      </c>
    </row>
    <row r="23" spans="1:33" s="1947" customFormat="1" ht="18" customHeight="1">
      <c r="A23" s="1576" t="s">
        <v>1822</v>
      </c>
      <c r="B23" s="774" t="s">
        <v>2515</v>
      </c>
      <c r="C23" s="53">
        <f ca="1">ROUND(IF('数据-取费表'!B22&lt;=1,(C19+C20)*F24*F23/2,(C19+C20)*(POWER((1+F24),F23/2)-1)),0)</f>
        <v>6049</v>
      </c>
      <c r="D23" s="2423" t="str">
        <f>IF(F23&lt;=1,"(建造成本+管理费用)×利率×(建设周期÷2)","(建造成本+管理费用)×((1+利率)^(建设周期÷2)-1)")</f>
        <v>(建造成本+管理费用)×((1+利率)^(建设周期÷2)-1)</v>
      </c>
      <c r="E23" s="774" t="s">
        <v>1761</v>
      </c>
      <c r="F23" s="632">
        <f>'数据-取费表'!B20</f>
        <v>5</v>
      </c>
      <c r="G23" s="3261"/>
      <c r="H23" s="1577" t="s">
        <v>1881</v>
      </c>
      <c r="I23" s="774" t="s">
        <v>673</v>
      </c>
      <c r="J23" s="53">
        <f ca="1">ROUND(J13*M23,0)</f>
        <v>0</v>
      </c>
      <c r="K23" s="3278"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3.7000000000000002E-3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2.5000000000000001E-2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3287"/>
      <c r="F25" s="56"/>
      <c r="G25" s="1945"/>
      <c r="H25" s="1744" t="s">
        <v>1767</v>
      </c>
      <c r="I25" s="2723" t="s">
        <v>2799</v>
      </c>
      <c r="J25" s="782">
        <f ca="1">J5-J16</f>
        <v>-6487</v>
      </c>
      <c r="K25" s="2401" t="s">
        <v>1768</v>
      </c>
      <c r="L25" s="2402"/>
      <c r="M25" s="2403"/>
    </row>
    <row r="26" spans="1:33" ht="18" customHeight="1">
      <c r="A26" s="1576" t="s">
        <v>1822</v>
      </c>
      <c r="B26" s="774" t="s">
        <v>2420</v>
      </c>
      <c r="C26" s="53">
        <f ca="1">ROUND((C19+C20)*F26,0)</f>
        <v>7376</v>
      </c>
      <c r="D26" s="801" t="s">
        <v>1769</v>
      </c>
      <c r="E26" s="785" t="s">
        <v>1770</v>
      </c>
      <c r="F26" s="784">
        <f ca="1">INDIRECT("'数据-取费表'!q"&amp;$G$1)</f>
        <v>0.15</v>
      </c>
      <c r="G26" s="1945"/>
      <c r="H26" s="2355" t="s">
        <v>1771</v>
      </c>
      <c r="I26" s="2112" t="s">
        <v>2804</v>
      </c>
      <c r="J26" s="773">
        <f ca="1">IF(J5&lt;&gt;0,ROUND(J25*(1-((1+M28)/(1+M26))^M27)/(M26-M28),0),0)</f>
        <v>0</v>
      </c>
      <c r="K26" s="803" t="s">
        <v>1772</v>
      </c>
      <c r="L26" s="774" t="s">
        <v>2402</v>
      </c>
      <c r="M26" s="784">
        <f ca="1">INDIRECT("'数据-取费表'!I"&amp;$G$1)</f>
        <v>5.5E-2</v>
      </c>
    </row>
    <row r="27" spans="1:33" ht="18" customHeight="1">
      <c r="A27" s="1576" t="s">
        <v>1823</v>
      </c>
      <c r="B27" s="774" t="s">
        <v>680</v>
      </c>
      <c r="C27" s="53">
        <f ca="1">ROUND(F21*F26,4)</f>
        <v>4.4999999999999997E-3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2285</v>
      </c>
      <c r="E28" s="774" t="s">
        <v>1776</v>
      </c>
      <c r="F28" s="799">
        <f>'数据-取费表'!B41</f>
        <v>5.6000000000000001E-2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2286</v>
      </c>
      <c r="C29" s="2397">
        <f ca="1">ROUND((C19+C20+C23+C26)/(1-F21-C24-C27-C28),0)</f>
        <v>68899</v>
      </c>
      <c r="D29" s="2398"/>
      <c r="E29" s="2399"/>
      <c r="F29" s="2400"/>
      <c r="G29" s="3261"/>
      <c r="H29" s="812" t="s">
        <v>1778</v>
      </c>
      <c r="I29" s="813" t="s">
        <v>1779</v>
      </c>
      <c r="J29" s="814">
        <f ca="1">ROUND(J26/(1+F40)^F41,0)</f>
        <v>0</v>
      </c>
      <c r="K29" s="815" t="s">
        <v>1780</v>
      </c>
      <c r="L29" s="816"/>
      <c r="M29" s="817">
        <f ca="1">INDIRECT("'数据-取费表'!k"&amp;$G$1)</f>
        <v>46600.86</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1207</v>
      </c>
      <c r="D30" s="1736" t="s">
        <v>1782</v>
      </c>
      <c r="E30" s="3281"/>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362</v>
      </c>
      <c r="D31" s="3279" t="s">
        <v>1783</v>
      </c>
      <c r="E31" s="3278" t="s">
        <v>1784</v>
      </c>
      <c r="F31" s="3018" t="str">
        <f>IF(项目基本情况!B11="企业","——",IF('数据-取费表'!B10="住宅",IF(F6*F7*F8/12/(1+'数据-取费表'!F30)&gt;100000,4%,2.5%),IF(F6*F7*F8/12/(1+'数据-取费表'!F30)&gt;100000,12%,7%)))</f>
        <v>——</v>
      </c>
      <c r="G31" s="1945"/>
      <c r="H31" s="3258" t="s">
        <v>2990</v>
      </c>
      <c r="I31" s="1949"/>
      <c r="J31" s="1950"/>
      <c r="K31" s="1951"/>
      <c r="L31" s="1952"/>
      <c r="M31" s="1953"/>
    </row>
    <row r="32" spans="1:33" ht="18" customHeight="1">
      <c r="A32" s="1576" t="s">
        <v>1822</v>
      </c>
      <c r="B32" s="774" t="s">
        <v>1785</v>
      </c>
      <c r="C32" s="53">
        <f ca="1">ROUND(C6*F32/(1+'数据-取费表'!C42),1)</f>
        <v>112</v>
      </c>
      <c r="D32" s="3278"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240</v>
      </c>
      <c r="D33" s="800" t="s">
        <v>3100</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10.3</v>
      </c>
      <c r="D34" s="803" t="s">
        <v>1790</v>
      </c>
      <c r="E34" s="774" t="s">
        <v>1791</v>
      </c>
      <c r="F34" s="632">
        <f>'数据-取费表'!B52</f>
        <v>30</v>
      </c>
      <c r="G34" s="1945"/>
      <c r="H34" s="1948"/>
      <c r="I34" s="824" t="s">
        <v>1804</v>
      </c>
      <c r="J34" s="825"/>
      <c r="K34" s="1963"/>
      <c r="L34" s="1962"/>
      <c r="M34" s="1962"/>
    </row>
    <row r="35" spans="1:18" ht="18" customHeight="1">
      <c r="A35" s="804"/>
      <c r="B35" s="783"/>
      <c r="C35" s="69"/>
      <c r="D35" s="805"/>
      <c r="E35" s="774" t="s">
        <v>1792</v>
      </c>
      <c r="F35" s="775">
        <f ca="1">INDIRECT("'数据-取费表'!r"&amp;$G$1)</f>
        <v>3431.73</v>
      </c>
      <c r="G35" s="1945"/>
      <c r="H35" s="1948"/>
      <c r="I35" s="826" t="s">
        <v>1805</v>
      </c>
      <c r="J35" s="827">
        <f ca="1">ROUND(C13*J36,0)</f>
        <v>5512</v>
      </c>
      <c r="K35" s="1961"/>
      <c r="L35" s="1960"/>
      <c r="M35" s="1960"/>
    </row>
    <row r="36" spans="1:18" ht="18" customHeight="1">
      <c r="A36" s="1577" t="s">
        <v>1880</v>
      </c>
      <c r="B36" s="774" t="s">
        <v>1793</v>
      </c>
      <c r="C36" s="53">
        <f ca="1">ROUND(C29*F36,1)</f>
        <v>689</v>
      </c>
      <c r="D36" s="3278"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7" t="s">
        <v>1881</v>
      </c>
      <c r="B37" s="774" t="s">
        <v>673</v>
      </c>
      <c r="C37" s="53">
        <f ca="1">ROUND(C13*F37,1)</f>
        <v>103.3</v>
      </c>
      <c r="D37" s="3278"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52.5</v>
      </c>
      <c r="D38" s="2398" t="s">
        <v>1796</v>
      </c>
      <c r="E38" s="2399" t="s">
        <v>1787</v>
      </c>
      <c r="F38" s="2395">
        <f ca="1">INDIRECT("'数据-取费表'!Am"&amp;$G$1)</f>
        <v>2.5000000000000001E-2</v>
      </c>
      <c r="G38" s="1945"/>
      <c r="H38" s="1960"/>
      <c r="I38" s="832" t="s">
        <v>1808</v>
      </c>
      <c r="J38" s="833"/>
      <c r="K38" s="1965"/>
      <c r="L38" s="1960"/>
      <c r="M38" s="1960"/>
    </row>
    <row r="39" spans="1:18" ht="24.6" customHeight="1" thickTop="1">
      <c r="A39" s="1744" t="s">
        <v>1885</v>
      </c>
      <c r="B39" s="2723" t="s">
        <v>2799</v>
      </c>
      <c r="C39" s="782">
        <f ca="1">C5-C30</f>
        <v>893</v>
      </c>
      <c r="D39" s="2401" t="s">
        <v>1797</v>
      </c>
      <c r="E39" s="2402"/>
      <c r="F39" s="2403"/>
      <c r="G39" s="1945"/>
      <c r="H39" s="1960"/>
      <c r="I39" s="826" t="s">
        <v>1809</v>
      </c>
      <c r="J39" s="834">
        <f ca="1">ROUND(J35/C39,3)</f>
        <v>6.1719999999999997</v>
      </c>
      <c r="K39" s="1965"/>
      <c r="L39" s="1960"/>
      <c r="M39" s="1960"/>
    </row>
    <row r="40" spans="1:18" ht="18" customHeight="1">
      <c r="A40" s="771" t="s">
        <v>1886</v>
      </c>
      <c r="B40" s="2112" t="s">
        <v>2287</v>
      </c>
      <c r="C40" s="773">
        <f ca="1">ROUND(C39*(1-((1+F42)/(1+F40))^F41)/(F40-F42),0)</f>
        <v>13790</v>
      </c>
      <c r="D40" s="803" t="s">
        <v>1798</v>
      </c>
      <c r="E40" s="774" t="s">
        <v>2402</v>
      </c>
      <c r="F40" s="784">
        <f ca="1">INDIRECT("'数据-取费表'!I"&amp;$G$1)</f>
        <v>5.5E-2</v>
      </c>
      <c r="G40" s="1945"/>
      <c r="H40" s="1945"/>
      <c r="I40" s="826" t="s">
        <v>1810</v>
      </c>
      <c r="J40" s="834">
        <f ca="1">1-J39</f>
        <v>-5.1719999999999997</v>
      </c>
      <c r="K40" s="1965"/>
      <c r="L40" s="1945"/>
      <c r="M40" s="1945"/>
    </row>
    <row r="41" spans="1:18" ht="18" customHeight="1">
      <c r="A41" s="776"/>
      <c r="B41" s="777"/>
      <c r="C41" s="778"/>
      <c r="D41" s="810" t="s">
        <v>1799</v>
      </c>
      <c r="E41" s="774" t="s">
        <v>2923</v>
      </c>
      <c r="F41" s="811">
        <f ca="1">IF(INDIRECT("'数据-取费表'!af"&amp;$G$1)=0,INDIRECT("'数据-取费表'!ae"&amp;$G$1),INDIRECT("'数据-取费表'!af"&amp;$G$1))</f>
        <v>35.35</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f ca="1">ROUND(C13/C40,3)</f>
        <v>4.9960000000000004</v>
      </c>
      <c r="K42" s="1964"/>
      <c r="L42" s="1900"/>
      <c r="M42" s="1900"/>
    </row>
    <row r="43" spans="1:18" ht="18" customHeight="1" thickBot="1">
      <c r="A43" s="812" t="s">
        <v>1778</v>
      </c>
      <c r="B43" s="813" t="s">
        <v>1801</v>
      </c>
      <c r="C43" s="814">
        <f ca="1">ROUND(C40*10000/F43,0)</f>
        <v>2959</v>
      </c>
      <c r="D43" s="815" t="s">
        <v>1802</v>
      </c>
      <c r="E43" s="816" t="s">
        <v>1803</v>
      </c>
      <c r="F43" s="817">
        <f ca="1">INDIRECT("'数据-取费表'!k"&amp;$G$1)</f>
        <v>46600.86</v>
      </c>
      <c r="G43" s="1945"/>
      <c r="H43" s="1900"/>
      <c r="I43" s="836" t="s">
        <v>1813</v>
      </c>
      <c r="J43" s="837">
        <f ca="1">1-J42</f>
        <v>-3.9960000000000004</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2281</v>
      </c>
      <c r="B46" s="1967"/>
      <c r="C46" s="2426">
        <f ca="1">C67-C40</f>
        <v>-26175</v>
      </c>
      <c r="D46" s="3262"/>
      <c r="E46" s="3262"/>
      <c r="F46" s="3262"/>
      <c r="I46" s="2233" t="s">
        <v>2326</v>
      </c>
      <c r="J46" s="2234"/>
      <c r="K46" s="2235"/>
      <c r="L46" s="2811" t="str">
        <f ca="1">IF(OR(M47="住宅",D1="土地（套用方法）"),0,IF(L48&gt;J51,L60,J60))</f>
        <v>0</v>
      </c>
      <c r="M46" s="3263"/>
      <c r="O46" s="2249" t="s">
        <v>2393</v>
      </c>
      <c r="P46" s="1526"/>
      <c r="Q46" s="1534"/>
      <c r="R46" s="1526"/>
    </row>
    <row r="47" spans="1:18" s="1942" customFormat="1" ht="18" customHeight="1" thickBot="1">
      <c r="A47" s="2227">
        <v>1</v>
      </c>
      <c r="B47" s="2228" t="s">
        <v>629</v>
      </c>
      <c r="C47" s="2426">
        <f ca="1">C48+C52+C54</f>
        <v>0</v>
      </c>
      <c r="D47" s="3262"/>
      <c r="E47" s="3262"/>
      <c r="F47" s="3262"/>
      <c r="I47" s="2802" t="s">
        <v>2327</v>
      </c>
      <c r="J47" s="2236" t="s">
        <v>3102</v>
      </c>
      <c r="K47" s="2808" t="s">
        <v>2332</v>
      </c>
      <c r="L47" s="2812">
        <f ca="1">INDIRECT("'数据-取费表'!d"&amp;$G$1)</f>
        <v>50</v>
      </c>
      <c r="M47" s="1534" t="str">
        <f>IF(ISNUMBER(FIND("住宅",C1)),"住宅","非住宅")</f>
        <v>非住宅</v>
      </c>
      <c r="O47" s="2250" t="s">
        <v>2358</v>
      </c>
      <c r="P47" s="2251" t="s">
        <v>2359</v>
      </c>
      <c r="Q47" s="2252" t="s">
        <v>2360</v>
      </c>
      <c r="R47" s="2251" t="s">
        <v>2361</v>
      </c>
    </row>
    <row r="48" spans="1:18" s="1942" customFormat="1" ht="18" customHeight="1" thickBot="1">
      <c r="A48" s="2484" t="s">
        <v>2517</v>
      </c>
      <c r="B48" s="2485" t="s">
        <v>2518</v>
      </c>
      <c r="C48" s="2229">
        <f ca="1">ROUND(F48*F50*F49*(1-F51)/10000,0)</f>
        <v>0</v>
      </c>
      <c r="D48" s="2230" t="s">
        <v>630</v>
      </c>
      <c r="E48" s="2231" t="s">
        <v>2282</v>
      </c>
      <c r="F48" s="2232"/>
      <c r="G48" s="1972"/>
      <c r="I48" s="2799" t="s">
        <v>2328</v>
      </c>
      <c r="J48" s="2237" t="s">
        <v>2333</v>
      </c>
      <c r="K48" s="2809" t="s">
        <v>2334</v>
      </c>
      <c r="L48" s="1822">
        <f ca="1">INDIRECT("'数据-取费表'!f"&amp;$G$1)</f>
        <v>35.35</v>
      </c>
      <c r="M48" s="3263"/>
      <c r="O48" s="2253" t="s">
        <v>2362</v>
      </c>
      <c r="P48" s="2254" t="s">
        <v>2388</v>
      </c>
      <c r="Q48" s="2255">
        <f ca="1">C40+J29</f>
        <v>13790</v>
      </c>
      <c r="R48" s="2254" t="s">
        <v>2363</v>
      </c>
    </row>
    <row r="49" spans="1:18" s="1942" customFormat="1" ht="18" customHeight="1" thickBot="1">
      <c r="A49" s="776"/>
      <c r="B49" s="777"/>
      <c r="C49" s="778"/>
      <c r="D49" s="779"/>
      <c r="E49" s="774" t="s">
        <v>1730</v>
      </c>
      <c r="F49" s="775">
        <f ca="1">F7</f>
        <v>1080</v>
      </c>
      <c r="G49" s="1972"/>
      <c r="H49" s="1975"/>
      <c r="I49" s="2799" t="s">
        <v>2329</v>
      </c>
      <c r="J49" s="2238">
        <v>2025</v>
      </c>
      <c r="K49" s="2810" t="s">
        <v>2335</v>
      </c>
      <c r="L49" s="2239"/>
      <c r="M49" s="3263"/>
      <c r="O49" s="2253" t="s">
        <v>2364</v>
      </c>
      <c r="P49" s="2254" t="s">
        <v>2389</v>
      </c>
      <c r="Q49" s="2255" t="str">
        <f ca="1">J60</f>
        <v>0</v>
      </c>
      <c r="R49" s="2254" t="s">
        <v>2365</v>
      </c>
    </row>
    <row r="50" spans="1:18" s="1942" customFormat="1" ht="18" customHeight="1" thickBot="1">
      <c r="A50" s="776"/>
      <c r="B50" s="777"/>
      <c r="C50" s="778"/>
      <c r="D50" s="779"/>
      <c r="E50" s="774" t="s">
        <v>1731</v>
      </c>
      <c r="F50" s="775">
        <f ca="1">F8</f>
        <v>12</v>
      </c>
      <c r="G50" s="1977"/>
      <c r="H50" s="1975"/>
      <c r="I50" s="2799" t="s">
        <v>2330</v>
      </c>
      <c r="J50" s="2806">
        <f>SUMPRODUCT((I63:I65=J47)*(J62:L62=J48)*(J63:L65))</f>
        <v>60</v>
      </c>
      <c r="K50" s="2810" t="s">
        <v>2336</v>
      </c>
      <c r="L50" s="2239"/>
      <c r="M50" s="3263"/>
      <c r="O50" s="2256" t="s">
        <v>2366</v>
      </c>
      <c r="P50" s="2254" t="s">
        <v>2390</v>
      </c>
      <c r="Q50" s="2255">
        <f ca="1">C29</f>
        <v>68899</v>
      </c>
      <c r="R50" s="2254" t="s">
        <v>2363</v>
      </c>
    </row>
    <row r="51" spans="1:18" s="1942" customFormat="1" ht="18" customHeight="1" thickBot="1">
      <c r="A51" s="776"/>
      <c r="B51" s="777"/>
      <c r="C51" s="778"/>
      <c r="D51" s="779"/>
      <c r="E51" s="774" t="s">
        <v>634</v>
      </c>
      <c r="F51" s="2226"/>
      <c r="H51" s="1975"/>
      <c r="I51" s="2803" t="s">
        <v>2331</v>
      </c>
      <c r="J51" s="2807">
        <f>IF(J49="",J50,J49+J50-YEAR('数据-取费表'!B2))</f>
        <v>65</v>
      </c>
      <c r="K51" s="2799" t="s">
        <v>2337</v>
      </c>
      <c r="L51" s="2813">
        <f ca="1">ROUND(-PV(INDIRECT("'数据-取费表'!h"&amp;$G$1),J51,(C39-C13*J36),0),0)</f>
        <v>-85533</v>
      </c>
      <c r="M51" s="3263"/>
      <c r="O51" s="2256" t="s">
        <v>2367</v>
      </c>
      <c r="P51" s="2254" t="s">
        <v>2368</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4" t="s">
        <v>2404</v>
      </c>
      <c r="J52" s="2240"/>
      <c r="K52" s="2804" t="s">
        <v>2403</v>
      </c>
      <c r="L52" s="2240"/>
      <c r="M52" s="3263"/>
      <c r="O52" s="2256" t="s">
        <v>2369</v>
      </c>
      <c r="P52" s="2254" t="s">
        <v>2370</v>
      </c>
      <c r="Q52" s="2257">
        <f>J52</f>
        <v>0</v>
      </c>
      <c r="R52" s="2258"/>
    </row>
    <row r="53" spans="1:18" s="1942" customFormat="1" ht="39.75" customHeight="1" thickBot="1">
      <c r="A53" s="776"/>
      <c r="B53" s="2348" t="s">
        <v>2553</v>
      </c>
      <c r="C53" s="2352"/>
      <c r="D53" s="2354"/>
      <c r="E53" s="2351"/>
      <c r="F53" s="790"/>
      <c r="I53" s="2805" t="s">
        <v>2936</v>
      </c>
      <c r="J53" s="2858">
        <f ca="1">IF(M47="住宅",IF(D1="——",MAX(J51,L48),MAX(J51,L48-'数据-取费表'!B20)),IF(D1="——",MIN(J51,L48),MIN(J51,L48-'数据-取费表'!B20)))</f>
        <v>35.35</v>
      </c>
      <c r="K53" s="3649" t="s">
        <v>2925</v>
      </c>
      <c r="L53" s="3650"/>
      <c r="M53" s="3263"/>
      <c r="O53" s="2256" t="s">
        <v>2371</v>
      </c>
      <c r="P53" s="2254" t="s">
        <v>2372</v>
      </c>
      <c r="Q53" s="2255">
        <f ca="1">J53</f>
        <v>35.35</v>
      </c>
      <c r="R53" s="2254" t="s">
        <v>2373</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2374</v>
      </c>
      <c r="P54" s="2254" t="s">
        <v>2391</v>
      </c>
      <c r="Q54" s="2255">
        <f ca="1">Q48+Q49</f>
        <v>13790</v>
      </c>
      <c r="R54" s="2258" t="s">
        <v>2375</v>
      </c>
    </row>
    <row r="55" spans="1:18" s="1942" customFormat="1" ht="18" customHeight="1" thickTop="1" thickBot="1">
      <c r="A55" s="787">
        <v>2</v>
      </c>
      <c r="B55" s="788" t="s">
        <v>638</v>
      </c>
      <c r="C55" s="789">
        <f ca="1">C13</f>
        <v>68899</v>
      </c>
      <c r="D55" s="785"/>
      <c r="E55" s="785"/>
      <c r="F55" s="790"/>
      <c r="I55" s="2816" t="s">
        <v>2338</v>
      </c>
      <c r="J55" s="2788" t="e">
        <f ca="1">ROUND(IF(J47="钢混",J57/J50,1-(1-2%)*(J50-J57)/J50),3)</f>
        <v>#VALUE!</v>
      </c>
      <c r="K55" s="2817" t="s">
        <v>2339</v>
      </c>
      <c r="L55" s="2241"/>
      <c r="M55" s="3263"/>
      <c r="O55" s="2259" t="s">
        <v>2394</v>
      </c>
      <c r="P55" s="1526"/>
      <c r="Q55" s="1534"/>
      <c r="R55" s="1526"/>
    </row>
    <row r="56" spans="1:18" s="1942" customFormat="1" ht="42.75" customHeight="1" thickBot="1">
      <c r="A56" s="1578"/>
      <c r="B56" s="2111" t="s">
        <v>2288</v>
      </c>
      <c r="C56" s="53">
        <f ca="1">C29</f>
        <v>68899</v>
      </c>
      <c r="D56" s="3278"/>
      <c r="E56" s="774"/>
      <c r="F56" s="799"/>
      <c r="I56" s="2818" t="s">
        <v>2340</v>
      </c>
      <c r="J56" s="2828" t="s">
        <v>1669</v>
      </c>
      <c r="K56" s="2799" t="s">
        <v>2345</v>
      </c>
      <c r="L56" s="1822" t="str">
        <f ca="1">IF(L48&lt;J51,"——",L48-J51)</f>
        <v>——</v>
      </c>
      <c r="M56" s="3263"/>
      <c r="O56" s="2250" t="s">
        <v>2358</v>
      </c>
      <c r="P56" s="2251" t="s">
        <v>2359</v>
      </c>
      <c r="Q56" s="2252" t="s">
        <v>2360</v>
      </c>
      <c r="R56" s="2251" t="s">
        <v>2361</v>
      </c>
    </row>
    <row r="57" spans="1:18" s="1942" customFormat="1" ht="28.5" customHeight="1" thickBot="1">
      <c r="A57" s="787" t="s">
        <v>1739</v>
      </c>
      <c r="B57" s="788" t="s">
        <v>645</v>
      </c>
      <c r="C57" s="789">
        <f ca="1">ROUND(C58+C63+C64+C65,0)</f>
        <v>802</v>
      </c>
      <c r="D57" s="26" t="s">
        <v>1741</v>
      </c>
      <c r="E57" s="3287"/>
      <c r="F57" s="56"/>
      <c r="I57" s="2819" t="s">
        <v>2341</v>
      </c>
      <c r="J57" s="2820" t="str">
        <f ca="1">IF(OR(M47="住宅",J51&lt;L48,J56="是"),"——",J51-L48)</f>
        <v>——</v>
      </c>
      <c r="K57" s="2799" t="s">
        <v>2346</v>
      </c>
      <c r="L57" s="1822" t="str">
        <f ca="1">IF(L48&lt;J51,"——",IF(L55="比较法",L49,IF(L55="基准地价",L50,L51)))</f>
        <v>——</v>
      </c>
      <c r="M57" s="3263"/>
      <c r="O57" s="2253" t="s">
        <v>2362</v>
      </c>
      <c r="P57" s="2254" t="s">
        <v>2392</v>
      </c>
      <c r="Q57" s="2255">
        <f ca="1">C40+J29</f>
        <v>13790</v>
      </c>
      <c r="R57" s="2254" t="s">
        <v>2363</v>
      </c>
    </row>
    <row r="58" spans="1:18" s="1942" customFormat="1" ht="28.5" customHeight="1" thickBot="1">
      <c r="A58" s="1577" t="s">
        <v>1815</v>
      </c>
      <c r="B58" s="774" t="s">
        <v>650</v>
      </c>
      <c r="C58" s="3019">
        <f ca="1">ROUND(IF(AND(项目基本情况!B11="自然人",项目基本情况!B10="北京市"),C48*F58/(1+'数据-取费表'!C42),C59+C60+C61),0)</f>
        <v>10</v>
      </c>
      <c r="D58" s="3279" t="s">
        <v>651</v>
      </c>
      <c r="E58" s="3278" t="s">
        <v>684</v>
      </c>
      <c r="F58" s="3018" t="str">
        <f>IF(项目基本情况!B11="企业","——",IF('数据-取费表'!B10="住宅",IF(F48*F49*F50/12/(1+'数据-取费表'!F30)&gt;100000,4%,2.5%),IF(F48*F49*F50/12/(1+'数据-取费表'!F30)&gt;100000,12%,7%)))</f>
        <v>——</v>
      </c>
      <c r="I58" s="2819" t="s">
        <v>2342</v>
      </c>
      <c r="J58" s="2789" t="e">
        <f ca="1">IF(J55&lt;0.4,0.4,J55)</f>
        <v>#VALUE!</v>
      </c>
      <c r="K58" s="2799" t="s">
        <v>2347</v>
      </c>
      <c r="L58" s="1822" t="e">
        <f ca="1">ROUND(POWER(1+L52,L47-L48)*(POWER(1+L52,L48)-1)/(POWER(1+L52,L47)-1),4)</f>
        <v>#DIV/0!</v>
      </c>
      <c r="M58" s="3263"/>
      <c r="O58" s="2253" t="s">
        <v>2364</v>
      </c>
      <c r="P58" s="2254" t="s">
        <v>2395</v>
      </c>
      <c r="Q58" s="2255">
        <f ca="1">L60</f>
        <v>0</v>
      </c>
      <c r="R58" s="2258" t="s">
        <v>2397</v>
      </c>
    </row>
    <row r="59" spans="1:18" s="1942" customFormat="1" ht="28.5" customHeight="1" thickBot="1">
      <c r="A59" s="1576" t="s">
        <v>1822</v>
      </c>
      <c r="B59" s="774" t="s">
        <v>654</v>
      </c>
      <c r="C59" s="53">
        <f ca="1">ROUND(C47*F59/1.05,1)</f>
        <v>0</v>
      </c>
      <c r="D59" s="3278" t="s">
        <v>1747</v>
      </c>
      <c r="E59" s="774" t="s">
        <v>1738</v>
      </c>
      <c r="F59" s="799">
        <f t="shared" ref="F59:F65" si="0">F32</f>
        <v>5.6000000000000001E-2</v>
      </c>
      <c r="I59" s="2819" t="s">
        <v>2343</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2366</v>
      </c>
      <c r="P59" s="2254" t="s">
        <v>2396</v>
      </c>
      <c r="Q59" s="2255">
        <f>IF(L55="比较法",L49,IF(L55="基准地价",L50,0))</f>
        <v>0</v>
      </c>
      <c r="R59" s="2254" t="s">
        <v>2363</v>
      </c>
    </row>
    <row r="60" spans="1:18" s="1942" customFormat="1" ht="18" customHeight="1" thickBot="1">
      <c r="A60" s="1576" t="s">
        <v>1823</v>
      </c>
      <c r="B60" s="774" t="s">
        <v>1749</v>
      </c>
      <c r="C60" s="53">
        <f ca="1">IF(D60="按租金收入计税",ROUND(C47*F60,1),IF(D60="按房产原值计税",ROUND(C56*F60*0.7,1),INDIRECT("'数据-取费表'!Aj"&amp;$G$1)))</f>
        <v>0</v>
      </c>
      <c r="D60" s="3278" t="str">
        <f>D33</f>
        <v>按租金收入计税</v>
      </c>
      <c r="E60" s="774" t="s">
        <v>1738</v>
      </c>
      <c r="F60" s="799">
        <f t="shared" si="0"/>
        <v>0.12</v>
      </c>
      <c r="I60" s="2821" t="s">
        <v>2344</v>
      </c>
      <c r="J60" s="2822" t="str">
        <f ca="1">IF(OR(M47="住宅",J51&lt;L48,J56="是"),"0",ROUND(J59/(1+J52)^J53,0))</f>
        <v>0</v>
      </c>
      <c r="K60" s="2823" t="s">
        <v>2349</v>
      </c>
      <c r="L60" s="2822">
        <f ca="1">IF(OR(M47="住宅",L48&lt;J51),0,ROUND(L57*(L58/L59-1),0))</f>
        <v>0</v>
      </c>
      <c r="M60" s="3263"/>
      <c r="O60" s="2256" t="s">
        <v>2367</v>
      </c>
      <c r="P60" s="2254" t="s">
        <v>2376</v>
      </c>
      <c r="Q60" s="2257">
        <f>L52</f>
        <v>0</v>
      </c>
      <c r="R60" s="2258"/>
    </row>
    <row r="61" spans="1:18" s="1942" customFormat="1" ht="18" customHeight="1" thickBot="1">
      <c r="A61" s="1579" t="s">
        <v>1824</v>
      </c>
      <c r="B61" s="339" t="s">
        <v>662</v>
      </c>
      <c r="C61" s="54">
        <f ca="1">ROUND(F61*F62/10000,1)</f>
        <v>10.3</v>
      </c>
      <c r="D61" s="803" t="s">
        <v>663</v>
      </c>
      <c r="E61" s="774" t="s">
        <v>664</v>
      </c>
      <c r="F61" s="632">
        <f t="shared" si="0"/>
        <v>30</v>
      </c>
      <c r="K61" s="1968"/>
      <c r="O61" s="2256" t="s">
        <v>2369</v>
      </c>
      <c r="P61" s="2254" t="s">
        <v>2377</v>
      </c>
      <c r="Q61" s="2255" t="e">
        <f ca="1">L58</f>
        <v>#DIV/0!</v>
      </c>
      <c r="R61" s="2258" t="s">
        <v>2378</v>
      </c>
    </row>
    <row r="62" spans="1:18" s="1942" customFormat="1" ht="15.75" thickBot="1">
      <c r="A62" s="804"/>
      <c r="B62" s="783"/>
      <c r="C62" s="69"/>
      <c r="D62" s="805"/>
      <c r="E62" s="774" t="s">
        <v>668</v>
      </c>
      <c r="F62" s="775">
        <f t="shared" ca="1" si="0"/>
        <v>3431.73</v>
      </c>
      <c r="I62" s="2824" t="s">
        <v>2350</v>
      </c>
      <c r="J62" s="2825" t="s">
        <v>2351</v>
      </c>
      <c r="K62" s="2825" t="s">
        <v>2352</v>
      </c>
      <c r="L62" s="2825" t="s">
        <v>2333</v>
      </c>
      <c r="M62" s="2826" t="s">
        <v>2904</v>
      </c>
      <c r="O62" s="2256" t="s">
        <v>2371</v>
      </c>
      <c r="P62" s="2254" t="str">
        <f>K59</f>
        <v>建筑物剩余耐用年限下的土地年期修正系数Kn</v>
      </c>
      <c r="Q62" s="2255" t="e">
        <f ca="1">L59</f>
        <v>#DIV/0!</v>
      </c>
      <c r="R62" s="2258" t="s">
        <v>2380</v>
      </c>
    </row>
    <row r="63" spans="1:18" s="1942" customFormat="1" ht="15.75" thickBot="1">
      <c r="A63" s="1577" t="s">
        <v>1880</v>
      </c>
      <c r="B63" s="774" t="s">
        <v>670</v>
      </c>
      <c r="C63" s="53">
        <f ca="1">ROUND(C56*F63,1)</f>
        <v>689</v>
      </c>
      <c r="D63" s="3278" t="s">
        <v>1794</v>
      </c>
      <c r="E63" s="774" t="s">
        <v>1738</v>
      </c>
      <c r="F63" s="806">
        <f t="shared" ca="1" si="0"/>
        <v>0.01</v>
      </c>
      <c r="I63" s="2824" t="s">
        <v>2353</v>
      </c>
      <c r="J63" s="2825">
        <v>70</v>
      </c>
      <c r="K63" s="2825">
        <v>50</v>
      </c>
      <c r="L63" s="2825">
        <v>80</v>
      </c>
      <c r="M63" s="2827">
        <v>0.02</v>
      </c>
      <c r="O63" s="2253" t="s">
        <v>2374</v>
      </c>
      <c r="P63" s="2254" t="s">
        <v>2391</v>
      </c>
      <c r="Q63" s="2255">
        <f ca="1">Q57+Q58</f>
        <v>13790</v>
      </c>
      <c r="R63" s="2258" t="s">
        <v>2375</v>
      </c>
    </row>
    <row r="64" spans="1:18" s="1942" customFormat="1" ht="16.5" thickBot="1">
      <c r="A64" s="1577" t="s">
        <v>1881</v>
      </c>
      <c r="B64" s="774" t="s">
        <v>673</v>
      </c>
      <c r="C64" s="53">
        <f ca="1">ROUND(C55*F64,1)</f>
        <v>103.3</v>
      </c>
      <c r="D64" s="3278" t="s">
        <v>674</v>
      </c>
      <c r="E64" s="774" t="s">
        <v>1738</v>
      </c>
      <c r="F64" s="807">
        <f t="shared" ca="1" si="0"/>
        <v>1.5E-3</v>
      </c>
      <c r="I64" s="2824" t="s">
        <v>2354</v>
      </c>
      <c r="J64" s="2825">
        <v>50</v>
      </c>
      <c r="K64" s="2825">
        <v>35</v>
      </c>
      <c r="L64" s="2825">
        <v>60</v>
      </c>
      <c r="M64" s="835">
        <v>0</v>
      </c>
      <c r="O64" s="2259" t="s">
        <v>2398</v>
      </c>
      <c r="P64" s="1526"/>
      <c r="Q64" s="1534"/>
      <c r="R64" s="1526"/>
    </row>
    <row r="65" spans="1:18" s="1942" customFormat="1" ht="15.75" thickBot="1">
      <c r="A65" s="1577" t="s">
        <v>1882</v>
      </c>
      <c r="B65" s="774" t="s">
        <v>660</v>
      </c>
      <c r="C65" s="53">
        <f ca="1">ROUND(C47*F65,1)</f>
        <v>0</v>
      </c>
      <c r="D65" s="3278" t="s">
        <v>677</v>
      </c>
      <c r="E65" s="774" t="s">
        <v>1738</v>
      </c>
      <c r="F65" s="784">
        <f t="shared" ca="1" si="0"/>
        <v>2.5000000000000001E-2</v>
      </c>
      <c r="I65" s="2824" t="s">
        <v>2355</v>
      </c>
      <c r="J65" s="2825">
        <v>40</v>
      </c>
      <c r="K65" s="2825">
        <v>30</v>
      </c>
      <c r="L65" s="2825">
        <v>50</v>
      </c>
      <c r="M65" s="2827">
        <v>0.02</v>
      </c>
      <c r="O65" s="2250" t="s">
        <v>2358</v>
      </c>
      <c r="P65" s="2251" t="s">
        <v>2359</v>
      </c>
      <c r="Q65" s="2252" t="s">
        <v>2360</v>
      </c>
      <c r="R65" s="2251" t="s">
        <v>2361</v>
      </c>
    </row>
    <row r="66" spans="1:18" s="1942" customFormat="1" ht="24.75" thickBot="1">
      <c r="A66" s="787" t="s">
        <v>1767</v>
      </c>
      <c r="B66" s="2724" t="s">
        <v>2799</v>
      </c>
      <c r="C66" s="789">
        <f ca="1">C47-C57</f>
        <v>-802</v>
      </c>
      <c r="D66" s="3279" t="s">
        <v>694</v>
      </c>
      <c r="E66" s="3282"/>
      <c r="F66" s="809"/>
      <c r="K66" s="1968"/>
      <c r="O66" s="2253" t="s">
        <v>2362</v>
      </c>
      <c r="P66" s="2254" t="s">
        <v>2392</v>
      </c>
      <c r="Q66" s="2255">
        <f ca="1">C40+J29</f>
        <v>13790</v>
      </c>
      <c r="R66" s="2254" t="s">
        <v>2363</v>
      </c>
    </row>
    <row r="67" spans="1:18" s="1942" customFormat="1" ht="20.25" thickBot="1">
      <c r="A67" s="771" t="s">
        <v>1771</v>
      </c>
      <c r="B67" s="2112" t="s">
        <v>2287</v>
      </c>
      <c r="C67" s="773">
        <f ca="1">ROUND(C66*(1-((1+F69)/(1+F67))^F68)/(F67-F69),0)</f>
        <v>-12385</v>
      </c>
      <c r="D67" s="803" t="s">
        <v>698</v>
      </c>
      <c r="E67" s="774" t="s">
        <v>699</v>
      </c>
      <c r="F67" s="784">
        <f ca="1">F40</f>
        <v>5.5E-2</v>
      </c>
      <c r="K67" s="1968"/>
      <c r="O67" s="2253" t="s">
        <v>2364</v>
      </c>
      <c r="P67" s="2254" t="s">
        <v>2395</v>
      </c>
      <c r="Q67" s="2255">
        <f ca="1">L60</f>
        <v>0</v>
      </c>
      <c r="R67" s="2258" t="s">
        <v>2397</v>
      </c>
    </row>
    <row r="68" spans="1:18" ht="21.75" thickBot="1">
      <c r="A68" s="776"/>
      <c r="B68" s="777"/>
      <c r="C68" s="778"/>
      <c r="D68" s="810" t="s">
        <v>1799</v>
      </c>
      <c r="E68" s="774" t="s">
        <v>1775</v>
      </c>
      <c r="F68" s="811">
        <f ca="1">F41</f>
        <v>35.35</v>
      </c>
      <c r="O68" s="2256" t="s">
        <v>2366</v>
      </c>
      <c r="P68" s="2254" t="s">
        <v>2396</v>
      </c>
      <c r="Q68" s="2260">
        <f ca="1">L51</f>
        <v>-85533</v>
      </c>
      <c r="R68" s="2261" t="s">
        <v>2399</v>
      </c>
    </row>
    <row r="69" spans="1:18" ht="20.25" thickBot="1">
      <c r="A69" s="780"/>
      <c r="B69" s="781"/>
      <c r="C69" s="782"/>
      <c r="D69" s="805"/>
      <c r="E69" s="774" t="s">
        <v>704</v>
      </c>
      <c r="F69" s="2226"/>
      <c r="O69" s="2256" t="s">
        <v>2367</v>
      </c>
      <c r="P69" s="2262" t="s">
        <v>2381</v>
      </c>
      <c r="Q69" s="2255">
        <f ca="1">ROUND(Q70-Q71*Q72,0)</f>
        <v>-4619</v>
      </c>
      <c r="R69" s="2258"/>
    </row>
    <row r="70" spans="1:18" ht="15.75" thickBot="1">
      <c r="A70" s="812" t="s">
        <v>1778</v>
      </c>
      <c r="B70" s="813" t="s">
        <v>1801</v>
      </c>
      <c r="C70" s="814">
        <f ca="1">ROUND(C67*10000/F70,0)</f>
        <v>-2658</v>
      </c>
      <c r="D70" s="815" t="s">
        <v>1802</v>
      </c>
      <c r="E70" s="816" t="s">
        <v>1803</v>
      </c>
      <c r="F70" s="817">
        <f ca="1">F43</f>
        <v>46600.86</v>
      </c>
      <c r="O70" s="2256" t="s">
        <v>2382</v>
      </c>
      <c r="P70" s="2262" t="s">
        <v>2383</v>
      </c>
      <c r="Q70" s="2255">
        <f ca="1">C39</f>
        <v>893</v>
      </c>
      <c r="R70" s="2254" t="s">
        <v>2363</v>
      </c>
    </row>
    <row r="71" spans="1:18" ht="15.75" thickBot="1">
      <c r="O71" s="2256" t="s">
        <v>2384</v>
      </c>
      <c r="P71" s="2262" t="s">
        <v>2385</v>
      </c>
      <c r="Q71" s="2255">
        <f ca="1">C13</f>
        <v>68899</v>
      </c>
      <c r="R71" s="2254" t="s">
        <v>2363</v>
      </c>
    </row>
    <row r="72" spans="1:18" ht="15.75" thickBot="1">
      <c r="O72" s="2256" t="s">
        <v>2386</v>
      </c>
      <c r="P72" s="2262" t="s">
        <v>2387</v>
      </c>
      <c r="Q72" s="2257">
        <f ca="1">J36</f>
        <v>0.08</v>
      </c>
      <c r="R72" s="2258"/>
    </row>
    <row r="73" spans="1:18" ht="15.75" thickBot="1">
      <c r="O73" s="2256" t="s">
        <v>2369</v>
      </c>
      <c r="P73" s="2254" t="s">
        <v>2376</v>
      </c>
      <c r="Q73" s="2257">
        <f>L52</f>
        <v>0</v>
      </c>
      <c r="R73" s="2258"/>
    </row>
    <row r="74" spans="1:18" ht="20.25" thickBot="1">
      <c r="O74" s="2256" t="s">
        <v>2371</v>
      </c>
      <c r="P74" s="2254" t="s">
        <v>2377</v>
      </c>
      <c r="Q74" s="2255" t="e">
        <f ca="1">L58</f>
        <v>#DIV/0!</v>
      </c>
      <c r="R74" s="2258" t="s">
        <v>2378</v>
      </c>
    </row>
    <row r="75" spans="1:18" ht="15.75" thickBot="1">
      <c r="O75" s="2256" t="s">
        <v>2400</v>
      </c>
      <c r="P75" s="2254" t="str">
        <f>K59</f>
        <v>建筑物剩余耐用年限下的土地年期修正系数Kn</v>
      </c>
      <c r="Q75" s="2255" t="e">
        <f ca="1">L59</f>
        <v>#DIV/0!</v>
      </c>
      <c r="R75" s="2258" t="s">
        <v>2380</v>
      </c>
    </row>
    <row r="76" spans="1:18" ht="15.75" thickBot="1">
      <c r="O76" s="2253" t="s">
        <v>2374</v>
      </c>
      <c r="P76" s="2254" t="s">
        <v>2391</v>
      </c>
      <c r="Q76" s="2255">
        <f ca="1">Q66+Q67</f>
        <v>13790</v>
      </c>
      <c r="R76" s="2258"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6" sqref="F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3001</v>
      </c>
      <c r="D1" s="2798" t="s">
        <v>943</v>
      </c>
      <c r="E1" s="2242" t="s">
        <v>2357</v>
      </c>
      <c r="F1" s="2243">
        <f ca="1">J53</f>
        <v>35.35</v>
      </c>
      <c r="G1" s="3259">
        <f>MATCH(C1,'数据-取费表'!A6:A16,0)+5</f>
        <v>10</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3837</v>
      </c>
      <c r="C2" s="3264"/>
      <c r="D2" s="3265"/>
      <c r="E2" s="3266"/>
      <c r="F2" s="3266"/>
      <c r="G2" s="3260"/>
      <c r="H2" s="1940"/>
      <c r="I2" s="1940"/>
      <c r="J2" s="1940"/>
      <c r="K2" s="1941"/>
      <c r="L2" s="1940"/>
      <c r="M2" s="1940"/>
    </row>
    <row r="3" spans="1:33" ht="18" customHeight="1" thickBot="1">
      <c r="A3" s="822" t="s">
        <v>1718</v>
      </c>
      <c r="B3" s="823">
        <f ca="1">IF(ISERROR(B2*10000/F43),0,ROUND(B2*10000/F43,0))</f>
        <v>11651</v>
      </c>
      <c r="C3" s="3264"/>
      <c r="D3" s="3265"/>
      <c r="E3" s="3266"/>
      <c r="F3" s="3266"/>
      <c r="G3" s="3260"/>
      <c r="H3" s="766" t="s">
        <v>689</v>
      </c>
      <c r="I3" s="1316"/>
      <c r="J3" s="1316"/>
      <c r="K3" s="1525"/>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2438</v>
      </c>
      <c r="C5" s="55">
        <f ca="1">C6+C10+C12</f>
        <v>325</v>
      </c>
      <c r="D5" s="2349" t="s">
        <v>2441</v>
      </c>
      <c r="E5" s="2343"/>
      <c r="F5" s="2344"/>
      <c r="G5" s="1945"/>
      <c r="H5" s="771">
        <v>1</v>
      </c>
      <c r="I5" s="772" t="s">
        <v>2438</v>
      </c>
      <c r="J5" s="55">
        <f ca="1">J6+J10+J12</f>
        <v>0</v>
      </c>
      <c r="K5" s="2349" t="s">
        <v>2441</v>
      </c>
      <c r="L5" s="2343"/>
      <c r="M5" s="2344"/>
    </row>
    <row r="6" spans="1:33" ht="18" customHeight="1">
      <c r="A6" s="1745" t="s">
        <v>1815</v>
      </c>
      <c r="B6" s="3609" t="s">
        <v>2443</v>
      </c>
      <c r="C6" s="773">
        <f ca="1">ROUND(F6*F8*F7*(1-F9)/10000,0)</f>
        <v>325</v>
      </c>
      <c r="D6" s="2350" t="s">
        <v>2442</v>
      </c>
      <c r="E6" s="774" t="s">
        <v>1729</v>
      </c>
      <c r="F6" s="775">
        <f ca="1">INDIRECT("'数据-取费表'!u"&amp;$G$1)</f>
        <v>3</v>
      </c>
      <c r="G6" s="1945"/>
      <c r="H6" s="2357" t="s">
        <v>2448</v>
      </c>
      <c r="I6" s="3609" t="s">
        <v>2443</v>
      </c>
      <c r="J6" s="773">
        <f ca="1">ROUND(M6*M8*M7*(1-M9)/10000,0)</f>
        <v>0</v>
      </c>
      <c r="K6" s="339" t="s">
        <v>1728</v>
      </c>
      <c r="L6" s="774" t="s">
        <v>1729</v>
      </c>
      <c r="M6" s="775">
        <f ca="1">INDIRECT("'数据-取费表'!z"&amp;$G$1)</f>
        <v>0</v>
      </c>
    </row>
    <row r="7" spans="1:33" ht="18" customHeight="1">
      <c r="A7" s="2353"/>
      <c r="B7" s="3610"/>
      <c r="C7" s="778"/>
      <c r="D7" s="779"/>
      <c r="E7" s="774" t="s">
        <v>1730</v>
      </c>
      <c r="F7" s="775">
        <f ca="1">IF(INDIRECT("'数据-取费表'!ah"&amp;$G$1)="",INDIRECT("'数据-取费表'!k"&amp;$G$1),INDIRECT("'数据-取费表'!ah"&amp;$G$1))</f>
        <v>3293.4</v>
      </c>
      <c r="G7" s="1945"/>
      <c r="H7" s="2342"/>
      <c r="I7" s="3610"/>
      <c r="J7" s="778"/>
      <c r="K7" s="779"/>
      <c r="L7" s="774" t="s">
        <v>1730</v>
      </c>
      <c r="M7" s="775">
        <f ca="1">F7</f>
        <v>3293.4</v>
      </c>
    </row>
    <row r="8" spans="1:33" ht="18" customHeight="1">
      <c r="A8" s="2346"/>
      <c r="B8" s="3611"/>
      <c r="C8" s="778"/>
      <c r="D8" s="779"/>
      <c r="E8" s="774" t="s">
        <v>1731</v>
      </c>
      <c r="F8" s="775">
        <f ca="1">INDIRECT("'数据-取费表'!ai"&amp;$G$1)</f>
        <v>365</v>
      </c>
      <c r="G8" s="1945"/>
      <c r="H8" s="2342"/>
      <c r="I8" s="3611"/>
      <c r="J8" s="778"/>
      <c r="K8" s="779"/>
      <c r="L8" s="774" t="s">
        <v>1731</v>
      </c>
      <c r="M8" s="775">
        <f ca="1">INDIRECT("'数据-取费表'!ai"&amp;$G$1)</f>
        <v>365</v>
      </c>
    </row>
    <row r="9" spans="1:33" ht="18" customHeight="1">
      <c r="A9" s="776"/>
      <c r="B9" s="3612"/>
      <c r="C9" s="778"/>
      <c r="D9" s="779"/>
      <c r="E9" s="774" t="s">
        <v>1732</v>
      </c>
      <c r="F9" s="784">
        <f ca="1">INDIRECT("'数据-取费表'!w"&amp;$G$1)</f>
        <v>0.1</v>
      </c>
      <c r="G9" s="1945"/>
      <c r="H9" s="2358"/>
      <c r="I9" s="3611"/>
      <c r="J9" s="778"/>
      <c r="K9" s="779"/>
      <c r="L9" s="785" t="s">
        <v>1732</v>
      </c>
      <c r="M9" s="786">
        <f ca="1">INDIRECT("'数据-取费表'!ab"&amp;$G$1)</f>
        <v>0</v>
      </c>
    </row>
    <row r="10" spans="1:33" ht="18" customHeight="1">
      <c r="A10" s="1745" t="s">
        <v>2446</v>
      </c>
      <c r="B10" s="2347" t="s">
        <v>2439</v>
      </c>
      <c r="C10" s="789">
        <f ca="1">ROUND(IF(F10="押一",C6/12*F11,IF(F10="押二",C6/12*2*F11,IF(F10="押三",C6/12*3*F11,C11*F11))),0)</f>
        <v>0</v>
      </c>
      <c r="D10" s="2354" t="s">
        <v>2932</v>
      </c>
      <c r="E10" s="2351" t="s">
        <v>2444</v>
      </c>
      <c r="F10" s="2465"/>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1733</v>
      </c>
      <c r="C13" s="782">
        <f ca="1">ROUND(C29*F13,0)</f>
        <v>4867</v>
      </c>
      <c r="D13" s="1749" t="s">
        <v>2283</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3161</v>
      </c>
      <c r="D14" s="3279" t="s">
        <v>1736</v>
      </c>
      <c r="E14" s="3280"/>
      <c r="F14" s="795"/>
      <c r="G14" s="1945"/>
      <c r="H14" s="1577" t="s">
        <v>1821</v>
      </c>
      <c r="I14" s="2111" t="s">
        <v>2802</v>
      </c>
      <c r="J14" s="53">
        <f ca="1">C29</f>
        <v>4867</v>
      </c>
      <c r="K14" s="26"/>
      <c r="L14" s="791"/>
      <c r="M14" s="792"/>
    </row>
    <row r="15" spans="1:33" s="1947" customFormat="1" ht="18" customHeight="1" thickBot="1">
      <c r="A15" s="1576" t="s">
        <v>1876</v>
      </c>
      <c r="B15" s="774" t="s">
        <v>641</v>
      </c>
      <c r="C15" s="53">
        <f ca="1">ROUND(C14*F15,0)</f>
        <v>95</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459</v>
      </c>
      <c r="K16" s="1736" t="s">
        <v>1741</v>
      </c>
      <c r="L16" s="3281"/>
      <c r="M16" s="2344"/>
    </row>
    <row r="17" spans="1:33" s="1947" customFormat="1" ht="18" customHeight="1">
      <c r="A17" s="1576" t="s">
        <v>1878</v>
      </c>
      <c r="B17" s="774" t="s">
        <v>647</v>
      </c>
      <c r="C17" s="53">
        <f ca="1">ROUND(F17*(F43+INDIRECT("'数据-取费表'!S"&amp;$G$1))/10000,0)</f>
        <v>70</v>
      </c>
      <c r="D17" s="774" t="s">
        <v>1742</v>
      </c>
      <c r="E17" s="774" t="s">
        <v>1743</v>
      </c>
      <c r="F17" s="56">
        <f>'数据-取费表'!B35</f>
        <v>200</v>
      </c>
      <c r="G17" s="3261"/>
      <c r="H17" s="1577" t="s">
        <v>1821</v>
      </c>
      <c r="I17" s="774" t="s">
        <v>650</v>
      </c>
      <c r="J17" s="3019">
        <f ca="1">ROUND(IF(AND(项目基本情况!B11="自然人",项目基本情况!B10="北京市"),J6*M17/(1+'数据-取费表'!C42),J18+J19+J20),0)</f>
        <v>410</v>
      </c>
      <c r="K17" s="3279" t="s">
        <v>1744</v>
      </c>
      <c r="L17" s="3278"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47</v>
      </c>
      <c r="D18" s="774" t="s">
        <v>1737</v>
      </c>
      <c r="E18" s="774" t="s">
        <v>1738</v>
      </c>
      <c r="F18" s="799">
        <f>'数据-取费表'!B36</f>
        <v>1.4999999999999999E-2</v>
      </c>
      <c r="G18" s="3261"/>
      <c r="H18" s="1576" t="s">
        <v>1875</v>
      </c>
      <c r="I18" s="774" t="s">
        <v>1746</v>
      </c>
      <c r="J18" s="53">
        <f ca="1">ROUND(J6*M18/(1+'数据-取费表'!C42),1)</f>
        <v>0</v>
      </c>
      <c r="K18" s="3278"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3373</v>
      </c>
      <c r="D19" s="259" t="s">
        <v>1748</v>
      </c>
      <c r="E19" s="3287"/>
      <c r="F19" s="56"/>
      <c r="G19" s="1945"/>
      <c r="H19" s="1576" t="s">
        <v>1876</v>
      </c>
      <c r="I19" s="774" t="s">
        <v>1749</v>
      </c>
      <c r="J19" s="53">
        <f ca="1">IF(K19="按租金收入计税",ROUND(J6*M19/(1+'数据-取费表'!C42),1),ROUND(C29*F33*0.7,1))</f>
        <v>408.8</v>
      </c>
      <c r="K19" s="800" t="s">
        <v>659</v>
      </c>
      <c r="L19" s="774" t="s">
        <v>1738</v>
      </c>
      <c r="M19" s="799">
        <f>IF(K19="按租金收入计税",'数据-取费表'!B51,'数据-取费表'!B50)</f>
        <v>1.2E-2</v>
      </c>
    </row>
    <row r="20" spans="1:33" s="1947" customFormat="1" ht="18" customHeight="1">
      <c r="A20" s="1577" t="s">
        <v>1880</v>
      </c>
      <c r="B20" s="774" t="s">
        <v>660</v>
      </c>
      <c r="C20" s="53">
        <f ca="1">ROUND(C19*F20,0)</f>
        <v>101</v>
      </c>
      <c r="D20" s="801" t="s">
        <v>1750</v>
      </c>
      <c r="E20" s="774" t="s">
        <v>1738</v>
      </c>
      <c r="F20" s="799">
        <f>'数据-取费表'!B37</f>
        <v>0.03</v>
      </c>
      <c r="G20" s="3261"/>
      <c r="H20" s="1579" t="s">
        <v>1871</v>
      </c>
      <c r="I20" s="339" t="s">
        <v>1751</v>
      </c>
      <c r="J20" s="54">
        <f ca="1">ROUND(M20*M21/10000,0)</f>
        <v>1</v>
      </c>
      <c r="K20" s="803" t="s">
        <v>1752</v>
      </c>
      <c r="L20" s="774" t="s">
        <v>1753</v>
      </c>
      <c r="M20" s="632">
        <f>'数据-取费表'!B52</f>
        <v>30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2284</v>
      </c>
      <c r="E21" s="774" t="s">
        <v>1756</v>
      </c>
      <c r="F21" s="799">
        <f>'数据-取费表'!B38</f>
        <v>0.03</v>
      </c>
      <c r="G21" s="3261"/>
      <c r="H21" s="2359"/>
      <c r="I21" s="783"/>
      <c r="J21" s="69"/>
      <c r="K21" s="805"/>
      <c r="L21" s="774" t="s">
        <v>1757</v>
      </c>
      <c r="M21" s="775">
        <f ca="1">INDIRECT("'数据-取费表'!r"&amp;$G$1)</f>
        <v>242.53</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3287"/>
      <c r="F22" s="56"/>
      <c r="G22" s="1945"/>
      <c r="H22" s="1577" t="s">
        <v>1880</v>
      </c>
      <c r="I22" s="774" t="s">
        <v>1759</v>
      </c>
      <c r="J22" s="53">
        <f ca="1">ROUND(J14*M22,0)</f>
        <v>49</v>
      </c>
      <c r="K22" s="3278" t="s">
        <v>1760</v>
      </c>
      <c r="L22" s="774" t="s">
        <v>1738</v>
      </c>
      <c r="M22" s="806">
        <f ca="1">INDIRECT("'数据-取费表'!Ak"&amp;$G$1)</f>
        <v>0.01</v>
      </c>
    </row>
    <row r="23" spans="1:33" s="1947" customFormat="1" ht="18" customHeight="1">
      <c r="A23" s="1576" t="s">
        <v>1822</v>
      </c>
      <c r="B23" s="774" t="s">
        <v>2515</v>
      </c>
      <c r="C23" s="53">
        <f ca="1">ROUND(IF('数据-取费表'!B22&lt;=1,(C19+C20)*F24*F23/2,(C19+C20)*(POWER((1+F24),F23/2)-1)),0)</f>
        <v>427</v>
      </c>
      <c r="D23" s="2423" t="str">
        <f>IF(F23&lt;=1,"(建造成本+管理费用)×利率×(建设周期÷2)","(建造成本+管理费用)×((1+利率)^(建设周期÷2)-1)")</f>
        <v>(建造成本+管理费用)×((1+利率)^(建设周期÷2)-1)</v>
      </c>
      <c r="E23" s="774" t="s">
        <v>1761</v>
      </c>
      <c r="F23" s="632">
        <f>'数据-取费表'!B20</f>
        <v>5</v>
      </c>
      <c r="G23" s="3261"/>
      <c r="H23" s="1577" t="s">
        <v>1881</v>
      </c>
      <c r="I23" s="774" t="s">
        <v>673</v>
      </c>
      <c r="J23" s="53">
        <f ca="1">ROUND(J13*M23,0)</f>
        <v>0</v>
      </c>
      <c r="K23" s="3278"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3.7000000000000002E-3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2.5000000000000001E-2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3287"/>
      <c r="F25" s="56"/>
      <c r="G25" s="1945"/>
      <c r="H25" s="1744" t="s">
        <v>1767</v>
      </c>
      <c r="I25" s="2723" t="s">
        <v>2799</v>
      </c>
      <c r="J25" s="782">
        <f ca="1">J5-J16</f>
        <v>-459</v>
      </c>
      <c r="K25" s="2401" t="s">
        <v>1768</v>
      </c>
      <c r="L25" s="2402"/>
      <c r="M25" s="2403"/>
    </row>
    <row r="26" spans="1:33" ht="18" customHeight="1">
      <c r="A26" s="1576" t="s">
        <v>1822</v>
      </c>
      <c r="B26" s="774" t="s">
        <v>2420</v>
      </c>
      <c r="C26" s="53">
        <f ca="1">ROUND((C19+C20)*F26,0)</f>
        <v>521</v>
      </c>
      <c r="D26" s="801" t="s">
        <v>1769</v>
      </c>
      <c r="E26" s="785" t="s">
        <v>1770</v>
      </c>
      <c r="F26" s="784">
        <f ca="1">INDIRECT("'数据-取费表'!q"&amp;$G$1)</f>
        <v>0.15</v>
      </c>
      <c r="G26" s="1945"/>
      <c r="H26" s="2355" t="s">
        <v>1771</v>
      </c>
      <c r="I26" s="2112" t="s">
        <v>2804</v>
      </c>
      <c r="J26" s="773">
        <f ca="1">IF(J5&lt;&gt;0,ROUND(J25*(1-((1+M28)/(1+M26))^M27)/(M26-M28),0),0)</f>
        <v>0</v>
      </c>
      <c r="K26" s="803" t="s">
        <v>1772</v>
      </c>
      <c r="L26" s="774" t="s">
        <v>2402</v>
      </c>
      <c r="M26" s="784">
        <f ca="1">INDIRECT("'数据-取费表'!I"&amp;$G$1)</f>
        <v>5.5E-2</v>
      </c>
    </row>
    <row r="27" spans="1:33" ht="18" customHeight="1">
      <c r="A27" s="1576" t="s">
        <v>1823</v>
      </c>
      <c r="B27" s="774" t="s">
        <v>680</v>
      </c>
      <c r="C27" s="53">
        <f ca="1">ROUND(F21*F26,4)</f>
        <v>4.4999999999999997E-3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2285</v>
      </c>
      <c r="E28" s="774" t="s">
        <v>1776</v>
      </c>
      <c r="F28" s="799">
        <f>'数据-取费表'!B41</f>
        <v>5.6000000000000001E-2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2286</v>
      </c>
      <c r="C29" s="2397">
        <f ca="1">ROUND((C19+C20+C23+C26)/(1-F21-C24-C27-C28),0)</f>
        <v>4867</v>
      </c>
      <c r="D29" s="2398"/>
      <c r="E29" s="2399"/>
      <c r="F29" s="2400"/>
      <c r="G29" s="3261"/>
      <c r="H29" s="812" t="s">
        <v>1778</v>
      </c>
      <c r="I29" s="813" t="s">
        <v>1779</v>
      </c>
      <c r="J29" s="814">
        <f ca="1">ROUND(J26/(1+F40)^F41,0)</f>
        <v>0</v>
      </c>
      <c r="K29" s="815" t="s">
        <v>1780</v>
      </c>
      <c r="L29" s="816"/>
      <c r="M29" s="817">
        <f ca="1">INDIRECT("'数据-取费表'!k"&amp;$G$1)</f>
        <v>3293.4</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119</v>
      </c>
      <c r="D30" s="1736" t="s">
        <v>1782</v>
      </c>
      <c r="E30" s="3281"/>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55</v>
      </c>
      <c r="D31" s="3279" t="s">
        <v>1783</v>
      </c>
      <c r="E31" s="3278" t="s">
        <v>1784</v>
      </c>
      <c r="F31" s="3018" t="str">
        <f>IF(项目基本情况!B11="企业","——",IF('数据-取费表'!B10="住宅",IF(F6*F7*F8/12/(1+'数据-取费表'!F30)&gt;100000,4%,2.5%),IF(F6*F7*F8/12/(1+'数据-取费表'!F30)&gt;100000,12%,7%)))</f>
        <v>——</v>
      </c>
      <c r="G31" s="1945"/>
      <c r="H31" s="3258" t="s">
        <v>2990</v>
      </c>
      <c r="I31" s="1949"/>
      <c r="J31" s="1950"/>
      <c r="K31" s="1951"/>
      <c r="L31" s="1952"/>
      <c r="M31" s="1953"/>
    </row>
    <row r="32" spans="1:33" ht="18" customHeight="1">
      <c r="A32" s="1576" t="s">
        <v>1822</v>
      </c>
      <c r="B32" s="774" t="s">
        <v>1785</v>
      </c>
      <c r="C32" s="53">
        <f ca="1">ROUND(C6*F32/(1+'数据-取费表'!C42),1)</f>
        <v>17.3</v>
      </c>
      <c r="D32" s="3278"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37.1</v>
      </c>
      <c r="D33" s="800" t="s">
        <v>3100</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0.7</v>
      </c>
      <c r="D34" s="803" t="s">
        <v>1790</v>
      </c>
      <c r="E34" s="774" t="s">
        <v>1791</v>
      </c>
      <c r="F34" s="632">
        <f>'数据-取费表'!B52</f>
        <v>30</v>
      </c>
      <c r="G34" s="1945"/>
      <c r="H34" s="1948"/>
      <c r="I34" s="824" t="s">
        <v>1804</v>
      </c>
      <c r="J34" s="825"/>
      <c r="K34" s="1963"/>
      <c r="L34" s="1962"/>
      <c r="M34" s="1962"/>
    </row>
    <row r="35" spans="1:18" ht="18" customHeight="1">
      <c r="A35" s="804"/>
      <c r="B35" s="783"/>
      <c r="C35" s="69"/>
      <c r="D35" s="805"/>
      <c r="E35" s="774" t="s">
        <v>1792</v>
      </c>
      <c r="F35" s="775">
        <f ca="1">INDIRECT("'数据-取费表'!r"&amp;$G$1)</f>
        <v>242.53</v>
      </c>
      <c r="G35" s="1945"/>
      <c r="H35" s="1948"/>
      <c r="I35" s="826" t="s">
        <v>1805</v>
      </c>
      <c r="J35" s="827">
        <f ca="1">ROUND(C13*J36,0)</f>
        <v>389</v>
      </c>
      <c r="K35" s="1961"/>
      <c r="L35" s="1960"/>
      <c r="M35" s="1960"/>
    </row>
    <row r="36" spans="1:18" ht="18" customHeight="1">
      <c r="A36" s="1577" t="s">
        <v>1880</v>
      </c>
      <c r="B36" s="774" t="s">
        <v>1793</v>
      </c>
      <c r="C36" s="53">
        <f ca="1">ROUND(C29*F36,1)</f>
        <v>48.7</v>
      </c>
      <c r="D36" s="3278"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7" t="s">
        <v>1881</v>
      </c>
      <c r="B37" s="774" t="s">
        <v>673</v>
      </c>
      <c r="C37" s="53">
        <f ca="1">ROUND(C13*F37,1)</f>
        <v>7.3</v>
      </c>
      <c r="D37" s="3278"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8.1</v>
      </c>
      <c r="D38" s="2398" t="s">
        <v>1796</v>
      </c>
      <c r="E38" s="2399" t="s">
        <v>1787</v>
      </c>
      <c r="F38" s="2395">
        <f ca="1">INDIRECT("'数据-取费表'!Am"&amp;$G$1)</f>
        <v>2.5000000000000001E-2</v>
      </c>
      <c r="G38" s="1945"/>
      <c r="H38" s="1960"/>
      <c r="I38" s="832" t="s">
        <v>1808</v>
      </c>
      <c r="J38" s="833"/>
      <c r="K38" s="1965"/>
      <c r="L38" s="1960"/>
      <c r="M38" s="1960"/>
    </row>
    <row r="39" spans="1:18" ht="24.6" customHeight="1" thickTop="1">
      <c r="A39" s="1744" t="s">
        <v>1885</v>
      </c>
      <c r="B39" s="2723" t="s">
        <v>2799</v>
      </c>
      <c r="C39" s="782">
        <f ca="1">C5-C30</f>
        <v>206</v>
      </c>
      <c r="D39" s="2401" t="s">
        <v>1797</v>
      </c>
      <c r="E39" s="2402"/>
      <c r="F39" s="2403"/>
      <c r="G39" s="1945"/>
      <c r="H39" s="1960"/>
      <c r="I39" s="826" t="s">
        <v>1809</v>
      </c>
      <c r="J39" s="834">
        <f ca="1">ROUND(J35/C39,3)</f>
        <v>1.8879999999999999</v>
      </c>
      <c r="K39" s="1965"/>
      <c r="L39" s="1960"/>
      <c r="M39" s="1960"/>
    </row>
    <row r="40" spans="1:18" ht="18" customHeight="1">
      <c r="A40" s="771" t="s">
        <v>1886</v>
      </c>
      <c r="B40" s="2112" t="s">
        <v>2287</v>
      </c>
      <c r="C40" s="773">
        <f ca="1">ROUND(C39*(1-((1+F42)/(1+F40))^F41)/(F40-F42),0)</f>
        <v>3837</v>
      </c>
      <c r="D40" s="803" t="s">
        <v>1798</v>
      </c>
      <c r="E40" s="774" t="s">
        <v>2402</v>
      </c>
      <c r="F40" s="784">
        <f ca="1">INDIRECT("'数据-取费表'!I"&amp;$G$1)</f>
        <v>5.5E-2</v>
      </c>
      <c r="G40" s="1945"/>
      <c r="H40" s="1945"/>
      <c r="I40" s="826" t="s">
        <v>1810</v>
      </c>
      <c r="J40" s="834">
        <f ca="1">1-J39</f>
        <v>-0.8879999999999999</v>
      </c>
      <c r="K40" s="1965"/>
      <c r="L40" s="1945"/>
      <c r="M40" s="1945"/>
    </row>
    <row r="41" spans="1:18" ht="18" customHeight="1">
      <c r="A41" s="776"/>
      <c r="B41" s="777"/>
      <c r="C41" s="778"/>
      <c r="D41" s="810" t="s">
        <v>1799</v>
      </c>
      <c r="E41" s="774" t="s">
        <v>2923</v>
      </c>
      <c r="F41" s="811">
        <f ca="1">IF(INDIRECT("'数据-取费表'!af"&amp;$G$1)=0,INDIRECT("'数据-取费表'!ae"&amp;$G$1),INDIRECT("'数据-取费表'!af"&amp;$G$1))</f>
        <v>35.35</v>
      </c>
      <c r="G41" s="1945"/>
      <c r="H41" s="1900"/>
      <c r="I41" s="832" t="s">
        <v>1811</v>
      </c>
      <c r="J41" s="835"/>
      <c r="K41" s="1964"/>
      <c r="L41" s="1900"/>
      <c r="M41" s="1900"/>
    </row>
    <row r="42" spans="1:18" ht="18" customHeight="1">
      <c r="A42" s="780"/>
      <c r="B42" s="781"/>
      <c r="C42" s="782"/>
      <c r="D42" s="805"/>
      <c r="E42" s="774" t="s">
        <v>1800</v>
      </c>
      <c r="F42" s="784">
        <f ca="1">INDIRECT("'数据-取费表'!v"&amp;$G$1)</f>
        <v>1.4999999999999999E-2</v>
      </c>
      <c r="G42" s="1945"/>
      <c r="H42" s="1900"/>
      <c r="I42" s="836" t="s">
        <v>1812</v>
      </c>
      <c r="J42" s="834">
        <f ca="1">ROUND(C13/C40,3)</f>
        <v>1.268</v>
      </c>
      <c r="K42" s="1964"/>
      <c r="L42" s="1900"/>
      <c r="M42" s="1900"/>
    </row>
    <row r="43" spans="1:18" ht="18" customHeight="1" thickBot="1">
      <c r="A43" s="812" t="s">
        <v>1778</v>
      </c>
      <c r="B43" s="813" t="s">
        <v>1801</v>
      </c>
      <c r="C43" s="814">
        <f ca="1">ROUND(C40*10000/F43,0)</f>
        <v>11651</v>
      </c>
      <c r="D43" s="815" t="s">
        <v>1802</v>
      </c>
      <c r="E43" s="816" t="s">
        <v>1803</v>
      </c>
      <c r="F43" s="817">
        <f ca="1">INDIRECT("'数据-取费表'!k"&amp;$G$1)</f>
        <v>3293.4</v>
      </c>
      <c r="G43" s="1945"/>
      <c r="H43" s="1900"/>
      <c r="I43" s="836" t="s">
        <v>1813</v>
      </c>
      <c r="J43" s="837">
        <f ca="1">1-J42</f>
        <v>-0.26800000000000002</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2281</v>
      </c>
      <c r="B46" s="1967"/>
      <c r="C46" s="2426">
        <f ca="1">C67-C40</f>
        <v>-4717</v>
      </c>
      <c r="D46" s="3262"/>
      <c r="E46" s="3262"/>
      <c r="F46" s="3262"/>
      <c r="I46" s="2233" t="s">
        <v>2326</v>
      </c>
      <c r="J46" s="2234"/>
      <c r="K46" s="2235"/>
      <c r="L46" s="2811" t="str">
        <f ca="1">IF(OR(M47="住宅",D1="土地（套用方法）"),0,IF(L48&gt;J51,L60,J60))</f>
        <v>0</v>
      </c>
      <c r="M46" s="3263"/>
      <c r="O46" s="2249" t="s">
        <v>2393</v>
      </c>
      <c r="P46" s="1526"/>
      <c r="Q46" s="1534"/>
      <c r="R46" s="1526"/>
    </row>
    <row r="47" spans="1:18" s="1942" customFormat="1" ht="18" customHeight="1" thickBot="1">
      <c r="A47" s="2227">
        <v>1</v>
      </c>
      <c r="B47" s="2228" t="s">
        <v>629</v>
      </c>
      <c r="C47" s="2426">
        <f ca="1">C48+C52+C54</f>
        <v>0</v>
      </c>
      <c r="D47" s="3262"/>
      <c r="E47" s="3262"/>
      <c r="F47" s="3262"/>
      <c r="I47" s="2802" t="s">
        <v>2327</v>
      </c>
      <c r="J47" s="2236" t="s">
        <v>3102</v>
      </c>
      <c r="K47" s="2808" t="s">
        <v>2332</v>
      </c>
      <c r="L47" s="2812">
        <f ca="1">INDIRECT("'数据-取费表'!d"&amp;$G$1)</f>
        <v>50</v>
      </c>
      <c r="M47" s="1534" t="str">
        <f>IF(ISNUMBER(FIND("住宅",C1)),"住宅","非住宅")</f>
        <v>非住宅</v>
      </c>
      <c r="O47" s="2250" t="s">
        <v>2358</v>
      </c>
      <c r="P47" s="2251" t="s">
        <v>2359</v>
      </c>
      <c r="Q47" s="2252" t="s">
        <v>2360</v>
      </c>
      <c r="R47" s="2251" t="s">
        <v>2361</v>
      </c>
    </row>
    <row r="48" spans="1:18" s="1942" customFormat="1" ht="18" customHeight="1" thickBot="1">
      <c r="A48" s="2484" t="s">
        <v>2517</v>
      </c>
      <c r="B48" s="2485" t="s">
        <v>2518</v>
      </c>
      <c r="C48" s="2229">
        <f ca="1">ROUND(F48*F50*F49*(1-F51)/10000,0)</f>
        <v>0</v>
      </c>
      <c r="D48" s="2230" t="s">
        <v>630</v>
      </c>
      <c r="E48" s="2231" t="s">
        <v>2282</v>
      </c>
      <c r="F48" s="2232"/>
      <c r="G48" s="1972"/>
      <c r="I48" s="2799" t="s">
        <v>2328</v>
      </c>
      <c r="J48" s="2237" t="s">
        <v>2333</v>
      </c>
      <c r="K48" s="2809" t="s">
        <v>2334</v>
      </c>
      <c r="L48" s="1822">
        <f ca="1">INDIRECT("'数据-取费表'!f"&amp;$G$1)</f>
        <v>35.35</v>
      </c>
      <c r="M48" s="3263"/>
      <c r="O48" s="2253" t="s">
        <v>2362</v>
      </c>
      <c r="P48" s="2254" t="s">
        <v>2388</v>
      </c>
      <c r="Q48" s="2255">
        <f ca="1">C40+J29</f>
        <v>3837</v>
      </c>
      <c r="R48" s="2254" t="s">
        <v>2363</v>
      </c>
    </row>
    <row r="49" spans="1:18" s="1942" customFormat="1" ht="18" customHeight="1" thickBot="1">
      <c r="A49" s="776"/>
      <c r="B49" s="777"/>
      <c r="C49" s="778"/>
      <c r="D49" s="779"/>
      <c r="E49" s="774" t="s">
        <v>1730</v>
      </c>
      <c r="F49" s="775">
        <f ca="1">F7</f>
        <v>3293.4</v>
      </c>
      <c r="G49" s="1972"/>
      <c r="H49" s="1975"/>
      <c r="I49" s="2799" t="s">
        <v>2329</v>
      </c>
      <c r="J49" s="2238">
        <v>2025</v>
      </c>
      <c r="K49" s="2810" t="s">
        <v>2335</v>
      </c>
      <c r="L49" s="2239"/>
      <c r="M49" s="3263"/>
      <c r="O49" s="2253" t="s">
        <v>2364</v>
      </c>
      <c r="P49" s="2254" t="s">
        <v>2389</v>
      </c>
      <c r="Q49" s="2255" t="str">
        <f ca="1">J60</f>
        <v>0</v>
      </c>
      <c r="R49" s="2254" t="s">
        <v>2365</v>
      </c>
    </row>
    <row r="50" spans="1:18" s="1942" customFormat="1" ht="18" customHeight="1" thickBot="1">
      <c r="A50" s="776"/>
      <c r="B50" s="777"/>
      <c r="C50" s="778"/>
      <c r="D50" s="779"/>
      <c r="E50" s="774" t="s">
        <v>1731</v>
      </c>
      <c r="F50" s="775">
        <f ca="1">F8</f>
        <v>365</v>
      </c>
      <c r="G50" s="1977"/>
      <c r="H50" s="1975"/>
      <c r="I50" s="2799" t="s">
        <v>2330</v>
      </c>
      <c r="J50" s="2806">
        <f>SUMPRODUCT((I63:I65=J47)*(J62:L62=J48)*(J63:L65))</f>
        <v>60</v>
      </c>
      <c r="K50" s="2810" t="s">
        <v>2336</v>
      </c>
      <c r="L50" s="2239"/>
      <c r="M50" s="3263"/>
      <c r="O50" s="2256" t="s">
        <v>2366</v>
      </c>
      <c r="P50" s="2254" t="s">
        <v>2390</v>
      </c>
      <c r="Q50" s="2255">
        <f ca="1">C29</f>
        <v>4867</v>
      </c>
      <c r="R50" s="2254" t="s">
        <v>2363</v>
      </c>
    </row>
    <row r="51" spans="1:18" s="1942" customFormat="1" ht="18" customHeight="1" thickBot="1">
      <c r="A51" s="776"/>
      <c r="B51" s="777"/>
      <c r="C51" s="778"/>
      <c r="D51" s="779"/>
      <c r="E51" s="774" t="s">
        <v>634</v>
      </c>
      <c r="F51" s="2226"/>
      <c r="H51" s="1975"/>
      <c r="I51" s="2803" t="s">
        <v>2331</v>
      </c>
      <c r="J51" s="2807">
        <f>IF(J49="",J50,J49+J50-YEAR('数据-取费表'!B2))</f>
        <v>65</v>
      </c>
      <c r="K51" s="2799" t="s">
        <v>2337</v>
      </c>
      <c r="L51" s="2813">
        <f ca="1">ROUND(-PV(INDIRECT("'数据-取费表'!h"&amp;$G$1),J51,(C39-C13*J36),0),0)</f>
        <v>-3395</v>
      </c>
      <c r="M51" s="3263"/>
      <c r="O51" s="2256" t="s">
        <v>2367</v>
      </c>
      <c r="P51" s="2254" t="s">
        <v>2368</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4" t="s">
        <v>2404</v>
      </c>
      <c r="J52" s="2240"/>
      <c r="K52" s="2804" t="s">
        <v>2403</v>
      </c>
      <c r="L52" s="2240"/>
      <c r="M52" s="3263"/>
      <c r="O52" s="2256" t="s">
        <v>2369</v>
      </c>
      <c r="P52" s="2254" t="s">
        <v>2370</v>
      </c>
      <c r="Q52" s="2257">
        <f>J52</f>
        <v>0</v>
      </c>
      <c r="R52" s="2258"/>
    </row>
    <row r="53" spans="1:18" s="1942" customFormat="1" ht="39.75" customHeight="1" thickBot="1">
      <c r="A53" s="776"/>
      <c r="B53" s="2348" t="s">
        <v>2553</v>
      </c>
      <c r="C53" s="2352"/>
      <c r="D53" s="2354"/>
      <c r="E53" s="2351"/>
      <c r="F53" s="790"/>
      <c r="I53" s="2805" t="s">
        <v>2936</v>
      </c>
      <c r="J53" s="2858">
        <f ca="1">IF(M47="住宅",IF(D1="——",MAX(J51,L48),MAX(J51,L48-'数据-取费表'!B20)),IF(D1="——",MIN(J51,L48),MIN(J51,L48-'数据-取费表'!B20)))</f>
        <v>35.35</v>
      </c>
      <c r="K53" s="3649" t="s">
        <v>2925</v>
      </c>
      <c r="L53" s="3650"/>
      <c r="M53" s="3263"/>
      <c r="O53" s="2256" t="s">
        <v>2371</v>
      </c>
      <c r="P53" s="2254" t="s">
        <v>2372</v>
      </c>
      <c r="Q53" s="2255">
        <f ca="1">J53</f>
        <v>35.35</v>
      </c>
      <c r="R53" s="2254" t="s">
        <v>2373</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2374</v>
      </c>
      <c r="P54" s="2254" t="s">
        <v>2391</v>
      </c>
      <c r="Q54" s="2255">
        <f ca="1">Q48+Q49</f>
        <v>3837</v>
      </c>
      <c r="R54" s="2258" t="s">
        <v>2375</v>
      </c>
    </row>
    <row r="55" spans="1:18" s="1942" customFormat="1" ht="18" customHeight="1" thickTop="1" thickBot="1">
      <c r="A55" s="787">
        <v>2</v>
      </c>
      <c r="B55" s="788" t="s">
        <v>638</v>
      </c>
      <c r="C55" s="789">
        <f ca="1">C13</f>
        <v>4867</v>
      </c>
      <c r="D55" s="785"/>
      <c r="E55" s="785"/>
      <c r="F55" s="790"/>
      <c r="I55" s="2816" t="s">
        <v>2338</v>
      </c>
      <c r="J55" s="2788" t="e">
        <f ca="1">ROUND(IF(J47="钢混",J57/J50,1-(1-2%)*(J50-J57)/J50),3)</f>
        <v>#VALUE!</v>
      </c>
      <c r="K55" s="2817" t="s">
        <v>2339</v>
      </c>
      <c r="L55" s="2241"/>
      <c r="M55" s="3263"/>
      <c r="O55" s="2259" t="s">
        <v>2394</v>
      </c>
      <c r="P55" s="1526"/>
      <c r="Q55" s="1534"/>
      <c r="R55" s="1526"/>
    </row>
    <row r="56" spans="1:18" s="1942" customFormat="1" ht="42.75" customHeight="1" thickBot="1">
      <c r="A56" s="1578"/>
      <c r="B56" s="2111" t="s">
        <v>2288</v>
      </c>
      <c r="C56" s="53">
        <f ca="1">C29</f>
        <v>4867</v>
      </c>
      <c r="D56" s="3278"/>
      <c r="E56" s="774"/>
      <c r="F56" s="799"/>
      <c r="I56" s="2818" t="s">
        <v>2340</v>
      </c>
      <c r="J56" s="2828" t="s">
        <v>1669</v>
      </c>
      <c r="K56" s="2799" t="s">
        <v>2345</v>
      </c>
      <c r="L56" s="1822" t="str">
        <f ca="1">IF(L48&lt;J51,"——",L48-J51)</f>
        <v>——</v>
      </c>
      <c r="M56" s="3263"/>
      <c r="O56" s="2250" t="s">
        <v>2358</v>
      </c>
      <c r="P56" s="2251" t="s">
        <v>2359</v>
      </c>
      <c r="Q56" s="2252" t="s">
        <v>2360</v>
      </c>
      <c r="R56" s="2251" t="s">
        <v>2361</v>
      </c>
    </row>
    <row r="57" spans="1:18" s="1942" customFormat="1" ht="28.5" customHeight="1" thickBot="1">
      <c r="A57" s="787" t="s">
        <v>1739</v>
      </c>
      <c r="B57" s="788" t="s">
        <v>645</v>
      </c>
      <c r="C57" s="789">
        <f ca="1">ROUND(C58+C63+C64+C65,0)</f>
        <v>57</v>
      </c>
      <c r="D57" s="26" t="s">
        <v>1741</v>
      </c>
      <c r="E57" s="3287"/>
      <c r="F57" s="56"/>
      <c r="I57" s="2819" t="s">
        <v>2341</v>
      </c>
      <c r="J57" s="2820" t="str">
        <f ca="1">IF(OR(M47="住宅",J51&lt;L48,J56="是"),"——",J51-L48)</f>
        <v>——</v>
      </c>
      <c r="K57" s="2799" t="s">
        <v>2346</v>
      </c>
      <c r="L57" s="1822" t="str">
        <f ca="1">IF(L48&lt;J51,"——",IF(L55="比较法",L49,IF(L55="基准地价",L50,L51)))</f>
        <v>——</v>
      </c>
      <c r="M57" s="3263"/>
      <c r="O57" s="2253" t="s">
        <v>2362</v>
      </c>
      <c r="P57" s="2254" t="s">
        <v>2392</v>
      </c>
      <c r="Q57" s="2255">
        <f ca="1">C40+J29</f>
        <v>3837</v>
      </c>
      <c r="R57" s="2254" t="s">
        <v>2363</v>
      </c>
    </row>
    <row r="58" spans="1:18" s="1942" customFormat="1" ht="28.5" customHeight="1" thickBot="1">
      <c r="A58" s="1577" t="s">
        <v>1815</v>
      </c>
      <c r="B58" s="774" t="s">
        <v>650</v>
      </c>
      <c r="C58" s="3019">
        <f ca="1">ROUND(IF(AND(项目基本情况!B11="自然人",项目基本情况!B10="北京市"),C48*F58/(1+'数据-取费表'!C42),C59+C60+C61),0)</f>
        <v>1</v>
      </c>
      <c r="D58" s="3279" t="s">
        <v>651</v>
      </c>
      <c r="E58" s="3278" t="s">
        <v>684</v>
      </c>
      <c r="F58" s="3018" t="str">
        <f>IF(项目基本情况!B11="企业","——",IF('数据-取费表'!B10="住宅",IF(F48*F49*F50/12/(1+'数据-取费表'!F30)&gt;100000,4%,2.5%),IF(F48*F49*F50/12/(1+'数据-取费表'!F30)&gt;100000,12%,7%)))</f>
        <v>——</v>
      </c>
      <c r="I58" s="2819" t="s">
        <v>2342</v>
      </c>
      <c r="J58" s="2789" t="e">
        <f ca="1">IF(J55&lt;0.4,0.4,J55)</f>
        <v>#VALUE!</v>
      </c>
      <c r="K58" s="2799" t="s">
        <v>2347</v>
      </c>
      <c r="L58" s="1822" t="e">
        <f ca="1">ROUND(POWER(1+L52,L47-L48)*(POWER(1+L52,L48)-1)/(POWER(1+L52,L47)-1),4)</f>
        <v>#DIV/0!</v>
      </c>
      <c r="M58" s="3263"/>
      <c r="O58" s="2253" t="s">
        <v>2364</v>
      </c>
      <c r="P58" s="2254" t="s">
        <v>2395</v>
      </c>
      <c r="Q58" s="2255">
        <f ca="1">L60</f>
        <v>0</v>
      </c>
      <c r="R58" s="2258" t="s">
        <v>2397</v>
      </c>
    </row>
    <row r="59" spans="1:18" s="1942" customFormat="1" ht="28.5" customHeight="1" thickBot="1">
      <c r="A59" s="1576" t="s">
        <v>1822</v>
      </c>
      <c r="B59" s="774" t="s">
        <v>654</v>
      </c>
      <c r="C59" s="53">
        <f ca="1">ROUND(C47*F59/1.05,1)</f>
        <v>0</v>
      </c>
      <c r="D59" s="3278" t="s">
        <v>1747</v>
      </c>
      <c r="E59" s="774" t="s">
        <v>1738</v>
      </c>
      <c r="F59" s="799">
        <f t="shared" ref="F59:F65" si="0">F32</f>
        <v>5.6000000000000001E-2</v>
      </c>
      <c r="I59" s="2819" t="s">
        <v>2343</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2366</v>
      </c>
      <c r="P59" s="2254" t="s">
        <v>2396</v>
      </c>
      <c r="Q59" s="2255">
        <f>IF(L55="比较法",L49,IF(L55="基准地价",L50,0))</f>
        <v>0</v>
      </c>
      <c r="R59" s="2254" t="s">
        <v>2363</v>
      </c>
    </row>
    <row r="60" spans="1:18" s="1942" customFormat="1" ht="18" customHeight="1" thickBot="1">
      <c r="A60" s="1576" t="s">
        <v>1823</v>
      </c>
      <c r="B60" s="774" t="s">
        <v>1749</v>
      </c>
      <c r="C60" s="53">
        <f ca="1">IF(D60="按租金收入计税",ROUND(C47*F60,1),IF(D60="按房产原值计税",ROUND(C56*F60*0.7,1),INDIRECT("'数据-取费表'!Aj"&amp;$G$1)))</f>
        <v>0</v>
      </c>
      <c r="D60" s="3278" t="str">
        <f>D33</f>
        <v>按租金收入计税</v>
      </c>
      <c r="E60" s="774" t="s">
        <v>1738</v>
      </c>
      <c r="F60" s="799">
        <f t="shared" si="0"/>
        <v>0.12</v>
      </c>
      <c r="I60" s="2821" t="s">
        <v>2344</v>
      </c>
      <c r="J60" s="2822" t="str">
        <f ca="1">IF(OR(M47="住宅",J51&lt;L48,J56="是"),"0",ROUND(J59/(1+J52)^J53,0))</f>
        <v>0</v>
      </c>
      <c r="K60" s="2823" t="s">
        <v>2349</v>
      </c>
      <c r="L60" s="2822">
        <f ca="1">IF(OR(M47="住宅",L48&lt;J51),0,ROUND(L57*(L58/L59-1),0))</f>
        <v>0</v>
      </c>
      <c r="M60" s="3263"/>
      <c r="O60" s="2256" t="s">
        <v>2367</v>
      </c>
      <c r="P60" s="2254" t="s">
        <v>2376</v>
      </c>
      <c r="Q60" s="2257">
        <f>L52</f>
        <v>0</v>
      </c>
      <c r="R60" s="2258"/>
    </row>
    <row r="61" spans="1:18" s="1942" customFormat="1" ht="18" customHeight="1" thickBot="1">
      <c r="A61" s="1579" t="s">
        <v>1824</v>
      </c>
      <c r="B61" s="339" t="s">
        <v>662</v>
      </c>
      <c r="C61" s="54">
        <f ca="1">ROUND(F61*F62/10000,1)</f>
        <v>0.7</v>
      </c>
      <c r="D61" s="803" t="s">
        <v>663</v>
      </c>
      <c r="E61" s="774" t="s">
        <v>664</v>
      </c>
      <c r="F61" s="632">
        <f t="shared" si="0"/>
        <v>30</v>
      </c>
      <c r="K61" s="1968"/>
      <c r="O61" s="2256" t="s">
        <v>2369</v>
      </c>
      <c r="P61" s="2254" t="s">
        <v>2377</v>
      </c>
      <c r="Q61" s="2255" t="e">
        <f ca="1">L58</f>
        <v>#DIV/0!</v>
      </c>
      <c r="R61" s="2258" t="s">
        <v>2378</v>
      </c>
    </row>
    <row r="62" spans="1:18" s="1942" customFormat="1" ht="15.75" thickBot="1">
      <c r="A62" s="804"/>
      <c r="B62" s="783"/>
      <c r="C62" s="69"/>
      <c r="D62" s="805"/>
      <c r="E62" s="774" t="s">
        <v>668</v>
      </c>
      <c r="F62" s="775">
        <f t="shared" ca="1" si="0"/>
        <v>242.53</v>
      </c>
      <c r="I62" s="2824" t="s">
        <v>2350</v>
      </c>
      <c r="J62" s="2825" t="s">
        <v>2351</v>
      </c>
      <c r="K62" s="2825" t="s">
        <v>2352</v>
      </c>
      <c r="L62" s="2825" t="s">
        <v>2333</v>
      </c>
      <c r="M62" s="2826" t="s">
        <v>2904</v>
      </c>
      <c r="O62" s="2256" t="s">
        <v>2371</v>
      </c>
      <c r="P62" s="2254" t="str">
        <f>K59</f>
        <v>建筑物剩余耐用年限下的土地年期修正系数Kn</v>
      </c>
      <c r="Q62" s="2255" t="e">
        <f ca="1">L59</f>
        <v>#DIV/0!</v>
      </c>
      <c r="R62" s="2258" t="s">
        <v>2380</v>
      </c>
    </row>
    <row r="63" spans="1:18" s="1942" customFormat="1" ht="15.75" thickBot="1">
      <c r="A63" s="1577" t="s">
        <v>1880</v>
      </c>
      <c r="B63" s="774" t="s">
        <v>670</v>
      </c>
      <c r="C63" s="53">
        <f ca="1">ROUND(C56*F63,1)</f>
        <v>48.7</v>
      </c>
      <c r="D63" s="3278" t="s">
        <v>1794</v>
      </c>
      <c r="E63" s="774" t="s">
        <v>1738</v>
      </c>
      <c r="F63" s="806">
        <f t="shared" ca="1" si="0"/>
        <v>0.01</v>
      </c>
      <c r="I63" s="2824" t="s">
        <v>2353</v>
      </c>
      <c r="J63" s="2825">
        <v>70</v>
      </c>
      <c r="K63" s="2825">
        <v>50</v>
      </c>
      <c r="L63" s="2825">
        <v>80</v>
      </c>
      <c r="M63" s="2827">
        <v>0.02</v>
      </c>
      <c r="O63" s="2253" t="s">
        <v>2374</v>
      </c>
      <c r="P63" s="2254" t="s">
        <v>2391</v>
      </c>
      <c r="Q63" s="2255">
        <f ca="1">Q57+Q58</f>
        <v>3837</v>
      </c>
      <c r="R63" s="2258" t="s">
        <v>2375</v>
      </c>
    </row>
    <row r="64" spans="1:18" s="1942" customFormat="1" ht="16.5" thickBot="1">
      <c r="A64" s="1577" t="s">
        <v>1881</v>
      </c>
      <c r="B64" s="774" t="s">
        <v>673</v>
      </c>
      <c r="C64" s="53">
        <f ca="1">ROUND(C55*F64,1)</f>
        <v>7.3</v>
      </c>
      <c r="D64" s="3278" t="s">
        <v>674</v>
      </c>
      <c r="E64" s="774" t="s">
        <v>1738</v>
      </c>
      <c r="F64" s="807">
        <f t="shared" ca="1" si="0"/>
        <v>1.5E-3</v>
      </c>
      <c r="I64" s="2824" t="s">
        <v>2354</v>
      </c>
      <c r="J64" s="2825">
        <v>50</v>
      </c>
      <c r="K64" s="2825">
        <v>35</v>
      </c>
      <c r="L64" s="2825">
        <v>60</v>
      </c>
      <c r="M64" s="835">
        <v>0</v>
      </c>
      <c r="O64" s="2259" t="s">
        <v>2398</v>
      </c>
      <c r="P64" s="1526"/>
      <c r="Q64" s="1534"/>
      <c r="R64" s="1526"/>
    </row>
    <row r="65" spans="1:18" s="1942" customFormat="1" ht="15.75" thickBot="1">
      <c r="A65" s="1577" t="s">
        <v>1882</v>
      </c>
      <c r="B65" s="774" t="s">
        <v>660</v>
      </c>
      <c r="C65" s="53">
        <f ca="1">ROUND(C47*F65,1)</f>
        <v>0</v>
      </c>
      <c r="D65" s="3278" t="s">
        <v>677</v>
      </c>
      <c r="E65" s="774" t="s">
        <v>1738</v>
      </c>
      <c r="F65" s="784">
        <f t="shared" ca="1" si="0"/>
        <v>2.5000000000000001E-2</v>
      </c>
      <c r="I65" s="2824" t="s">
        <v>2355</v>
      </c>
      <c r="J65" s="2825">
        <v>40</v>
      </c>
      <c r="K65" s="2825">
        <v>30</v>
      </c>
      <c r="L65" s="2825">
        <v>50</v>
      </c>
      <c r="M65" s="2827">
        <v>0.02</v>
      </c>
      <c r="O65" s="2250" t="s">
        <v>2358</v>
      </c>
      <c r="P65" s="2251" t="s">
        <v>2359</v>
      </c>
      <c r="Q65" s="2252" t="s">
        <v>2360</v>
      </c>
      <c r="R65" s="2251" t="s">
        <v>2361</v>
      </c>
    </row>
    <row r="66" spans="1:18" s="1942" customFormat="1" ht="24.75" thickBot="1">
      <c r="A66" s="787" t="s">
        <v>1767</v>
      </c>
      <c r="B66" s="2724" t="s">
        <v>2799</v>
      </c>
      <c r="C66" s="789">
        <f ca="1">C47-C57</f>
        <v>-57</v>
      </c>
      <c r="D66" s="3279" t="s">
        <v>694</v>
      </c>
      <c r="E66" s="3282"/>
      <c r="F66" s="809"/>
      <c r="K66" s="1968"/>
      <c r="O66" s="2253" t="s">
        <v>2362</v>
      </c>
      <c r="P66" s="2254" t="s">
        <v>2392</v>
      </c>
      <c r="Q66" s="2255">
        <f ca="1">C40+J29</f>
        <v>3837</v>
      </c>
      <c r="R66" s="2254" t="s">
        <v>2363</v>
      </c>
    </row>
    <row r="67" spans="1:18" s="1942" customFormat="1" ht="20.25" thickBot="1">
      <c r="A67" s="771" t="s">
        <v>1771</v>
      </c>
      <c r="B67" s="2112" t="s">
        <v>2287</v>
      </c>
      <c r="C67" s="773">
        <f ca="1">ROUND(C66*(1-((1+F69)/(1+F67))^F68)/(F67-F69),0)</f>
        <v>-880</v>
      </c>
      <c r="D67" s="803" t="s">
        <v>698</v>
      </c>
      <c r="E67" s="774" t="s">
        <v>699</v>
      </c>
      <c r="F67" s="784">
        <f ca="1">F40</f>
        <v>5.5E-2</v>
      </c>
      <c r="K67" s="1968"/>
      <c r="O67" s="2253" t="s">
        <v>2364</v>
      </c>
      <c r="P67" s="2254" t="s">
        <v>2395</v>
      </c>
      <c r="Q67" s="2255">
        <f ca="1">L60</f>
        <v>0</v>
      </c>
      <c r="R67" s="2258" t="s">
        <v>2397</v>
      </c>
    </row>
    <row r="68" spans="1:18" ht="21.75" thickBot="1">
      <c r="A68" s="776"/>
      <c r="B68" s="777"/>
      <c r="C68" s="778"/>
      <c r="D68" s="810" t="s">
        <v>1799</v>
      </c>
      <c r="E68" s="774" t="s">
        <v>1775</v>
      </c>
      <c r="F68" s="811">
        <f ca="1">F41</f>
        <v>35.35</v>
      </c>
      <c r="O68" s="2256" t="s">
        <v>2366</v>
      </c>
      <c r="P68" s="2254" t="s">
        <v>2396</v>
      </c>
      <c r="Q68" s="2260">
        <f ca="1">L51</f>
        <v>-3395</v>
      </c>
      <c r="R68" s="2261" t="s">
        <v>2399</v>
      </c>
    </row>
    <row r="69" spans="1:18" ht="20.25" thickBot="1">
      <c r="A69" s="780"/>
      <c r="B69" s="781"/>
      <c r="C69" s="782"/>
      <c r="D69" s="805"/>
      <c r="E69" s="774" t="s">
        <v>704</v>
      </c>
      <c r="F69" s="2226"/>
      <c r="O69" s="2256" t="s">
        <v>2367</v>
      </c>
      <c r="P69" s="2262" t="s">
        <v>2381</v>
      </c>
      <c r="Q69" s="2255">
        <f ca="1">ROUND(Q70-Q71*Q72,0)</f>
        <v>-183</v>
      </c>
      <c r="R69" s="2258"/>
    </row>
    <row r="70" spans="1:18" ht="15.75" thickBot="1">
      <c r="A70" s="812" t="s">
        <v>1778</v>
      </c>
      <c r="B70" s="813" t="s">
        <v>1801</v>
      </c>
      <c r="C70" s="814">
        <f ca="1">ROUND(C67*10000/F70,0)</f>
        <v>-2672</v>
      </c>
      <c r="D70" s="815" t="s">
        <v>1802</v>
      </c>
      <c r="E70" s="816" t="s">
        <v>1803</v>
      </c>
      <c r="F70" s="817">
        <f ca="1">F43</f>
        <v>3293.4</v>
      </c>
      <c r="O70" s="2256" t="s">
        <v>2382</v>
      </c>
      <c r="P70" s="2262" t="s">
        <v>2383</v>
      </c>
      <c r="Q70" s="2255">
        <f ca="1">C39</f>
        <v>206</v>
      </c>
      <c r="R70" s="2254" t="s">
        <v>2363</v>
      </c>
    </row>
    <row r="71" spans="1:18" ht="15.75" thickBot="1">
      <c r="O71" s="2256" t="s">
        <v>2384</v>
      </c>
      <c r="P71" s="2262" t="s">
        <v>2385</v>
      </c>
      <c r="Q71" s="2255">
        <f ca="1">C13</f>
        <v>4867</v>
      </c>
      <c r="R71" s="2254" t="s">
        <v>2363</v>
      </c>
    </row>
    <row r="72" spans="1:18" ht="15.75" thickBot="1">
      <c r="O72" s="2256" t="s">
        <v>2386</v>
      </c>
      <c r="P72" s="2262" t="s">
        <v>2387</v>
      </c>
      <c r="Q72" s="2257">
        <f ca="1">J36</f>
        <v>0.08</v>
      </c>
      <c r="R72" s="2258"/>
    </row>
    <row r="73" spans="1:18" ht="15.75" thickBot="1">
      <c r="O73" s="2256" t="s">
        <v>2369</v>
      </c>
      <c r="P73" s="2254" t="s">
        <v>2376</v>
      </c>
      <c r="Q73" s="2257">
        <f>L52</f>
        <v>0</v>
      </c>
      <c r="R73" s="2258"/>
    </row>
    <row r="74" spans="1:18" ht="20.25" thickBot="1">
      <c r="O74" s="2256" t="s">
        <v>2371</v>
      </c>
      <c r="P74" s="2254" t="s">
        <v>2377</v>
      </c>
      <c r="Q74" s="2255" t="e">
        <f ca="1">L58</f>
        <v>#DIV/0!</v>
      </c>
      <c r="R74" s="2258" t="s">
        <v>2378</v>
      </c>
    </row>
    <row r="75" spans="1:18" ht="15.75" thickBot="1">
      <c r="O75" s="2256" t="s">
        <v>2400</v>
      </c>
      <c r="P75" s="2254" t="str">
        <f>K59</f>
        <v>建筑物剩余耐用年限下的土地年期修正系数Kn</v>
      </c>
      <c r="Q75" s="2255" t="e">
        <f ca="1">L59</f>
        <v>#DIV/0!</v>
      </c>
      <c r="R75" s="2258" t="s">
        <v>2380</v>
      </c>
    </row>
    <row r="76" spans="1:18" ht="15.75" thickBot="1">
      <c r="O76" s="2253" t="s">
        <v>2374</v>
      </c>
      <c r="P76" s="2254" t="s">
        <v>2391</v>
      </c>
      <c r="Q76" s="2255">
        <f ca="1">Q66+Q67</f>
        <v>3837</v>
      </c>
      <c r="R76" s="2258"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J56" sqref="J5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3000</v>
      </c>
      <c r="D1" s="2798" t="s">
        <v>943</v>
      </c>
      <c r="E1" s="2242" t="s">
        <v>2357</v>
      </c>
      <c r="F1" s="2243">
        <f ca="1">J53</f>
        <v>25.35</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75463</v>
      </c>
      <c r="C2" s="3264"/>
      <c r="D2" s="3265"/>
      <c r="E2" s="3266"/>
      <c r="F2" s="3266"/>
      <c r="G2" s="3260"/>
      <c r="H2" s="1940"/>
      <c r="I2" s="1940"/>
      <c r="J2" s="1940"/>
      <c r="K2" s="1941"/>
      <c r="L2" s="1940"/>
      <c r="M2" s="1940"/>
    </row>
    <row r="3" spans="1:33" ht="18" customHeight="1" thickBot="1">
      <c r="A3" s="822" t="s">
        <v>1718</v>
      </c>
      <c r="B3" s="823">
        <f ca="1">IF(ISERROR(B2*10000/F43),0,ROUND(B2*10000/F43,0))</f>
        <v>42130</v>
      </c>
      <c r="C3" s="3264"/>
      <c r="D3" s="3265"/>
      <c r="E3" s="3266"/>
      <c r="F3" s="3266"/>
      <c r="G3" s="3260"/>
      <c r="H3" s="766" t="s">
        <v>689</v>
      </c>
      <c r="I3" s="1316"/>
      <c r="J3" s="1316"/>
      <c r="K3" s="1525"/>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2438</v>
      </c>
      <c r="C5" s="55">
        <f ca="1">C6+C10+C12</f>
        <v>7695</v>
      </c>
      <c r="D5" s="2349" t="s">
        <v>2441</v>
      </c>
      <c r="E5" s="2343"/>
      <c r="F5" s="2344"/>
      <c r="G5" s="1945"/>
      <c r="H5" s="771">
        <v>1</v>
      </c>
      <c r="I5" s="772" t="s">
        <v>2438</v>
      </c>
      <c r="J5" s="55">
        <f ca="1">J6+J10+J12</f>
        <v>0</v>
      </c>
      <c r="K5" s="2349" t="s">
        <v>2441</v>
      </c>
      <c r="L5" s="2343"/>
      <c r="M5" s="2344"/>
    </row>
    <row r="6" spans="1:33" ht="18" customHeight="1">
      <c r="A6" s="1745" t="s">
        <v>1815</v>
      </c>
      <c r="B6" s="3609" t="s">
        <v>2443</v>
      </c>
      <c r="C6" s="773">
        <f ca="1">ROUND(F6*F8*F7*(1-F9)/10000,0)</f>
        <v>7685</v>
      </c>
      <c r="D6" s="2350" t="s">
        <v>2442</v>
      </c>
      <c r="E6" s="774" t="s">
        <v>1729</v>
      </c>
      <c r="F6" s="775">
        <f ca="1">INDIRECT("'数据-取费表'!u"&amp;$G$1)</f>
        <v>13.06</v>
      </c>
      <c r="G6" s="1945"/>
      <c r="H6" s="2357" t="s">
        <v>2448</v>
      </c>
      <c r="I6" s="3609" t="s">
        <v>2443</v>
      </c>
      <c r="J6" s="773">
        <f ca="1">ROUND(M6*M8*M7*(1-M9)/10000,0)</f>
        <v>0</v>
      </c>
      <c r="K6" s="339" t="s">
        <v>1728</v>
      </c>
      <c r="L6" s="774" t="s">
        <v>1729</v>
      </c>
      <c r="M6" s="775">
        <f ca="1">INDIRECT("'数据-取费表'!z"&amp;$G$1)</f>
        <v>0</v>
      </c>
    </row>
    <row r="7" spans="1:33" ht="18" customHeight="1">
      <c r="A7" s="2353"/>
      <c r="B7" s="3610"/>
      <c r="C7" s="778"/>
      <c r="D7" s="779"/>
      <c r="E7" s="774" t="s">
        <v>1730</v>
      </c>
      <c r="F7" s="775">
        <f ca="1">IF(INDIRECT("'数据-取费表'!ah"&amp;$G$1)="",INDIRECT("'数据-取费表'!k"&amp;$G$1),INDIRECT("'数据-取费表'!ah"&amp;$G$1))</f>
        <v>17912.120000000003</v>
      </c>
      <c r="G7" s="1945"/>
      <c r="H7" s="2342"/>
      <c r="I7" s="3610"/>
      <c r="J7" s="778"/>
      <c r="K7" s="779"/>
      <c r="L7" s="774" t="s">
        <v>1730</v>
      </c>
      <c r="M7" s="775">
        <f ca="1">F7</f>
        <v>17912.120000000003</v>
      </c>
    </row>
    <row r="8" spans="1:33" ht="18" customHeight="1">
      <c r="A8" s="2346"/>
      <c r="B8" s="3611"/>
      <c r="C8" s="778"/>
      <c r="D8" s="779"/>
      <c r="E8" s="774" t="s">
        <v>1731</v>
      </c>
      <c r="F8" s="775">
        <f ca="1">INDIRECT("'数据-取费表'!ai"&amp;$G$1)</f>
        <v>365</v>
      </c>
      <c r="G8" s="1945"/>
      <c r="H8" s="2342"/>
      <c r="I8" s="3611"/>
      <c r="J8" s="778"/>
      <c r="K8" s="779"/>
      <c r="L8" s="774" t="s">
        <v>1731</v>
      </c>
      <c r="M8" s="775">
        <f ca="1">INDIRECT("'数据-取费表'!ai"&amp;$G$1)</f>
        <v>365</v>
      </c>
    </row>
    <row r="9" spans="1:33" ht="18" customHeight="1">
      <c r="A9" s="776"/>
      <c r="B9" s="3612"/>
      <c r="C9" s="778"/>
      <c r="D9" s="779"/>
      <c r="E9" s="774" t="s">
        <v>1732</v>
      </c>
      <c r="F9" s="784">
        <f ca="1">INDIRECT("'数据-取费表'!w"&amp;$G$1)</f>
        <v>0.1</v>
      </c>
      <c r="G9" s="1945"/>
      <c r="H9" s="2358"/>
      <c r="I9" s="3611"/>
      <c r="J9" s="778"/>
      <c r="K9" s="779"/>
      <c r="L9" s="785" t="s">
        <v>1732</v>
      </c>
      <c r="M9" s="786">
        <f ca="1">INDIRECT("'数据-取费表'!ab"&amp;$G$1)</f>
        <v>0</v>
      </c>
    </row>
    <row r="10" spans="1:33" ht="18" customHeight="1">
      <c r="A10" s="1745" t="s">
        <v>2446</v>
      </c>
      <c r="B10" s="2347" t="s">
        <v>2439</v>
      </c>
      <c r="C10" s="789">
        <f ca="1">ROUND(IF(F10="押一",C6/12*F11,IF(F10="押二",C6/12*2*F11,IF(F10="押三",C6/12*3*F11,C11*F11))),0)</f>
        <v>10</v>
      </c>
      <c r="D10" s="2354" t="s">
        <v>2932</v>
      </c>
      <c r="E10" s="2351" t="s">
        <v>2444</v>
      </c>
      <c r="F10" s="2465" t="s">
        <v>3099</v>
      </c>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1733</v>
      </c>
      <c r="C13" s="782">
        <f ca="1">ROUND(C29*F13,0)</f>
        <v>38855</v>
      </c>
      <c r="D13" s="1749" t="s">
        <v>2283</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22567</v>
      </c>
      <c r="D14" s="3279" t="s">
        <v>1736</v>
      </c>
      <c r="E14" s="3280"/>
      <c r="F14" s="795"/>
      <c r="G14" s="1945"/>
      <c r="H14" s="1577" t="s">
        <v>1821</v>
      </c>
      <c r="I14" s="2111" t="s">
        <v>2802</v>
      </c>
      <c r="J14" s="53">
        <f ca="1">C29</f>
        <v>38855</v>
      </c>
      <c r="K14" s="26"/>
      <c r="L14" s="791"/>
      <c r="M14" s="792"/>
    </row>
    <row r="15" spans="1:33" s="1947" customFormat="1" ht="18" customHeight="1" thickBot="1">
      <c r="A15" s="1576" t="s">
        <v>1876</v>
      </c>
      <c r="B15" s="774" t="s">
        <v>641</v>
      </c>
      <c r="C15" s="53">
        <f ca="1">ROUND(C14*F15,0)</f>
        <v>677</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4045</v>
      </c>
      <c r="K16" s="1736" t="s">
        <v>1741</v>
      </c>
      <c r="L16" s="3281"/>
      <c r="M16" s="2344"/>
    </row>
    <row r="17" spans="1:33" s="1947" customFormat="1" ht="18" customHeight="1">
      <c r="A17" s="1576" t="s">
        <v>1878</v>
      </c>
      <c r="B17" s="774" t="s">
        <v>647</v>
      </c>
      <c r="C17" s="53">
        <f ca="1">ROUND(F17*(F43+INDIRECT("'数据-取费表'!S"&amp;$G$1))/10000,0)</f>
        <v>382</v>
      </c>
      <c r="D17" s="774" t="s">
        <v>1742</v>
      </c>
      <c r="E17" s="774" t="s">
        <v>1743</v>
      </c>
      <c r="F17" s="56">
        <f>'数据-取费表'!B35</f>
        <v>200</v>
      </c>
      <c r="G17" s="3261"/>
      <c r="H17" s="1577" t="s">
        <v>1821</v>
      </c>
      <c r="I17" s="774" t="s">
        <v>650</v>
      </c>
      <c r="J17" s="3019">
        <f ca="1">ROUND(IF(AND(项目基本情况!B11="自然人",项目基本情况!B10="北京市"),J6*M17/(1+'数据-取费表'!C42),J18+J19+J20),0)</f>
        <v>3268</v>
      </c>
      <c r="K17" s="3279" t="s">
        <v>1744</v>
      </c>
      <c r="L17" s="3278"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339</v>
      </c>
      <c r="D18" s="774" t="s">
        <v>1737</v>
      </c>
      <c r="E18" s="774" t="s">
        <v>1738</v>
      </c>
      <c r="F18" s="799">
        <f>'数据-取费表'!B36</f>
        <v>1.4999999999999999E-2</v>
      </c>
      <c r="G18" s="3261"/>
      <c r="H18" s="1576" t="s">
        <v>1875</v>
      </c>
      <c r="I18" s="774" t="s">
        <v>1746</v>
      </c>
      <c r="J18" s="53">
        <f ca="1">ROUND(J6*M18/(1+'数据-取费表'!C42),1)</f>
        <v>0</v>
      </c>
      <c r="K18" s="3278"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23965</v>
      </c>
      <c r="D19" s="259" t="s">
        <v>1748</v>
      </c>
      <c r="E19" s="3287"/>
      <c r="F19" s="56"/>
      <c r="G19" s="1945"/>
      <c r="H19" s="1576" t="s">
        <v>1876</v>
      </c>
      <c r="I19" s="774" t="s">
        <v>1749</v>
      </c>
      <c r="J19" s="53">
        <f ca="1">IF(K19="按租金收入计税",ROUND(J6*M19/(1+'数据-取费表'!C42),1),ROUND(C29*F33*0.7,1))</f>
        <v>3263.8</v>
      </c>
      <c r="K19" s="800" t="s">
        <v>659</v>
      </c>
      <c r="L19" s="774" t="s">
        <v>1738</v>
      </c>
      <c r="M19" s="799">
        <f>IF(K19="按租金收入计税",'数据-取费表'!B51,'数据-取费表'!B50)</f>
        <v>1.2E-2</v>
      </c>
    </row>
    <row r="20" spans="1:33" s="1947" customFormat="1" ht="18" customHeight="1">
      <c r="A20" s="1577" t="s">
        <v>1880</v>
      </c>
      <c r="B20" s="774" t="s">
        <v>660</v>
      </c>
      <c r="C20" s="53">
        <f ca="1">ROUND(C19*F20,0)</f>
        <v>719</v>
      </c>
      <c r="D20" s="801" t="s">
        <v>1750</v>
      </c>
      <c r="E20" s="774" t="s">
        <v>1738</v>
      </c>
      <c r="F20" s="799">
        <f>'数据-取费表'!B37</f>
        <v>0.03</v>
      </c>
      <c r="G20" s="3261"/>
      <c r="H20" s="1579" t="s">
        <v>1871</v>
      </c>
      <c r="I20" s="339" t="s">
        <v>1751</v>
      </c>
      <c r="J20" s="54">
        <f ca="1">ROUND(M20*M21/10000,0)</f>
        <v>4</v>
      </c>
      <c r="K20" s="803" t="s">
        <v>1752</v>
      </c>
      <c r="L20" s="774" t="s">
        <v>1753</v>
      </c>
      <c r="M20" s="632">
        <f>'数据-取费表'!B52</f>
        <v>30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2284</v>
      </c>
      <c r="E21" s="774" t="s">
        <v>1756</v>
      </c>
      <c r="F21" s="799">
        <f>'数据-取费表'!B38</f>
        <v>0.03</v>
      </c>
      <c r="G21" s="3261"/>
      <c r="H21" s="2359"/>
      <c r="I21" s="783"/>
      <c r="J21" s="69"/>
      <c r="K21" s="805"/>
      <c r="L21" s="774" t="s">
        <v>1757</v>
      </c>
      <c r="M21" s="775">
        <f ca="1">INDIRECT("'数据-取费表'!r"&amp;$G$1)</f>
        <v>1319.06</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3287"/>
      <c r="F22" s="56"/>
      <c r="G22" s="1945"/>
      <c r="H22" s="1577" t="s">
        <v>1880</v>
      </c>
      <c r="I22" s="774" t="s">
        <v>1759</v>
      </c>
      <c r="J22" s="53">
        <f ca="1">ROUND(J14*M22,0)</f>
        <v>777</v>
      </c>
      <c r="K22" s="3278" t="s">
        <v>1760</v>
      </c>
      <c r="L22" s="774" t="s">
        <v>1738</v>
      </c>
      <c r="M22" s="806">
        <f ca="1">INDIRECT("'数据-取费表'!Ak"&amp;$G$1)</f>
        <v>0.02</v>
      </c>
    </row>
    <row r="23" spans="1:33" s="1947" customFormat="1" ht="18" customHeight="1">
      <c r="A23" s="1576" t="s">
        <v>1822</v>
      </c>
      <c r="B23" s="774" t="s">
        <v>2515</v>
      </c>
      <c r="C23" s="53">
        <f ca="1">ROUND(IF('数据-取费表'!B22&lt;=1,(C19+C20)*F24*F23/2,(C19+C20)*(POWER((1+F24),F23/2)-1)),0)</f>
        <v>3036</v>
      </c>
      <c r="D23" s="2423" t="str">
        <f>IF(F23&lt;=1,"(建造成本+管理费用)×利率×(建设周期÷2)","(建造成本+管理费用)×((1+利率)^(建设周期÷2)-1)")</f>
        <v>(建造成本+管理费用)×((1+利率)^(建设周期÷2)-1)</v>
      </c>
      <c r="E23" s="774" t="s">
        <v>1761</v>
      </c>
      <c r="F23" s="632">
        <f>'数据-取费表'!B20</f>
        <v>5</v>
      </c>
      <c r="G23" s="3261"/>
      <c r="H23" s="1577" t="s">
        <v>1881</v>
      </c>
      <c r="I23" s="774" t="s">
        <v>673</v>
      </c>
      <c r="J23" s="53">
        <f ca="1">ROUND(J13*M23,0)</f>
        <v>0</v>
      </c>
      <c r="K23" s="3278" t="s">
        <v>1762</v>
      </c>
      <c r="L23" s="774" t="s">
        <v>1738</v>
      </c>
      <c r="M23" s="807">
        <f ca="1">INDIRECT("'数据-取费表'!Al"&amp;$G$1)</f>
        <v>2E-3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3.7000000000000002E-3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2.5000000000000001E-2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3287"/>
      <c r="F25" s="56"/>
      <c r="G25" s="1945"/>
      <c r="H25" s="1744" t="s">
        <v>1767</v>
      </c>
      <c r="I25" s="2723" t="s">
        <v>2799</v>
      </c>
      <c r="J25" s="782">
        <f ca="1">J5-J16</f>
        <v>-4045</v>
      </c>
      <c r="K25" s="2401" t="s">
        <v>1768</v>
      </c>
      <c r="L25" s="2402"/>
      <c r="M25" s="2403"/>
    </row>
    <row r="26" spans="1:33" ht="18" customHeight="1">
      <c r="A26" s="1576" t="s">
        <v>1822</v>
      </c>
      <c r="B26" s="774" t="s">
        <v>2420</v>
      </c>
      <c r="C26" s="53">
        <f ca="1">ROUND((C19+C20)*F26,0)</f>
        <v>7405</v>
      </c>
      <c r="D26" s="801" t="s">
        <v>1769</v>
      </c>
      <c r="E26" s="785" t="s">
        <v>1770</v>
      </c>
      <c r="F26" s="784">
        <f ca="1">INDIRECT("'数据-取费表'!q"&amp;$G$1)</f>
        <v>0.3</v>
      </c>
      <c r="G26" s="1945"/>
      <c r="H26" s="2355" t="s">
        <v>1771</v>
      </c>
      <c r="I26" s="2112" t="s">
        <v>2804</v>
      </c>
      <c r="J26" s="773">
        <f ca="1">IF(J5&lt;&gt;0,ROUND(J25*(1-((1+M28)/(1+M26))^M27)/(M26-M28),0),0)</f>
        <v>0</v>
      </c>
      <c r="K26" s="803" t="s">
        <v>1772</v>
      </c>
      <c r="L26" s="774" t="s">
        <v>2402</v>
      </c>
      <c r="M26" s="784">
        <f ca="1">INDIRECT("'数据-取费表'!I"&amp;$G$1)</f>
        <v>6.5000000000000002E-2</v>
      </c>
    </row>
    <row r="27" spans="1:33" ht="18" customHeight="1">
      <c r="A27" s="1576" t="s">
        <v>1823</v>
      </c>
      <c r="B27" s="774" t="s">
        <v>680</v>
      </c>
      <c r="C27" s="53">
        <f ca="1">ROUND(F21*F26,4)</f>
        <v>8.9999999999999993E-3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2285</v>
      </c>
      <c r="E28" s="774" t="s">
        <v>1776</v>
      </c>
      <c r="F28" s="799">
        <f>'数据-取费表'!B41</f>
        <v>5.6000000000000001E-2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2286</v>
      </c>
      <c r="C29" s="2397">
        <f ca="1">ROUND((C19+C20+C23+C26)/(1-F21-C24-C27-C28),0)</f>
        <v>38855</v>
      </c>
      <c r="D29" s="2398"/>
      <c r="E29" s="2399"/>
      <c r="F29" s="2400"/>
      <c r="G29" s="3261"/>
      <c r="H29" s="812" t="s">
        <v>1778</v>
      </c>
      <c r="I29" s="813" t="s">
        <v>1779</v>
      </c>
      <c r="J29" s="814">
        <f ca="1">ROUND(J26/(1+F40)^F41,0)</f>
        <v>0</v>
      </c>
      <c r="K29" s="815" t="s">
        <v>1780</v>
      </c>
      <c r="L29" s="816"/>
      <c r="M29" s="817">
        <f ca="1">INDIRECT("'数据-取费表'!k"&amp;$G$1)</f>
        <v>17912.120000000003</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2339</v>
      </c>
      <c r="D30" s="1736" t="s">
        <v>1782</v>
      </c>
      <c r="E30" s="3281"/>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1292</v>
      </c>
      <c r="D31" s="3279" t="s">
        <v>1783</v>
      </c>
      <c r="E31" s="3278" t="s">
        <v>1784</v>
      </c>
      <c r="F31" s="3018" t="str">
        <f>IF(项目基本情况!B11="企业","——",IF('数据-取费表'!B10="住宅",IF(F6*F7*F8/12/(1+'数据-取费表'!F30)&gt;100000,4%,2.5%),IF(F6*F7*F8/12/(1+'数据-取费表'!F30)&gt;100000,12%,7%)))</f>
        <v>——</v>
      </c>
      <c r="G31" s="1945"/>
      <c r="H31" s="3258" t="s">
        <v>2990</v>
      </c>
      <c r="I31" s="1949"/>
      <c r="J31" s="1950"/>
      <c r="K31" s="1951"/>
      <c r="L31" s="1952"/>
      <c r="M31" s="1953"/>
    </row>
    <row r="32" spans="1:33" ht="18" customHeight="1">
      <c r="A32" s="1576" t="s">
        <v>1822</v>
      </c>
      <c r="B32" s="774" t="s">
        <v>1785</v>
      </c>
      <c r="C32" s="53">
        <f ca="1">ROUND(C6*F32/(1+'数据-取费表'!C42),1)</f>
        <v>409.9</v>
      </c>
      <c r="D32" s="3278"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878.3</v>
      </c>
      <c r="D33" s="800" t="s">
        <v>3100</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4</v>
      </c>
      <c r="D34" s="803" t="s">
        <v>1790</v>
      </c>
      <c r="E34" s="774" t="s">
        <v>1791</v>
      </c>
      <c r="F34" s="632">
        <f>'数据-取费表'!B52</f>
        <v>30</v>
      </c>
      <c r="G34" s="1945"/>
      <c r="H34" s="1948"/>
      <c r="I34" s="824" t="s">
        <v>1804</v>
      </c>
      <c r="J34" s="825"/>
      <c r="K34" s="1963"/>
      <c r="L34" s="1962"/>
      <c r="M34" s="1962"/>
    </row>
    <row r="35" spans="1:18" ht="18" customHeight="1">
      <c r="A35" s="804"/>
      <c r="B35" s="783"/>
      <c r="C35" s="69"/>
      <c r="D35" s="805"/>
      <c r="E35" s="774" t="s">
        <v>1792</v>
      </c>
      <c r="F35" s="775">
        <f ca="1">INDIRECT("'数据-取费表'!r"&amp;$G$1)</f>
        <v>1319.06</v>
      </c>
      <c r="G35" s="1945"/>
      <c r="H35" s="1948"/>
      <c r="I35" s="826" t="s">
        <v>1805</v>
      </c>
      <c r="J35" s="827">
        <f ca="1">ROUND(C13*J36,0)</f>
        <v>3108</v>
      </c>
      <c r="K35" s="1961"/>
      <c r="L35" s="1960"/>
      <c r="M35" s="1960"/>
    </row>
    <row r="36" spans="1:18" ht="18" customHeight="1">
      <c r="A36" s="1577" t="s">
        <v>1880</v>
      </c>
      <c r="B36" s="774" t="s">
        <v>1793</v>
      </c>
      <c r="C36" s="53">
        <f ca="1">ROUND(C29*F36,1)</f>
        <v>777.1</v>
      </c>
      <c r="D36" s="3278" t="s">
        <v>1794</v>
      </c>
      <c r="E36" s="774" t="s">
        <v>1787</v>
      </c>
      <c r="F36" s="806">
        <f ca="1">INDIRECT("'数据-取费表'!Ak"&amp;$G$1)</f>
        <v>0.02</v>
      </c>
      <c r="G36" s="1945"/>
      <c r="H36" s="1960"/>
      <c r="I36" s="828" t="s">
        <v>1806</v>
      </c>
      <c r="J36" s="829">
        <f ca="1">INDIRECT("'数据-取费表'!j"&amp;$G$1)</f>
        <v>0.08</v>
      </c>
      <c r="K36" s="1964"/>
      <c r="L36" s="1960"/>
      <c r="M36" s="1960"/>
    </row>
    <row r="37" spans="1:18" ht="18" customHeight="1">
      <c r="A37" s="1577" t="s">
        <v>1881</v>
      </c>
      <c r="B37" s="774" t="s">
        <v>673</v>
      </c>
      <c r="C37" s="53">
        <f ca="1">ROUND(C13*F37,1)</f>
        <v>77.7</v>
      </c>
      <c r="D37" s="3278" t="s">
        <v>1795</v>
      </c>
      <c r="E37" s="774" t="s">
        <v>1787</v>
      </c>
      <c r="F37" s="807">
        <f ca="1">INDIRECT("'数据-取费表'!Al"&amp;$G$1)</f>
        <v>2E-3</v>
      </c>
      <c r="G37" s="1945"/>
      <c r="H37" s="1960"/>
      <c r="I37" s="830" t="s">
        <v>1807</v>
      </c>
      <c r="J37" s="831"/>
      <c r="K37" s="1964"/>
      <c r="L37" s="1960"/>
      <c r="M37" s="1960"/>
    </row>
    <row r="38" spans="1:18" ht="18" customHeight="1" thickBot="1">
      <c r="A38" s="2404" t="s">
        <v>1882</v>
      </c>
      <c r="B38" s="2399" t="s">
        <v>660</v>
      </c>
      <c r="C38" s="2397">
        <f ca="1">ROUND(C5*F38,1)</f>
        <v>192.4</v>
      </c>
      <c r="D38" s="2398" t="s">
        <v>1796</v>
      </c>
      <c r="E38" s="2399" t="s">
        <v>1787</v>
      </c>
      <c r="F38" s="2395">
        <f ca="1">INDIRECT("'数据-取费表'!Am"&amp;$G$1)</f>
        <v>2.5000000000000001E-2</v>
      </c>
      <c r="G38" s="1945"/>
      <c r="H38" s="1960"/>
      <c r="I38" s="832" t="s">
        <v>1808</v>
      </c>
      <c r="J38" s="833"/>
      <c r="K38" s="1965"/>
      <c r="L38" s="1960"/>
      <c r="M38" s="1960"/>
    </row>
    <row r="39" spans="1:18" ht="24.6" customHeight="1" thickTop="1">
      <c r="A39" s="1744" t="s">
        <v>1885</v>
      </c>
      <c r="B39" s="2723" t="s">
        <v>2799</v>
      </c>
      <c r="C39" s="782">
        <f ca="1">C5-C30</f>
        <v>5356</v>
      </c>
      <c r="D39" s="2401" t="s">
        <v>1797</v>
      </c>
      <c r="E39" s="2402"/>
      <c r="F39" s="2403"/>
      <c r="G39" s="1945"/>
      <c r="H39" s="1960"/>
      <c r="I39" s="826" t="s">
        <v>1809</v>
      </c>
      <c r="J39" s="834">
        <f ca="1">ROUND(J35/C39,3)</f>
        <v>0.57999999999999996</v>
      </c>
      <c r="K39" s="1965"/>
      <c r="L39" s="1960"/>
      <c r="M39" s="1960"/>
    </row>
    <row r="40" spans="1:18" ht="18" customHeight="1">
      <c r="A40" s="771" t="s">
        <v>1886</v>
      </c>
      <c r="B40" s="2112" t="s">
        <v>2287</v>
      </c>
      <c r="C40" s="773">
        <f ca="1">ROUND(C39*(1-((1+F42)/(1+F40))^F41)/(F40-F42),0)</f>
        <v>75463</v>
      </c>
      <c r="D40" s="803" t="s">
        <v>1798</v>
      </c>
      <c r="E40" s="774" t="s">
        <v>2402</v>
      </c>
      <c r="F40" s="784">
        <f ca="1">INDIRECT("'数据-取费表'!I"&amp;$G$1)</f>
        <v>6.5000000000000002E-2</v>
      </c>
      <c r="G40" s="1945"/>
      <c r="H40" s="1945"/>
      <c r="I40" s="826" t="s">
        <v>1810</v>
      </c>
      <c r="J40" s="834">
        <f ca="1">1-J39</f>
        <v>0.42000000000000004</v>
      </c>
      <c r="K40" s="1965"/>
      <c r="L40" s="1945"/>
      <c r="M40" s="1945"/>
    </row>
    <row r="41" spans="1:18" ht="18" customHeight="1">
      <c r="A41" s="776"/>
      <c r="B41" s="777"/>
      <c r="C41" s="778"/>
      <c r="D41" s="810" t="s">
        <v>1799</v>
      </c>
      <c r="E41" s="774" t="s">
        <v>2923</v>
      </c>
      <c r="F41" s="811">
        <f ca="1">IF(INDIRECT("'数据-取费表'!af"&amp;$G$1)=0,INDIRECT("'数据-取费表'!ae"&amp;$G$1),INDIRECT("'数据-取费表'!af"&amp;$G$1))</f>
        <v>25.35</v>
      </c>
      <c r="G41" s="1945"/>
      <c r="H41" s="1900"/>
      <c r="I41" s="832" t="s">
        <v>1811</v>
      </c>
      <c r="J41" s="835"/>
      <c r="K41" s="1964"/>
      <c r="L41" s="1900"/>
      <c r="M41" s="1900"/>
    </row>
    <row r="42" spans="1:18" ht="18" customHeight="1">
      <c r="A42" s="780"/>
      <c r="B42" s="781"/>
      <c r="C42" s="782"/>
      <c r="D42" s="805"/>
      <c r="E42" s="774" t="s">
        <v>1800</v>
      </c>
      <c r="F42" s="784">
        <f ca="1">INDIRECT("'数据-取费表'!v"&amp;$G$1)</f>
        <v>1.4999999999999999E-2</v>
      </c>
      <c r="G42" s="1945"/>
      <c r="H42" s="1900"/>
      <c r="I42" s="836" t="s">
        <v>1812</v>
      </c>
      <c r="J42" s="834">
        <f ca="1">ROUND(C13/C40,3)</f>
        <v>0.51500000000000001</v>
      </c>
      <c r="K42" s="1964"/>
      <c r="L42" s="1900"/>
      <c r="M42" s="1900"/>
    </row>
    <row r="43" spans="1:18" ht="18" customHeight="1" thickBot="1">
      <c r="A43" s="812" t="s">
        <v>1778</v>
      </c>
      <c r="B43" s="813" t="s">
        <v>1801</v>
      </c>
      <c r="C43" s="814">
        <f ca="1">ROUND(C40*10000/F43,0)</f>
        <v>42130</v>
      </c>
      <c r="D43" s="815" t="s">
        <v>1802</v>
      </c>
      <c r="E43" s="816" t="s">
        <v>1803</v>
      </c>
      <c r="F43" s="817">
        <f ca="1">INDIRECT("'数据-取费表'!k"&amp;$G$1)</f>
        <v>17912.120000000003</v>
      </c>
      <c r="G43" s="1945"/>
      <c r="H43" s="1900"/>
      <c r="I43" s="836" t="s">
        <v>1813</v>
      </c>
      <c r="J43" s="837">
        <f ca="1">1-J42</f>
        <v>0.48499999999999999</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2281</v>
      </c>
      <c r="B46" s="1967"/>
      <c r="C46" s="2426">
        <f ca="1">C67-C40</f>
        <v>-86001</v>
      </c>
      <c r="D46" s="3262"/>
      <c r="E46" s="3262"/>
      <c r="F46" s="3262"/>
      <c r="I46" s="2233" t="s">
        <v>2326</v>
      </c>
      <c r="J46" s="2234"/>
      <c r="K46" s="2235"/>
      <c r="L46" s="2811" t="str">
        <f ca="1">IF(OR(M47="住宅",D1="土地（套用方法）"),0,IF(L48&gt;J51,L60,J60))</f>
        <v>0</v>
      </c>
      <c r="M46" s="3263"/>
      <c r="O46" s="2249" t="s">
        <v>2393</v>
      </c>
      <c r="P46" s="1526"/>
      <c r="Q46" s="1534"/>
      <c r="R46" s="1526"/>
    </row>
    <row r="47" spans="1:18" s="1942" customFormat="1" ht="18" customHeight="1" thickBot="1">
      <c r="A47" s="2227">
        <v>1</v>
      </c>
      <c r="B47" s="2228" t="s">
        <v>629</v>
      </c>
      <c r="C47" s="2426">
        <f ca="1">C48+C52+C54</f>
        <v>0</v>
      </c>
      <c r="D47" s="3262"/>
      <c r="E47" s="3262"/>
      <c r="F47" s="3262"/>
      <c r="I47" s="2802" t="s">
        <v>2327</v>
      </c>
      <c r="J47" s="2236" t="s">
        <v>3102</v>
      </c>
      <c r="K47" s="2808" t="s">
        <v>2332</v>
      </c>
      <c r="L47" s="2812">
        <f ca="1">INDIRECT("'数据-取费表'!d"&amp;$G$1)</f>
        <v>40</v>
      </c>
      <c r="M47" s="1534" t="str">
        <f>IF(ISNUMBER(FIND("住宅",C1)),"住宅","非住宅")</f>
        <v>非住宅</v>
      </c>
      <c r="O47" s="2250" t="s">
        <v>2358</v>
      </c>
      <c r="P47" s="2251" t="s">
        <v>2359</v>
      </c>
      <c r="Q47" s="2252" t="s">
        <v>2360</v>
      </c>
      <c r="R47" s="2251" t="s">
        <v>2361</v>
      </c>
    </row>
    <row r="48" spans="1:18" s="1942" customFormat="1" ht="18" customHeight="1" thickBot="1">
      <c r="A48" s="2484" t="s">
        <v>2517</v>
      </c>
      <c r="B48" s="2485" t="s">
        <v>2518</v>
      </c>
      <c r="C48" s="2229">
        <f ca="1">ROUND(F48*F50*F49*(1-F51)/10000,0)</f>
        <v>0</v>
      </c>
      <c r="D48" s="2230" t="s">
        <v>630</v>
      </c>
      <c r="E48" s="2231" t="s">
        <v>2282</v>
      </c>
      <c r="F48" s="2232"/>
      <c r="G48" s="1972"/>
      <c r="I48" s="2799" t="s">
        <v>2328</v>
      </c>
      <c r="J48" s="2237" t="s">
        <v>2333</v>
      </c>
      <c r="K48" s="2809" t="s">
        <v>2334</v>
      </c>
      <c r="L48" s="1822">
        <f ca="1">INDIRECT("'数据-取费表'!f"&amp;$G$1)</f>
        <v>25.35</v>
      </c>
      <c r="M48" s="3263"/>
      <c r="O48" s="2253" t="s">
        <v>2362</v>
      </c>
      <c r="P48" s="2254" t="s">
        <v>2388</v>
      </c>
      <c r="Q48" s="2255">
        <f ca="1">C40+J29</f>
        <v>75463</v>
      </c>
      <c r="R48" s="2254" t="s">
        <v>2363</v>
      </c>
    </row>
    <row r="49" spans="1:18" s="1942" customFormat="1" ht="18" customHeight="1" thickBot="1">
      <c r="A49" s="776"/>
      <c r="B49" s="777"/>
      <c r="C49" s="778"/>
      <c r="D49" s="779"/>
      <c r="E49" s="774" t="s">
        <v>1730</v>
      </c>
      <c r="F49" s="775">
        <f ca="1">F7</f>
        <v>17912.120000000003</v>
      </c>
      <c r="G49" s="1972"/>
      <c r="H49" s="1975"/>
      <c r="I49" s="2799" t="s">
        <v>2329</v>
      </c>
      <c r="J49" s="2238">
        <v>2025</v>
      </c>
      <c r="K49" s="2810" t="s">
        <v>2335</v>
      </c>
      <c r="L49" s="2239"/>
      <c r="M49" s="3263"/>
      <c r="O49" s="2253" t="s">
        <v>2364</v>
      </c>
      <c r="P49" s="2254" t="s">
        <v>2389</v>
      </c>
      <c r="Q49" s="2255" t="str">
        <f ca="1">J60</f>
        <v>0</v>
      </c>
      <c r="R49" s="2254" t="s">
        <v>2365</v>
      </c>
    </row>
    <row r="50" spans="1:18" s="1942" customFormat="1" ht="18" customHeight="1" thickBot="1">
      <c r="A50" s="776"/>
      <c r="B50" s="777"/>
      <c r="C50" s="778"/>
      <c r="D50" s="779"/>
      <c r="E50" s="774" t="s">
        <v>1731</v>
      </c>
      <c r="F50" s="775">
        <f ca="1">F8</f>
        <v>365</v>
      </c>
      <c r="G50" s="1977"/>
      <c r="H50" s="1975"/>
      <c r="I50" s="2799" t="s">
        <v>2330</v>
      </c>
      <c r="J50" s="2806">
        <f>SUMPRODUCT((I63:I65=J47)*(J62:L62=J48)*(J63:L65))</f>
        <v>60</v>
      </c>
      <c r="K50" s="2810" t="s">
        <v>2336</v>
      </c>
      <c r="L50" s="2239"/>
      <c r="M50" s="3263"/>
      <c r="O50" s="2256" t="s">
        <v>2366</v>
      </c>
      <c r="P50" s="2254" t="s">
        <v>2390</v>
      </c>
      <c r="Q50" s="2255">
        <f ca="1">C29</f>
        <v>38855</v>
      </c>
      <c r="R50" s="2254" t="s">
        <v>2363</v>
      </c>
    </row>
    <row r="51" spans="1:18" s="1942" customFormat="1" ht="18" customHeight="1" thickBot="1">
      <c r="A51" s="776"/>
      <c r="B51" s="777"/>
      <c r="C51" s="778"/>
      <c r="D51" s="779"/>
      <c r="E51" s="774" t="s">
        <v>634</v>
      </c>
      <c r="F51" s="2226"/>
      <c r="H51" s="1975"/>
      <c r="I51" s="2803" t="s">
        <v>2331</v>
      </c>
      <c r="J51" s="2807">
        <f>IF(J49="",J50,J49+J50-YEAR('数据-取费表'!B2))</f>
        <v>65</v>
      </c>
      <c r="K51" s="2799" t="s">
        <v>2337</v>
      </c>
      <c r="L51" s="2813">
        <f ca="1">ROUND(-PV(INDIRECT("'数据-取费表'!h"&amp;$G$1),J51,(C39-C13*J36),0),0)</f>
        <v>40259</v>
      </c>
      <c r="M51" s="3263"/>
      <c r="O51" s="2256" t="s">
        <v>2367</v>
      </c>
      <c r="P51" s="2254" t="s">
        <v>2368</v>
      </c>
      <c r="Q51" s="2257" t="e">
        <f ca="1">J58</f>
        <v>#VALUE!</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4" t="s">
        <v>2404</v>
      </c>
      <c r="J52" s="2240"/>
      <c r="K52" s="2804" t="s">
        <v>2403</v>
      </c>
      <c r="L52" s="2240"/>
      <c r="M52" s="3263"/>
      <c r="O52" s="2256" t="s">
        <v>2369</v>
      </c>
      <c r="P52" s="2254" t="s">
        <v>2370</v>
      </c>
      <c r="Q52" s="2257">
        <f>J52</f>
        <v>0</v>
      </c>
      <c r="R52" s="2258"/>
    </row>
    <row r="53" spans="1:18" s="1942" customFormat="1" ht="39.75" customHeight="1" thickBot="1">
      <c r="A53" s="776"/>
      <c r="B53" s="2348" t="s">
        <v>2553</v>
      </c>
      <c r="C53" s="2352"/>
      <c r="D53" s="2354"/>
      <c r="E53" s="2351"/>
      <c r="F53" s="790"/>
      <c r="I53" s="2805" t="s">
        <v>2936</v>
      </c>
      <c r="J53" s="2858">
        <f ca="1">IF(M47="住宅",IF(D1="——",MAX(J51,L48),MAX(J51,L48-'数据-取费表'!B20)),IF(D1="——",MIN(J51,L48),MIN(J51,L48-'数据-取费表'!B20)))</f>
        <v>25.35</v>
      </c>
      <c r="K53" s="3649" t="s">
        <v>2925</v>
      </c>
      <c r="L53" s="3650"/>
      <c r="M53" s="3263"/>
      <c r="O53" s="2256" t="s">
        <v>2371</v>
      </c>
      <c r="P53" s="2254" t="s">
        <v>2372</v>
      </c>
      <c r="Q53" s="2255">
        <f ca="1">J53</f>
        <v>25.35</v>
      </c>
      <c r="R53" s="2254" t="s">
        <v>2373</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2374</v>
      </c>
      <c r="P54" s="2254" t="s">
        <v>2391</v>
      </c>
      <c r="Q54" s="2255">
        <f ca="1">Q48+Q49</f>
        <v>75463</v>
      </c>
      <c r="R54" s="2258" t="s">
        <v>2375</v>
      </c>
    </row>
    <row r="55" spans="1:18" s="1942" customFormat="1" ht="18" customHeight="1" thickTop="1" thickBot="1">
      <c r="A55" s="787">
        <v>2</v>
      </c>
      <c r="B55" s="788" t="s">
        <v>638</v>
      </c>
      <c r="C55" s="789">
        <f ca="1">C13</f>
        <v>38855</v>
      </c>
      <c r="D55" s="785"/>
      <c r="E55" s="785"/>
      <c r="F55" s="790"/>
      <c r="I55" s="2816" t="s">
        <v>2338</v>
      </c>
      <c r="J55" s="2788" t="e">
        <f ca="1">ROUND(IF(J47="钢混",J57/J50,1-(1-2%)*(J50-J57)/J50),3)</f>
        <v>#VALUE!</v>
      </c>
      <c r="K55" s="2817" t="s">
        <v>2339</v>
      </c>
      <c r="L55" s="2241"/>
      <c r="M55" s="3263"/>
      <c r="O55" s="2259" t="s">
        <v>2394</v>
      </c>
      <c r="P55" s="1526"/>
      <c r="Q55" s="1534"/>
      <c r="R55" s="1526"/>
    </row>
    <row r="56" spans="1:18" s="1942" customFormat="1" ht="42.75" customHeight="1" thickBot="1">
      <c r="A56" s="1578"/>
      <c r="B56" s="2111" t="s">
        <v>2288</v>
      </c>
      <c r="C56" s="53">
        <f ca="1">C29</f>
        <v>38855</v>
      </c>
      <c r="D56" s="3278"/>
      <c r="E56" s="774"/>
      <c r="F56" s="799"/>
      <c r="I56" s="2818" t="s">
        <v>2340</v>
      </c>
      <c r="J56" s="2828" t="s">
        <v>1669</v>
      </c>
      <c r="K56" s="2799" t="s">
        <v>2345</v>
      </c>
      <c r="L56" s="1822" t="str">
        <f ca="1">IF(L48&lt;J51,"——",L48-J51)</f>
        <v>——</v>
      </c>
      <c r="M56" s="3263"/>
      <c r="O56" s="2250" t="s">
        <v>2358</v>
      </c>
      <c r="P56" s="2251" t="s">
        <v>2359</v>
      </c>
      <c r="Q56" s="2252" t="s">
        <v>2360</v>
      </c>
      <c r="R56" s="2251" t="s">
        <v>2361</v>
      </c>
    </row>
    <row r="57" spans="1:18" s="1942" customFormat="1" ht="28.5" customHeight="1" thickBot="1">
      <c r="A57" s="787" t="s">
        <v>1739</v>
      </c>
      <c r="B57" s="788" t="s">
        <v>645</v>
      </c>
      <c r="C57" s="789">
        <f ca="1">ROUND(C58+C63+C64+C65,0)</f>
        <v>859</v>
      </c>
      <c r="D57" s="26" t="s">
        <v>1741</v>
      </c>
      <c r="E57" s="3287"/>
      <c r="F57" s="56"/>
      <c r="I57" s="2819" t="s">
        <v>2341</v>
      </c>
      <c r="J57" s="2820" t="str">
        <f ca="1">IF(OR(M47="住宅",J51&lt;L48,J56="是"),"——",J51-L48)</f>
        <v>——</v>
      </c>
      <c r="K57" s="2799" t="s">
        <v>2346</v>
      </c>
      <c r="L57" s="1822" t="str">
        <f ca="1">IF(L48&lt;J51,"——",IF(L55="比较法",L49,IF(L55="基准地价",L50,L51)))</f>
        <v>——</v>
      </c>
      <c r="M57" s="3263"/>
      <c r="O57" s="2253" t="s">
        <v>2362</v>
      </c>
      <c r="P57" s="2254" t="s">
        <v>2392</v>
      </c>
      <c r="Q57" s="2255">
        <f ca="1">C40+J29</f>
        <v>75463</v>
      </c>
      <c r="R57" s="2254" t="s">
        <v>2363</v>
      </c>
    </row>
    <row r="58" spans="1:18" s="1942" customFormat="1" ht="28.5" customHeight="1" thickBot="1">
      <c r="A58" s="1577" t="s">
        <v>1815</v>
      </c>
      <c r="B58" s="774" t="s">
        <v>650</v>
      </c>
      <c r="C58" s="3019">
        <f ca="1">ROUND(IF(AND(项目基本情况!B11="自然人",项目基本情况!B10="北京市"),C48*F58/(1+'数据-取费表'!C42),C59+C60+C61),0)</f>
        <v>4</v>
      </c>
      <c r="D58" s="3279" t="s">
        <v>651</v>
      </c>
      <c r="E58" s="3278" t="s">
        <v>684</v>
      </c>
      <c r="F58" s="3018" t="str">
        <f>IF(项目基本情况!B11="企业","——",IF('数据-取费表'!B10="住宅",IF(F48*F49*F50/12/(1+'数据-取费表'!F30)&gt;100000,4%,2.5%),IF(F48*F49*F50/12/(1+'数据-取费表'!F30)&gt;100000,12%,7%)))</f>
        <v>——</v>
      </c>
      <c r="I58" s="2819" t="s">
        <v>2342</v>
      </c>
      <c r="J58" s="2789" t="e">
        <f ca="1">IF(J55&lt;0.4,0.4,J55)</f>
        <v>#VALUE!</v>
      </c>
      <c r="K58" s="2799" t="s">
        <v>2347</v>
      </c>
      <c r="L58" s="1822" t="e">
        <f ca="1">ROUND(POWER(1+L52,L47-L48)*(POWER(1+L52,L48)-1)/(POWER(1+L52,L47)-1),4)</f>
        <v>#DIV/0!</v>
      </c>
      <c r="M58" s="3263"/>
      <c r="O58" s="2253" t="s">
        <v>2364</v>
      </c>
      <c r="P58" s="2254" t="s">
        <v>2395</v>
      </c>
      <c r="Q58" s="2255">
        <f ca="1">L60</f>
        <v>0</v>
      </c>
      <c r="R58" s="2258" t="s">
        <v>2397</v>
      </c>
    </row>
    <row r="59" spans="1:18" s="1942" customFormat="1" ht="28.5" customHeight="1" thickBot="1">
      <c r="A59" s="1576" t="s">
        <v>1822</v>
      </c>
      <c r="B59" s="774" t="s">
        <v>654</v>
      </c>
      <c r="C59" s="53">
        <f ca="1">ROUND(C47*F59/1.05,1)</f>
        <v>0</v>
      </c>
      <c r="D59" s="3278" t="s">
        <v>1747</v>
      </c>
      <c r="E59" s="774" t="s">
        <v>1738</v>
      </c>
      <c r="F59" s="799">
        <f t="shared" ref="F59:F65" si="0">F32</f>
        <v>5.6000000000000001E-2</v>
      </c>
      <c r="I59" s="2819" t="s">
        <v>2343</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2366</v>
      </c>
      <c r="P59" s="2254" t="s">
        <v>2396</v>
      </c>
      <c r="Q59" s="2255">
        <f>IF(L55="比较法",L49,IF(L55="基准地价",L50,0))</f>
        <v>0</v>
      </c>
      <c r="R59" s="2254" t="s">
        <v>2363</v>
      </c>
    </row>
    <row r="60" spans="1:18" s="1942" customFormat="1" ht="18" customHeight="1" thickBot="1">
      <c r="A60" s="1576" t="s">
        <v>1823</v>
      </c>
      <c r="B60" s="774" t="s">
        <v>1749</v>
      </c>
      <c r="C60" s="53">
        <f ca="1">IF(D60="按租金收入计税",ROUND(C47*F60,1),IF(D60="按房产原值计税",ROUND(C56*F60*0.7,1),INDIRECT("'数据-取费表'!Aj"&amp;$G$1)))</f>
        <v>0</v>
      </c>
      <c r="D60" s="3278" t="str">
        <f>D33</f>
        <v>按租金收入计税</v>
      </c>
      <c r="E60" s="774" t="s">
        <v>1738</v>
      </c>
      <c r="F60" s="799">
        <f t="shared" si="0"/>
        <v>0.12</v>
      </c>
      <c r="I60" s="2821" t="s">
        <v>2344</v>
      </c>
      <c r="J60" s="2822" t="str">
        <f ca="1">IF(OR(M47="住宅",J51&lt;L48,J56="是"),"0",ROUND(J59/(1+J52)^J53,0))</f>
        <v>0</v>
      </c>
      <c r="K60" s="2823" t="s">
        <v>2349</v>
      </c>
      <c r="L60" s="2822">
        <f ca="1">IF(OR(M47="住宅",L48&lt;J51),0,ROUND(L57*(L58/L59-1),0))</f>
        <v>0</v>
      </c>
      <c r="M60" s="3263"/>
      <c r="O60" s="2256" t="s">
        <v>2367</v>
      </c>
      <c r="P60" s="2254" t="s">
        <v>2376</v>
      </c>
      <c r="Q60" s="2257">
        <f>L52</f>
        <v>0</v>
      </c>
      <c r="R60" s="2258"/>
    </row>
    <row r="61" spans="1:18" s="1942" customFormat="1" ht="18" customHeight="1" thickBot="1">
      <c r="A61" s="1579" t="s">
        <v>1824</v>
      </c>
      <c r="B61" s="339" t="s">
        <v>662</v>
      </c>
      <c r="C61" s="54">
        <f ca="1">ROUND(F61*F62/10000,1)</f>
        <v>4</v>
      </c>
      <c r="D61" s="803" t="s">
        <v>663</v>
      </c>
      <c r="E61" s="774" t="s">
        <v>664</v>
      </c>
      <c r="F61" s="632">
        <f t="shared" si="0"/>
        <v>30</v>
      </c>
      <c r="K61" s="1968"/>
      <c r="O61" s="2256" t="s">
        <v>2369</v>
      </c>
      <c r="P61" s="2254" t="s">
        <v>2377</v>
      </c>
      <c r="Q61" s="2255" t="e">
        <f ca="1">L58</f>
        <v>#DIV/0!</v>
      </c>
      <c r="R61" s="2258" t="s">
        <v>2378</v>
      </c>
    </row>
    <row r="62" spans="1:18" s="1942" customFormat="1" ht="15.75" thickBot="1">
      <c r="A62" s="804"/>
      <c r="B62" s="783"/>
      <c r="C62" s="69"/>
      <c r="D62" s="805"/>
      <c r="E62" s="774" t="s">
        <v>668</v>
      </c>
      <c r="F62" s="775">
        <f t="shared" ca="1" si="0"/>
        <v>1319.06</v>
      </c>
      <c r="I62" s="2824" t="s">
        <v>2350</v>
      </c>
      <c r="J62" s="2825" t="s">
        <v>2351</v>
      </c>
      <c r="K62" s="2825" t="s">
        <v>2352</v>
      </c>
      <c r="L62" s="2825" t="s">
        <v>2333</v>
      </c>
      <c r="M62" s="2826" t="s">
        <v>2904</v>
      </c>
      <c r="O62" s="2256" t="s">
        <v>2371</v>
      </c>
      <c r="P62" s="2254" t="str">
        <f>K59</f>
        <v>建筑物剩余耐用年限下的土地年期修正系数Kn</v>
      </c>
      <c r="Q62" s="2255" t="e">
        <f ca="1">L59</f>
        <v>#DIV/0!</v>
      </c>
      <c r="R62" s="2258" t="s">
        <v>2380</v>
      </c>
    </row>
    <row r="63" spans="1:18" s="1942" customFormat="1" ht="15.75" thickBot="1">
      <c r="A63" s="1577" t="s">
        <v>1880</v>
      </c>
      <c r="B63" s="774" t="s">
        <v>670</v>
      </c>
      <c r="C63" s="53">
        <f ca="1">ROUND(C56*F63,1)</f>
        <v>777.1</v>
      </c>
      <c r="D63" s="3278" t="s">
        <v>1794</v>
      </c>
      <c r="E63" s="774" t="s">
        <v>1738</v>
      </c>
      <c r="F63" s="806">
        <f t="shared" ca="1" si="0"/>
        <v>0.02</v>
      </c>
      <c r="I63" s="2824" t="s">
        <v>2353</v>
      </c>
      <c r="J63" s="2825">
        <v>70</v>
      </c>
      <c r="K63" s="2825">
        <v>50</v>
      </c>
      <c r="L63" s="2825">
        <v>80</v>
      </c>
      <c r="M63" s="2827">
        <v>0.02</v>
      </c>
      <c r="O63" s="2253" t="s">
        <v>2374</v>
      </c>
      <c r="P63" s="2254" t="s">
        <v>2391</v>
      </c>
      <c r="Q63" s="2255">
        <f ca="1">Q57+Q58</f>
        <v>75463</v>
      </c>
      <c r="R63" s="2258" t="s">
        <v>2375</v>
      </c>
    </row>
    <row r="64" spans="1:18" s="1942" customFormat="1" ht="16.5" thickBot="1">
      <c r="A64" s="1577" t="s">
        <v>1881</v>
      </c>
      <c r="B64" s="774" t="s">
        <v>673</v>
      </c>
      <c r="C64" s="53">
        <f ca="1">ROUND(C55*F64,1)</f>
        <v>77.7</v>
      </c>
      <c r="D64" s="3278" t="s">
        <v>674</v>
      </c>
      <c r="E64" s="774" t="s">
        <v>1738</v>
      </c>
      <c r="F64" s="807">
        <f t="shared" ca="1" si="0"/>
        <v>2E-3</v>
      </c>
      <c r="I64" s="2824" t="s">
        <v>2354</v>
      </c>
      <c r="J64" s="2825">
        <v>50</v>
      </c>
      <c r="K64" s="2825">
        <v>35</v>
      </c>
      <c r="L64" s="2825">
        <v>60</v>
      </c>
      <c r="M64" s="835">
        <v>0</v>
      </c>
      <c r="O64" s="2259" t="s">
        <v>2398</v>
      </c>
      <c r="P64" s="1526"/>
      <c r="Q64" s="1534"/>
      <c r="R64" s="1526"/>
    </row>
    <row r="65" spans="1:18" s="1942" customFormat="1" ht="15.75" thickBot="1">
      <c r="A65" s="1577" t="s">
        <v>1882</v>
      </c>
      <c r="B65" s="774" t="s">
        <v>660</v>
      </c>
      <c r="C65" s="53">
        <f ca="1">ROUND(C47*F65,1)</f>
        <v>0</v>
      </c>
      <c r="D65" s="3278" t="s">
        <v>677</v>
      </c>
      <c r="E65" s="774" t="s">
        <v>1738</v>
      </c>
      <c r="F65" s="784">
        <f t="shared" ca="1" si="0"/>
        <v>2.5000000000000001E-2</v>
      </c>
      <c r="I65" s="2824" t="s">
        <v>2355</v>
      </c>
      <c r="J65" s="2825">
        <v>40</v>
      </c>
      <c r="K65" s="2825">
        <v>30</v>
      </c>
      <c r="L65" s="2825">
        <v>50</v>
      </c>
      <c r="M65" s="2827">
        <v>0.02</v>
      </c>
      <c r="O65" s="2250" t="s">
        <v>2358</v>
      </c>
      <c r="P65" s="2251" t="s">
        <v>2359</v>
      </c>
      <c r="Q65" s="2252" t="s">
        <v>2360</v>
      </c>
      <c r="R65" s="2251" t="s">
        <v>2361</v>
      </c>
    </row>
    <row r="66" spans="1:18" s="1942" customFormat="1" ht="24.75" thickBot="1">
      <c r="A66" s="787" t="s">
        <v>1767</v>
      </c>
      <c r="B66" s="2724" t="s">
        <v>2799</v>
      </c>
      <c r="C66" s="789">
        <f ca="1">C47-C57</f>
        <v>-859</v>
      </c>
      <c r="D66" s="3279" t="s">
        <v>694</v>
      </c>
      <c r="E66" s="3282"/>
      <c r="F66" s="809"/>
      <c r="K66" s="1968"/>
      <c r="O66" s="2253" t="s">
        <v>2362</v>
      </c>
      <c r="P66" s="2254" t="s">
        <v>2392</v>
      </c>
      <c r="Q66" s="2255">
        <f ca="1">C40+J29</f>
        <v>75463</v>
      </c>
      <c r="R66" s="2254" t="s">
        <v>2363</v>
      </c>
    </row>
    <row r="67" spans="1:18" s="1942" customFormat="1" ht="20.25" thickBot="1">
      <c r="A67" s="771" t="s">
        <v>1771</v>
      </c>
      <c r="B67" s="2112" t="s">
        <v>2287</v>
      </c>
      <c r="C67" s="773">
        <f ca="1">ROUND(C66*(1-((1+F69)/(1+F67))^F68)/(F67-F69),0)</f>
        <v>-10538</v>
      </c>
      <c r="D67" s="803" t="s">
        <v>698</v>
      </c>
      <c r="E67" s="774" t="s">
        <v>699</v>
      </c>
      <c r="F67" s="784">
        <f ca="1">F40</f>
        <v>6.5000000000000002E-2</v>
      </c>
      <c r="K67" s="1968"/>
      <c r="O67" s="2253" t="s">
        <v>2364</v>
      </c>
      <c r="P67" s="2254" t="s">
        <v>2395</v>
      </c>
      <c r="Q67" s="2255">
        <f ca="1">L60</f>
        <v>0</v>
      </c>
      <c r="R67" s="2258" t="s">
        <v>2397</v>
      </c>
    </row>
    <row r="68" spans="1:18" ht="21.75" thickBot="1">
      <c r="A68" s="776"/>
      <c r="B68" s="777"/>
      <c r="C68" s="778"/>
      <c r="D68" s="810" t="s">
        <v>1799</v>
      </c>
      <c r="E68" s="774" t="s">
        <v>1775</v>
      </c>
      <c r="F68" s="811">
        <f ca="1">F41</f>
        <v>25.35</v>
      </c>
      <c r="O68" s="2256" t="s">
        <v>2366</v>
      </c>
      <c r="P68" s="2254" t="s">
        <v>2396</v>
      </c>
      <c r="Q68" s="2260">
        <f ca="1">L51</f>
        <v>40259</v>
      </c>
      <c r="R68" s="2261" t="s">
        <v>2399</v>
      </c>
    </row>
    <row r="69" spans="1:18" ht="20.25" thickBot="1">
      <c r="A69" s="780"/>
      <c r="B69" s="781"/>
      <c r="C69" s="782"/>
      <c r="D69" s="805"/>
      <c r="E69" s="774" t="s">
        <v>704</v>
      </c>
      <c r="F69" s="2226"/>
      <c r="O69" s="2256" t="s">
        <v>2367</v>
      </c>
      <c r="P69" s="2262" t="s">
        <v>2381</v>
      </c>
      <c r="Q69" s="2255">
        <f ca="1">ROUND(Q70-Q71*Q72,0)</f>
        <v>2248</v>
      </c>
      <c r="R69" s="2258"/>
    </row>
    <row r="70" spans="1:18" ht="15.75" thickBot="1">
      <c r="A70" s="812" t="s">
        <v>1778</v>
      </c>
      <c r="B70" s="813" t="s">
        <v>1801</v>
      </c>
      <c r="C70" s="814">
        <f ca="1">ROUND(C67*10000/F70,0)</f>
        <v>-5883</v>
      </c>
      <c r="D70" s="815" t="s">
        <v>1802</v>
      </c>
      <c r="E70" s="816" t="s">
        <v>1803</v>
      </c>
      <c r="F70" s="817">
        <f ca="1">F43</f>
        <v>17912.120000000003</v>
      </c>
      <c r="O70" s="2256" t="s">
        <v>2382</v>
      </c>
      <c r="P70" s="2262" t="s">
        <v>2383</v>
      </c>
      <c r="Q70" s="2255">
        <f ca="1">C39</f>
        <v>5356</v>
      </c>
      <c r="R70" s="2254" t="s">
        <v>2363</v>
      </c>
    </row>
    <row r="71" spans="1:18" ht="15.75" thickBot="1">
      <c r="O71" s="2256" t="s">
        <v>2384</v>
      </c>
      <c r="P71" s="2262" t="s">
        <v>2385</v>
      </c>
      <c r="Q71" s="2255">
        <f ca="1">C13</f>
        <v>38855</v>
      </c>
      <c r="R71" s="2254" t="s">
        <v>2363</v>
      </c>
    </row>
    <row r="72" spans="1:18" ht="15.75" thickBot="1">
      <c r="O72" s="2256" t="s">
        <v>2386</v>
      </c>
      <c r="P72" s="2262" t="s">
        <v>2387</v>
      </c>
      <c r="Q72" s="2257">
        <f ca="1">J36</f>
        <v>0.08</v>
      </c>
      <c r="R72" s="2258"/>
    </row>
    <row r="73" spans="1:18" ht="15.75" thickBot="1">
      <c r="O73" s="2256" t="s">
        <v>2369</v>
      </c>
      <c r="P73" s="2254" t="s">
        <v>2376</v>
      </c>
      <c r="Q73" s="2257">
        <f>L52</f>
        <v>0</v>
      </c>
      <c r="R73" s="2258"/>
    </row>
    <row r="74" spans="1:18" ht="20.25" thickBot="1">
      <c r="O74" s="2256" t="s">
        <v>2371</v>
      </c>
      <c r="P74" s="2254" t="s">
        <v>2377</v>
      </c>
      <c r="Q74" s="2255" t="e">
        <f ca="1">L58</f>
        <v>#DIV/0!</v>
      </c>
      <c r="R74" s="2258" t="s">
        <v>2378</v>
      </c>
    </row>
    <row r="75" spans="1:18" ht="15.75" thickBot="1">
      <c r="O75" s="2256" t="s">
        <v>2400</v>
      </c>
      <c r="P75" s="2254" t="str">
        <f>K59</f>
        <v>建筑物剩余耐用年限下的土地年期修正系数Kn</v>
      </c>
      <c r="Q75" s="2255" t="e">
        <f ca="1">L59</f>
        <v>#DIV/0!</v>
      </c>
      <c r="R75" s="2258" t="s">
        <v>2380</v>
      </c>
    </row>
    <row r="76" spans="1:18" ht="15.75" thickBot="1">
      <c r="O76" s="2253" t="s">
        <v>2374</v>
      </c>
      <c r="P76" s="2254" t="s">
        <v>2391</v>
      </c>
      <c r="Q76" s="2255">
        <f ca="1">Q66+Q67</f>
        <v>75463</v>
      </c>
      <c r="R76" s="2258" t="s">
        <v>2375</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topLeftCell="D1" workbookViewId="0">
      <selection activeCell="J23" sqref="J23"/>
    </sheetView>
  </sheetViews>
  <sheetFormatPr defaultRowHeight="13.5"/>
  <cols>
    <col min="1" max="1" width="18" customWidth="1"/>
    <col min="4" max="4" width="10.625" customWidth="1"/>
    <col min="10" max="10" width="24.625" customWidth="1"/>
    <col min="11" max="11" width="10.375" customWidth="1"/>
    <col min="17" max="17" width="22.25" customWidth="1"/>
  </cols>
  <sheetData>
    <row r="1" spans="1:18">
      <c r="A1" s="3314" t="s">
        <v>3120</v>
      </c>
      <c r="B1" s="3314" t="s">
        <v>3121</v>
      </c>
      <c r="C1" s="3314" t="s">
        <v>3122</v>
      </c>
      <c r="D1" s="3314" t="s">
        <v>3123</v>
      </c>
      <c r="E1" s="3314" t="s">
        <v>3124</v>
      </c>
      <c r="F1" s="3314" t="s">
        <v>3125</v>
      </c>
      <c r="G1" s="3314" t="s">
        <v>3126</v>
      </c>
      <c r="H1" s="3314" t="s">
        <v>3127</v>
      </c>
      <c r="I1" s="3314" t="s">
        <v>2019</v>
      </c>
      <c r="J1" s="3314" t="s">
        <v>3128</v>
      </c>
      <c r="K1" s="3314" t="s">
        <v>3129</v>
      </c>
      <c r="L1" s="3314" t="s">
        <v>3130</v>
      </c>
      <c r="M1" s="3314" t="s">
        <v>3131</v>
      </c>
      <c r="N1" s="3314" t="s">
        <v>3132</v>
      </c>
      <c r="O1" s="3314" t="s">
        <v>3133</v>
      </c>
      <c r="P1" s="3314" t="s">
        <v>3134</v>
      </c>
      <c r="Q1" s="3314" t="s">
        <v>3135</v>
      </c>
      <c r="R1" s="3314" t="s">
        <v>3136</v>
      </c>
    </row>
    <row r="2" spans="1:18" s="3316" customFormat="1">
      <c r="A2" s="3315" t="s">
        <v>3137</v>
      </c>
      <c r="B2" s="3315" t="s">
        <v>1934</v>
      </c>
      <c r="C2" s="3315" t="s">
        <v>3138</v>
      </c>
      <c r="D2" s="3315" t="s">
        <v>3139</v>
      </c>
      <c r="E2" s="3315" t="s">
        <v>3140</v>
      </c>
      <c r="F2" s="3315" t="s">
        <v>3141</v>
      </c>
      <c r="G2" s="3315">
        <v>20188.580000000002</v>
      </c>
      <c r="H2" s="3315">
        <v>48528</v>
      </c>
      <c r="I2" s="3315" t="s">
        <v>3142</v>
      </c>
      <c r="J2" s="3315" t="s">
        <v>3143</v>
      </c>
      <c r="K2" s="3315" t="s">
        <v>3144</v>
      </c>
      <c r="L2" s="3315" t="s">
        <v>3145</v>
      </c>
      <c r="M2" s="3315">
        <v>205500</v>
      </c>
      <c r="N2" s="3315">
        <v>6786.01</v>
      </c>
      <c r="O2" s="3315">
        <v>42346.69</v>
      </c>
      <c r="P2" s="3315">
        <v>0</v>
      </c>
      <c r="Q2" s="3315" t="s">
        <v>3146</v>
      </c>
      <c r="R2" s="3315" t="s">
        <v>3147</v>
      </c>
    </row>
    <row r="3" spans="1:18" s="3316" customFormat="1">
      <c r="A3" s="3315" t="s">
        <v>3148</v>
      </c>
      <c r="B3" s="3315" t="s">
        <v>1934</v>
      </c>
      <c r="C3" s="3315" t="s">
        <v>3138</v>
      </c>
      <c r="D3" s="3315" t="s">
        <v>3149</v>
      </c>
      <c r="E3" s="3315" t="s">
        <v>3140</v>
      </c>
      <c r="F3" s="3315" t="s">
        <v>3150</v>
      </c>
      <c r="G3" s="3315">
        <v>80892.990000000005</v>
      </c>
      <c r="H3" s="3315">
        <v>112042</v>
      </c>
      <c r="I3" s="3315" t="s">
        <v>3151</v>
      </c>
      <c r="J3" s="3315" t="s">
        <v>3152</v>
      </c>
      <c r="K3" s="3315" t="s">
        <v>3153</v>
      </c>
      <c r="L3" s="3315" t="s">
        <v>3154</v>
      </c>
      <c r="M3" s="3315">
        <v>460000</v>
      </c>
      <c r="N3" s="3315">
        <v>3791.02</v>
      </c>
      <c r="O3" s="3315">
        <v>41056.019999999997</v>
      </c>
      <c r="P3" s="3315">
        <v>0</v>
      </c>
      <c r="Q3" s="3315" t="s">
        <v>3146</v>
      </c>
      <c r="R3" s="3315" t="s">
        <v>3147</v>
      </c>
    </row>
    <row r="4" spans="1:18" s="3316" customFormat="1">
      <c r="A4" s="3315" t="s">
        <v>3155</v>
      </c>
      <c r="B4" s="3315" t="s">
        <v>1934</v>
      </c>
      <c r="C4" s="3315" t="s">
        <v>3138</v>
      </c>
      <c r="D4" s="3315" t="s">
        <v>3156</v>
      </c>
      <c r="E4" s="3315" t="s">
        <v>3140</v>
      </c>
      <c r="F4" s="3315" t="s">
        <v>3157</v>
      </c>
      <c r="G4" s="3315">
        <v>31917.24</v>
      </c>
      <c r="H4" s="3315">
        <v>47876</v>
      </c>
      <c r="I4" s="3315" t="s">
        <v>3158</v>
      </c>
      <c r="J4" s="3315" t="s">
        <v>3152</v>
      </c>
      <c r="K4" s="3315" t="s">
        <v>3159</v>
      </c>
      <c r="L4" s="3315" t="s">
        <v>3160</v>
      </c>
      <c r="M4" s="3315">
        <v>242500</v>
      </c>
      <c r="N4" s="3315">
        <v>5065.18</v>
      </c>
      <c r="O4" s="3315">
        <v>50651.68</v>
      </c>
      <c r="P4" s="3315">
        <v>1.51</v>
      </c>
      <c r="Q4" s="3315" t="s">
        <v>3161</v>
      </c>
      <c r="R4" s="3315" t="s">
        <v>3147</v>
      </c>
    </row>
    <row r="5" spans="1:18">
      <c r="A5" s="3314" t="s">
        <v>3162</v>
      </c>
      <c r="B5" s="3314" t="s">
        <v>1934</v>
      </c>
      <c r="C5" s="3314" t="s">
        <v>3138</v>
      </c>
      <c r="D5" s="3314" t="s">
        <v>3139</v>
      </c>
      <c r="E5" s="3314" t="s">
        <v>3140</v>
      </c>
      <c r="F5" s="3314" t="s">
        <v>3163</v>
      </c>
      <c r="G5" s="3314">
        <v>31314.23</v>
      </c>
      <c r="H5" s="3314">
        <v>85543</v>
      </c>
      <c r="I5" s="3314" t="s">
        <v>3164</v>
      </c>
      <c r="J5" s="3314" t="s">
        <v>3165</v>
      </c>
      <c r="K5" s="3314" t="s">
        <v>3166</v>
      </c>
      <c r="L5" s="3314" t="s">
        <v>3167</v>
      </c>
      <c r="M5" s="3314">
        <v>189700</v>
      </c>
      <c r="N5" s="3314">
        <v>4038.63</v>
      </c>
      <c r="O5" s="3314">
        <v>22175.97</v>
      </c>
      <c r="P5" s="3314">
        <v>0</v>
      </c>
      <c r="Q5" s="3314" t="s">
        <v>3146</v>
      </c>
      <c r="R5" s="3314" t="s">
        <v>3168</v>
      </c>
    </row>
    <row r="6" spans="1:18">
      <c r="A6" s="3314" t="s">
        <v>3169</v>
      </c>
      <c r="B6" s="3314" t="s">
        <v>1934</v>
      </c>
      <c r="C6" s="3314" t="s">
        <v>3170</v>
      </c>
      <c r="D6" s="3314" t="s">
        <v>3156</v>
      </c>
      <c r="E6" s="3314" t="s">
        <v>3140</v>
      </c>
      <c r="F6" s="3314" t="s">
        <v>3171</v>
      </c>
      <c r="G6" s="3314">
        <v>39479.050000000003</v>
      </c>
      <c r="H6" s="3314">
        <v>43427</v>
      </c>
      <c r="I6" s="3314" t="s">
        <v>3172</v>
      </c>
      <c r="J6" s="3314" t="s">
        <v>3152</v>
      </c>
      <c r="K6" s="3314" t="s">
        <v>3173</v>
      </c>
      <c r="L6" s="3314" t="s">
        <v>3174</v>
      </c>
      <c r="M6" s="3314">
        <v>302000</v>
      </c>
      <c r="N6" s="3314">
        <v>5099.75</v>
      </c>
      <c r="O6" s="3314">
        <v>69541.990000000005</v>
      </c>
      <c r="P6" s="3314">
        <v>23.32</v>
      </c>
      <c r="Q6" s="3314" t="s">
        <v>3146</v>
      </c>
      <c r="R6" s="3314" t="s">
        <v>3147</v>
      </c>
    </row>
    <row r="7" spans="1:18">
      <c r="A7" s="3314" t="s">
        <v>3175</v>
      </c>
      <c r="B7" s="3314" t="s">
        <v>1934</v>
      </c>
      <c r="C7" s="3314" t="s">
        <v>3138</v>
      </c>
      <c r="D7" s="3314" t="s">
        <v>3176</v>
      </c>
      <c r="E7" s="3314" t="s">
        <v>3140</v>
      </c>
      <c r="F7" s="3314" t="s">
        <v>3177</v>
      </c>
      <c r="G7" s="3314">
        <v>60678.01</v>
      </c>
      <c r="H7" s="3314">
        <v>160145</v>
      </c>
      <c r="I7" s="3314" t="s">
        <v>3178</v>
      </c>
      <c r="J7" s="3314" t="s">
        <v>3165</v>
      </c>
      <c r="K7" s="3314" t="s">
        <v>3179</v>
      </c>
      <c r="L7" s="3314" t="s">
        <v>3180</v>
      </c>
      <c r="M7" s="3314">
        <v>340800</v>
      </c>
      <c r="N7" s="3314">
        <v>3744.35</v>
      </c>
      <c r="O7" s="3314">
        <v>21280.7</v>
      </c>
      <c r="P7" s="3314">
        <v>0.5</v>
      </c>
      <c r="Q7" s="3314" t="s">
        <v>3161</v>
      </c>
      <c r="R7" s="3314" t="s">
        <v>3168</v>
      </c>
    </row>
    <row r="8" spans="1:18">
      <c r="A8" s="3314" t="s">
        <v>3181</v>
      </c>
      <c r="B8" s="3314" t="s">
        <v>1934</v>
      </c>
      <c r="C8" s="3314" t="s">
        <v>3170</v>
      </c>
      <c r="D8" s="3314" t="s">
        <v>3139</v>
      </c>
      <c r="E8" s="3314" t="s">
        <v>3140</v>
      </c>
      <c r="F8" s="3314" t="s">
        <v>3171</v>
      </c>
      <c r="G8" s="3314">
        <v>41541.339999999997</v>
      </c>
      <c r="H8" s="3314">
        <v>87237</v>
      </c>
      <c r="I8" s="3314">
        <v>2.1</v>
      </c>
      <c r="J8" s="3314" t="s">
        <v>3165</v>
      </c>
      <c r="K8" s="3314" t="s">
        <v>3182</v>
      </c>
      <c r="L8" s="3314" t="s">
        <v>3183</v>
      </c>
      <c r="M8" s="3314">
        <v>206000</v>
      </c>
      <c r="N8" s="3314">
        <v>3305.94</v>
      </c>
      <c r="O8" s="3314">
        <v>23613.83</v>
      </c>
      <c r="P8" s="3314">
        <v>37.33</v>
      </c>
      <c r="Q8" s="3314" t="s">
        <v>3146</v>
      </c>
      <c r="R8" s="3314" t="s">
        <v>3168</v>
      </c>
    </row>
    <row r="9" spans="1:18">
      <c r="A9" s="3314" t="s">
        <v>3184</v>
      </c>
      <c r="B9" s="3314" t="s">
        <v>1934</v>
      </c>
      <c r="C9" s="3314" t="s">
        <v>3138</v>
      </c>
      <c r="D9" s="3314" t="s">
        <v>3185</v>
      </c>
      <c r="E9" s="3314" t="s">
        <v>3140</v>
      </c>
      <c r="F9" s="3314" t="s">
        <v>3157</v>
      </c>
      <c r="G9" s="3314">
        <v>22975.03</v>
      </c>
      <c r="H9" s="3314">
        <v>68925</v>
      </c>
      <c r="I9" s="3314">
        <v>3</v>
      </c>
      <c r="J9" s="3314" t="s">
        <v>3143</v>
      </c>
      <c r="K9" s="3314" t="s">
        <v>3186</v>
      </c>
      <c r="L9" s="3314" t="s">
        <v>3187</v>
      </c>
      <c r="M9" s="3314">
        <v>264000</v>
      </c>
      <c r="N9" s="3314">
        <v>7660.49</v>
      </c>
      <c r="O9" s="3314">
        <v>38302.5</v>
      </c>
      <c r="P9" s="3314">
        <v>26.92</v>
      </c>
      <c r="Q9" s="3314" t="s">
        <v>3146</v>
      </c>
      <c r="R9" s="3314" t="s">
        <v>3168</v>
      </c>
    </row>
    <row r="10" spans="1:18">
      <c r="A10" s="3314" t="s">
        <v>3188</v>
      </c>
      <c r="B10" s="3314" t="s">
        <v>1934</v>
      </c>
      <c r="C10" s="3314" t="s">
        <v>3138</v>
      </c>
      <c r="D10" s="3314" t="s">
        <v>3185</v>
      </c>
      <c r="E10" s="3314" t="s">
        <v>3140</v>
      </c>
      <c r="F10" s="3314" t="s">
        <v>3157</v>
      </c>
      <c r="G10" s="3314">
        <v>19200.669999999998</v>
      </c>
      <c r="H10" s="3314">
        <v>57602</v>
      </c>
      <c r="I10" s="3314">
        <v>3</v>
      </c>
      <c r="J10" s="3314" t="s">
        <v>3143</v>
      </c>
      <c r="K10" s="3314" t="s">
        <v>3186</v>
      </c>
      <c r="L10" s="3314" t="s">
        <v>3189</v>
      </c>
      <c r="M10" s="3314">
        <v>234000</v>
      </c>
      <c r="N10" s="3314">
        <v>8124.72</v>
      </c>
      <c r="O10" s="3314">
        <v>40623.58</v>
      </c>
      <c r="P10" s="3314">
        <v>17</v>
      </c>
      <c r="Q10" s="3314" t="s">
        <v>3146</v>
      </c>
      <c r="R10" s="3314" t="s">
        <v>3168</v>
      </c>
    </row>
    <row r="11" spans="1:18">
      <c r="A11" s="3314" t="s">
        <v>3190</v>
      </c>
      <c r="B11" s="3314" t="s">
        <v>1934</v>
      </c>
      <c r="C11" s="3314" t="s">
        <v>3138</v>
      </c>
      <c r="D11" s="3314" t="s">
        <v>3191</v>
      </c>
      <c r="E11" s="3314" t="s">
        <v>3140</v>
      </c>
      <c r="F11" s="3314" t="s">
        <v>3192</v>
      </c>
      <c r="G11" s="3314">
        <v>74979.98</v>
      </c>
      <c r="H11" s="3314">
        <v>84324</v>
      </c>
      <c r="I11" s="3314">
        <v>1.1200000000000001</v>
      </c>
      <c r="J11" s="3314" t="s">
        <v>3193</v>
      </c>
      <c r="K11" s="3314" t="s">
        <v>3194</v>
      </c>
      <c r="L11" s="3314" t="s">
        <v>3195</v>
      </c>
      <c r="M11" s="3314">
        <v>291000</v>
      </c>
      <c r="N11" s="3314">
        <v>2587.36</v>
      </c>
      <c r="O11" s="3314">
        <v>34509.75</v>
      </c>
      <c r="P11" s="3314">
        <v>41.95</v>
      </c>
      <c r="Q11" s="3314" t="s">
        <v>3146</v>
      </c>
      <c r="R11" s="3314" t="s">
        <v>3147</v>
      </c>
    </row>
    <row r="12" spans="1:18">
      <c r="A12" s="3314" t="s">
        <v>3196</v>
      </c>
      <c r="B12" s="3314" t="s">
        <v>1934</v>
      </c>
      <c r="C12" s="3314" t="s">
        <v>3138</v>
      </c>
      <c r="D12" s="3314" t="s">
        <v>3197</v>
      </c>
      <c r="E12" s="3314" t="s">
        <v>3140</v>
      </c>
      <c r="F12" s="3314" t="s">
        <v>3198</v>
      </c>
      <c r="G12" s="3314">
        <v>55477.35</v>
      </c>
      <c r="H12" s="3314">
        <v>87924</v>
      </c>
      <c r="I12" s="3314">
        <v>1.58</v>
      </c>
      <c r="J12" s="3314" t="s">
        <v>3165</v>
      </c>
      <c r="K12" s="3314" t="s">
        <v>3199</v>
      </c>
      <c r="L12" s="3314" t="s">
        <v>3200</v>
      </c>
      <c r="M12" s="3314">
        <v>168000</v>
      </c>
      <c r="N12" s="3314">
        <v>2018.84</v>
      </c>
      <c r="O12" s="3314">
        <v>19107.400000000001</v>
      </c>
      <c r="P12" s="3314">
        <v>12</v>
      </c>
      <c r="Q12" s="3314" t="s">
        <v>3146</v>
      </c>
      <c r="R12" s="3314" t="s">
        <v>3168</v>
      </c>
    </row>
    <row r="13" spans="1:18">
      <c r="A13" s="3314" t="s">
        <v>3201</v>
      </c>
      <c r="B13" s="3314" t="s">
        <v>1934</v>
      </c>
      <c r="C13" s="3314" t="s">
        <v>3170</v>
      </c>
      <c r="D13" s="3314" t="s">
        <v>3201</v>
      </c>
      <c r="E13" s="3314" t="s">
        <v>3140</v>
      </c>
      <c r="F13" s="3314" t="s">
        <v>3171</v>
      </c>
      <c r="G13" s="3314">
        <v>53525.81</v>
      </c>
      <c r="H13" s="3314">
        <v>58878</v>
      </c>
      <c r="I13" s="3314">
        <v>1.1000000000000001</v>
      </c>
      <c r="J13" s="3314" t="s">
        <v>3193</v>
      </c>
      <c r="K13" s="3314" t="s">
        <v>3202</v>
      </c>
      <c r="L13" s="3314" t="s">
        <v>3203</v>
      </c>
      <c r="M13" s="3314">
        <v>336500</v>
      </c>
      <c r="N13" s="3314">
        <v>4191.12</v>
      </c>
      <c r="O13" s="3314">
        <v>57152.08</v>
      </c>
      <c r="P13" s="3314">
        <v>1.02</v>
      </c>
      <c r="Q13" s="3314" t="s">
        <v>3146</v>
      </c>
      <c r="R13" s="3314" t="s">
        <v>3147</v>
      </c>
    </row>
    <row r="14" spans="1:18">
      <c r="A14" s="3314" t="s">
        <v>3204</v>
      </c>
      <c r="B14" s="3314" t="s">
        <v>1934</v>
      </c>
      <c r="C14" s="3314" t="s">
        <v>3170</v>
      </c>
      <c r="D14" s="3314" t="s">
        <v>3156</v>
      </c>
      <c r="E14" s="3314" t="s">
        <v>3140</v>
      </c>
      <c r="F14" s="3314" t="s">
        <v>3171</v>
      </c>
      <c r="G14" s="3314">
        <v>90394.02</v>
      </c>
      <c r="H14" s="3314">
        <v>99433</v>
      </c>
      <c r="I14" s="3314">
        <v>1.1000000000000001</v>
      </c>
      <c r="J14" s="3314" t="s">
        <v>3193</v>
      </c>
      <c r="K14" s="3314" t="s">
        <v>3205</v>
      </c>
      <c r="L14" s="3314" t="s">
        <v>3206</v>
      </c>
      <c r="M14" s="3314">
        <v>610000</v>
      </c>
      <c r="N14" s="3314">
        <v>4498.82</v>
      </c>
      <c r="O14" s="3314">
        <v>61347.83</v>
      </c>
      <c r="P14" s="3314">
        <v>9.34</v>
      </c>
      <c r="Q14" s="3314" t="s">
        <v>3146</v>
      </c>
      <c r="R14" s="3314" t="s">
        <v>3147</v>
      </c>
    </row>
    <row r="15" spans="1:18">
      <c r="A15" s="3314" t="s">
        <v>3207</v>
      </c>
      <c r="B15" s="3314" t="s">
        <v>1934</v>
      </c>
      <c r="C15" s="3314" t="s">
        <v>3170</v>
      </c>
      <c r="D15" s="3314" t="s">
        <v>3197</v>
      </c>
      <c r="E15" s="3314" t="s">
        <v>3140</v>
      </c>
      <c r="F15" s="3314" t="s">
        <v>3171</v>
      </c>
      <c r="G15" s="3314">
        <v>35847.35</v>
      </c>
      <c r="H15" s="3314">
        <v>75279</v>
      </c>
      <c r="I15" s="3314">
        <v>2.1</v>
      </c>
      <c r="J15" s="3314" t="s">
        <v>3165</v>
      </c>
      <c r="K15" s="3314" t="s">
        <v>3208</v>
      </c>
      <c r="L15" s="3314" t="s">
        <v>3200</v>
      </c>
      <c r="M15" s="3314">
        <v>186000</v>
      </c>
      <c r="N15" s="3314">
        <v>3459.11</v>
      </c>
      <c r="O15" s="3314">
        <v>24708.09</v>
      </c>
      <c r="P15" s="3314">
        <v>9.41</v>
      </c>
      <c r="Q15" s="3314" t="s">
        <v>3146</v>
      </c>
      <c r="R15" s="3314" t="s">
        <v>3147</v>
      </c>
    </row>
    <row r="16" spans="1:18">
      <c r="A16" s="3314" t="s">
        <v>3209</v>
      </c>
      <c r="B16" s="3314" t="s">
        <v>1934</v>
      </c>
      <c r="C16" s="3314" t="s">
        <v>3170</v>
      </c>
      <c r="D16" s="3314" t="s">
        <v>3139</v>
      </c>
      <c r="E16" s="3314" t="s">
        <v>3140</v>
      </c>
      <c r="F16" s="3314" t="s">
        <v>3171</v>
      </c>
      <c r="G16" s="3314">
        <v>77973.48</v>
      </c>
      <c r="H16" s="3314">
        <v>194934</v>
      </c>
      <c r="I16" s="3314">
        <v>2.5</v>
      </c>
      <c r="J16" s="3314" t="s">
        <v>3165</v>
      </c>
      <c r="K16" s="3314" t="s">
        <v>3210</v>
      </c>
      <c r="L16" s="3314" t="s">
        <v>3211</v>
      </c>
      <c r="M16" s="3314">
        <v>498000</v>
      </c>
      <c r="N16" s="3314">
        <v>4257.8599999999997</v>
      </c>
      <c r="O16" s="3314">
        <v>25547.11</v>
      </c>
      <c r="P16" s="3314">
        <v>0</v>
      </c>
      <c r="Q16" s="3314" t="s">
        <v>3146</v>
      </c>
      <c r="R16" s="3314" t="s">
        <v>3168</v>
      </c>
    </row>
  </sheetData>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7"/>
  <sheetViews>
    <sheetView topLeftCell="A34" workbookViewId="0">
      <selection activeCell="M28" sqref="M28"/>
    </sheetView>
  </sheetViews>
  <sheetFormatPr defaultRowHeight="13.5"/>
  <sheetData>
    <row r="27" spans="13:13">
      <c r="M27" s="3248" t="s">
        <v>3106</v>
      </c>
    </row>
  </sheetData>
  <phoneticPr fontId="228"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M150" sqref="M150"/>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9" t="s">
        <v>2025</v>
      </c>
      <c r="B1" s="3339"/>
      <c r="C1" s="3339"/>
      <c r="D1" s="3339"/>
      <c r="E1" s="3339"/>
      <c r="F1" s="3339"/>
      <c r="G1" s="3339"/>
      <c r="H1" s="3339"/>
      <c r="I1" s="3339"/>
      <c r="J1" s="3339"/>
      <c r="K1" s="3339"/>
      <c r="L1" s="3339"/>
      <c r="M1" s="3339"/>
      <c r="N1" s="3339"/>
      <c r="O1" s="3339"/>
      <c r="P1" s="3339"/>
      <c r="Q1" s="3339"/>
      <c r="R1" s="3339"/>
    </row>
    <row r="2" spans="1:18">
      <c r="A2" s="1722" t="s">
        <v>2027</v>
      </c>
      <c r="B2" s="1722"/>
      <c r="C2" s="1722"/>
      <c r="D2" s="1722"/>
      <c r="E2" s="1722"/>
      <c r="F2" s="1722"/>
      <c r="G2" s="1722"/>
      <c r="H2" s="1722"/>
      <c r="I2" s="1723"/>
      <c r="J2" s="1723"/>
      <c r="K2" s="1724" t="str">
        <f>"估价期日："&amp;TEXT(项目基本情况!D3,"yyyy年m月d日;;")</f>
        <v>估价期日：2020年10月23日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40" t="s">
        <v>2016</v>
      </c>
      <c r="B3" s="3340" t="s">
        <v>2709</v>
      </c>
      <c r="C3" s="3341" t="s">
        <v>2017</v>
      </c>
      <c r="D3" s="3340" t="s">
        <v>2713</v>
      </c>
      <c r="E3" s="3335" t="s">
        <v>2018</v>
      </c>
      <c r="F3" s="3335"/>
      <c r="G3" s="3335"/>
      <c r="H3" s="3335" t="s">
        <v>2019</v>
      </c>
      <c r="I3" s="3335"/>
      <c r="J3" s="3335"/>
      <c r="K3" s="3341" t="s">
        <v>2020</v>
      </c>
      <c r="L3" s="3341" t="s">
        <v>2021</v>
      </c>
      <c r="M3" s="3340" t="s">
        <v>2710</v>
      </c>
      <c r="N3" s="3342" t="str">
        <f>"（分摊）"&amp;项目基本情况!B16&amp;"国有建设用地使用权面积/㎡"</f>
        <v>（分摊）出让国有建设用地使用权面积/㎡</v>
      </c>
      <c r="O3" s="3340" t="s">
        <v>2050</v>
      </c>
      <c r="P3" s="3341" t="s">
        <v>2030</v>
      </c>
      <c r="Q3" s="3341" t="s">
        <v>2051</v>
      </c>
      <c r="R3" s="3341" t="s">
        <v>2022</v>
      </c>
    </row>
    <row r="4" spans="1:18" ht="36.75" customHeight="1">
      <c r="A4" s="3340"/>
      <c r="B4" s="3340"/>
      <c r="C4" s="3341"/>
      <c r="D4" s="3340"/>
      <c r="E4" s="2491" t="s">
        <v>2029</v>
      </c>
      <c r="F4" s="2491" t="s">
        <v>2722</v>
      </c>
      <c r="G4" s="2491" t="s">
        <v>2023</v>
      </c>
      <c r="H4" s="2491" t="s">
        <v>2024</v>
      </c>
      <c r="I4" s="2491" t="s">
        <v>2723</v>
      </c>
      <c r="J4" s="2491" t="s">
        <v>2023</v>
      </c>
      <c r="K4" s="3341"/>
      <c r="L4" s="3341"/>
      <c r="M4" s="3340"/>
      <c r="N4" s="3342"/>
      <c r="O4" s="3340"/>
      <c r="P4" s="3341"/>
      <c r="Q4" s="3341"/>
      <c r="R4" s="3341"/>
    </row>
    <row r="5" spans="1:18" ht="135" customHeight="1">
      <c r="A5" s="1857" t="s">
        <v>2633</v>
      </c>
      <c r="B5" s="2584" t="s">
        <v>2631</v>
      </c>
      <c r="C5" s="2490">
        <v>22</v>
      </c>
      <c r="D5" s="2489" t="s">
        <v>2632</v>
      </c>
      <c r="E5" s="1725" t="str">
        <f>项目基本情况!B12</f>
        <v>住宅（公寓）、商业、办公、地下车库</v>
      </c>
      <c r="F5" s="2489">
        <v>258</v>
      </c>
      <c r="G5" s="1725" t="str">
        <f>项目基本情况!B13</f>
        <v>住宅（公寓）、商业、办公、地下车库、地下仓储</v>
      </c>
      <c r="H5" s="2489">
        <v>1.5</v>
      </c>
      <c r="I5" s="2489">
        <v>1.5</v>
      </c>
      <c r="J5" s="2489">
        <v>1.5</v>
      </c>
      <c r="K5" s="1725" t="str">
        <f>"红线外"&amp;项目基本情况!T40&amp;"、宗地红线内"&amp;项目基本情况!B35</f>
        <v>红线外七通、宗地红线内场地平整</v>
      </c>
      <c r="L5" s="1725" t="str">
        <f>"红线外"&amp;项目基本情况!T40&amp;"、宗地红线内场地"&amp;项目基本情况!D36</f>
        <v>红线外七通、宗地红线内场地平整</v>
      </c>
      <c r="M5" s="1725">
        <f>IF(项目基本情况!B16="出让",项目基本情况!D20,"——")</f>
        <v>0</v>
      </c>
      <c r="N5" s="1725">
        <f>项目基本情况!C22</f>
        <v>18893.75</v>
      </c>
      <c r="O5" s="1725">
        <f>项目基本情况!C21</f>
        <v>273635.53999999998</v>
      </c>
      <c r="P5" s="1725">
        <f ca="1">结果表!E42</f>
        <v>346457</v>
      </c>
      <c r="Q5" s="1725">
        <f ca="1">结果表!D42</f>
        <v>23922</v>
      </c>
      <c r="R5" s="1726">
        <f ca="1">结果表!C42</f>
        <v>654587</v>
      </c>
    </row>
    <row r="6" spans="1:18">
      <c r="A6" s="3336" t="str">
        <f>IF(项目基本情况!B9="市场价格","——","抵押价格")</f>
        <v>抵押价格</v>
      </c>
      <c r="B6" s="3337"/>
      <c r="C6" s="3337"/>
      <c r="D6" s="3337"/>
      <c r="E6" s="3337"/>
      <c r="F6" s="3337"/>
      <c r="G6" s="3337"/>
      <c r="H6" s="3337"/>
      <c r="I6" s="3337"/>
      <c r="J6" s="3337"/>
      <c r="K6" s="3337"/>
      <c r="L6" s="3337"/>
      <c r="M6" s="3337"/>
      <c r="N6" s="3337"/>
      <c r="O6" s="3337"/>
      <c r="P6" s="3337"/>
      <c r="Q6" s="3338"/>
      <c r="R6" s="1727">
        <f ca="1">结果表!O39</f>
        <v>649766</v>
      </c>
    </row>
    <row r="7" spans="1:18">
      <c r="A7" s="3336" t="str">
        <f>IF(项目基本情况!B9="市场价格","——",IF(项目基本情况!E8="已注销及未注销","抵押担保权已注销时的抵押价格","——"))</f>
        <v>——</v>
      </c>
      <c r="B7" s="3337"/>
      <c r="C7" s="3337"/>
      <c r="D7" s="3337"/>
      <c r="E7" s="3337"/>
      <c r="F7" s="3337"/>
      <c r="G7" s="3337"/>
      <c r="H7" s="3337"/>
      <c r="I7" s="3337"/>
      <c r="J7" s="3337"/>
      <c r="K7" s="3337"/>
      <c r="L7" s="3337"/>
      <c r="M7" s="3337"/>
      <c r="N7" s="3337"/>
      <c r="O7" s="3337"/>
      <c r="P7" s="3337"/>
      <c r="Q7" s="3338"/>
      <c r="R7" s="1727" t="str">
        <f>结果表!O40</f>
        <v>——</v>
      </c>
    </row>
    <row r="8" spans="1:18">
      <c r="A8" s="3336">
        <f>IF(项目基本情况!B9="市场价格","——",项目基本情况!E9)</f>
        <v>0</v>
      </c>
      <c r="B8" s="3337"/>
      <c r="C8" s="3337"/>
      <c r="D8" s="3337"/>
      <c r="E8" s="3337"/>
      <c r="F8" s="3337"/>
      <c r="G8" s="3337"/>
      <c r="H8" s="3337"/>
      <c r="I8" s="3337"/>
      <c r="J8" s="3337"/>
      <c r="K8" s="3337"/>
      <c r="L8" s="3337"/>
      <c r="M8" s="3337"/>
      <c r="N8" s="3337"/>
      <c r="O8" s="3337"/>
      <c r="P8" s="3337"/>
      <c r="Q8" s="3338"/>
      <c r="R8" s="1727" t="str">
        <f>结果表!O41</f>
        <v>——</v>
      </c>
    </row>
    <row r="9" spans="1:18">
      <c r="A9" s="1728" t="s">
        <v>2028</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2015</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Q19" sqref="Q19"/>
    </sheetView>
  </sheetViews>
  <sheetFormatPr defaultRowHeight="13.5"/>
  <sheetData/>
  <phoneticPr fontId="228"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43" t="s">
        <v>2052</v>
      </c>
      <c r="B1" s="3343"/>
      <c r="C1" s="3343"/>
      <c r="D1" s="3343"/>
    </row>
    <row r="2" spans="1:4" ht="47.25" customHeight="1">
      <c r="A2" s="3347" t="str">
        <f>"1.权利限制："&amp;项目基本情况!L24&amp;"未设定租赁等其他他项权利。"</f>
        <v>1.权利限制：根据估价对象《不动产权证书》——、《国有土地使用权》复印件，截至估价期日，估价对象抵押权未见登记。未设定租赁等其他他项权利。</v>
      </c>
      <c r="B2" s="3347"/>
      <c r="C2" s="3347"/>
      <c r="D2" s="3347"/>
    </row>
    <row r="3" spans="1:4" ht="48" customHeight="1">
      <c r="A3" s="334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43"/>
      <c r="C3" s="3343"/>
      <c r="D3" s="3343"/>
    </row>
    <row r="4" spans="1:4" ht="36.75" customHeight="1">
      <c r="A4" s="3343" t="str">
        <f>"3.估价规划限制条件：详见"&amp;项目基本情况!E21&amp;"。"</f>
        <v>3.估价规划限制条件：详见《国有建设用地使用权出让合同》[京地出（合）字（2006）第103、106号]及附件、《建设工程规划许可证》[建字第110000201900048号]。</v>
      </c>
      <c r="B4" s="3343"/>
      <c r="C4" s="3343"/>
      <c r="D4" s="3343"/>
    </row>
    <row r="5" spans="1:4">
      <c r="A5" s="3346" t="s">
        <v>2053</v>
      </c>
      <c r="B5" s="3346"/>
      <c r="C5" s="3346"/>
      <c r="D5" s="3346"/>
    </row>
    <row r="6" spans="1:4">
      <c r="A6" s="3343" t="s">
        <v>2031</v>
      </c>
      <c r="B6" s="3343"/>
      <c r="C6" s="3343"/>
      <c r="D6" s="3343"/>
    </row>
    <row r="7" spans="1:4" ht="33" customHeight="1">
      <c r="A7" s="3343" t="s">
        <v>2554</v>
      </c>
      <c r="B7" s="3343"/>
      <c r="C7" s="3343"/>
      <c r="D7" s="3343"/>
    </row>
    <row r="8" spans="1:4" ht="32.25" customHeight="1">
      <c r="A8" s="33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43"/>
      <c r="C8" s="3343"/>
      <c r="D8" s="3343"/>
    </row>
    <row r="9" spans="1:4" ht="33.75" customHeight="1">
      <c r="A9" s="33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43"/>
      <c r="C9" s="3343"/>
      <c r="D9" s="3343"/>
    </row>
    <row r="10" spans="1:4">
      <c r="A10" s="3343" t="str">
        <f>IF(项目基本情况!B8="抵押","4.估价师所知悉的法定优先受偿款情况为：","——")</f>
        <v>4.估价师所知悉的法定优先受偿款情况为：</v>
      </c>
      <c r="B10" s="3343"/>
      <c r="C10" s="3343"/>
      <c r="D10" s="3343"/>
    </row>
    <row r="11" spans="1:4" ht="37.5" customHeight="1">
      <c r="A11" s="3345" t="str">
        <f>IF(项目基本情况!B8="抵押","（1）"&amp;CONCATENATE(项目基本情况!L24,项目基本情况!L25,项目基本情况!L26),"——")</f>
        <v>（1）根据估价对象《不动产权证书》——、《国有土地使用权》复印件，截至估价期日，估价对象抵押权未见登记。</v>
      </c>
      <c r="B11" s="3345"/>
      <c r="C11" s="3345"/>
      <c r="D11" s="3345"/>
    </row>
    <row r="12" spans="1:4" ht="168" customHeight="1">
      <c r="A12" s="3346" t="s">
        <v>2055</v>
      </c>
      <c r="B12" s="3346"/>
      <c r="C12" s="3346"/>
      <c r="D12" s="3346"/>
    </row>
    <row r="13" spans="1:4">
      <c r="A13" s="3344" t="s">
        <v>2724</v>
      </c>
      <c r="B13" s="3344"/>
      <c r="C13" s="3344"/>
      <c r="D13" s="3344"/>
    </row>
    <row r="14" spans="1:4">
      <c r="A14" s="3345" t="str">
        <f ca="1">IF(项目基本情况!B8="抵押","综上，"&amp;结果表!K47,"——")</f>
        <v>综上，本次评估估价师知悉的法定优先受偿款为人民币4821万元整。</v>
      </c>
      <c r="B14" s="3345"/>
      <c r="C14" s="3345"/>
      <c r="D14" s="3345"/>
    </row>
    <row r="15" spans="1:4" ht="58.5" customHeight="1">
      <c r="A15" s="33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3"/>
      <c r="C15" s="3343"/>
      <c r="D15" s="3343"/>
    </row>
    <row r="16" spans="1:4" ht="70.5" customHeight="1">
      <c r="A16" s="33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3"/>
      <c r="C16" s="3343"/>
      <c r="D16" s="3343"/>
    </row>
    <row r="17" spans="1:4">
      <c r="A17" s="3343" t="s">
        <v>2680</v>
      </c>
      <c r="B17" s="3343"/>
      <c r="C17" s="3343"/>
      <c r="D17" s="3343"/>
    </row>
    <row r="18" spans="1:4">
      <c r="A18" s="3343" t="s">
        <v>2672</v>
      </c>
      <c r="B18" s="3343"/>
      <c r="C18" s="3343"/>
      <c r="D18" s="3343"/>
    </row>
    <row r="19" spans="1:4">
      <c r="A19" s="2585" t="s">
        <v>2673</v>
      </c>
      <c r="B19" s="2585" t="s">
        <v>2674</v>
      </c>
      <c r="C19" s="2585" t="s">
        <v>2675</v>
      </c>
      <c r="D19" s="2585" t="s">
        <v>2676</v>
      </c>
    </row>
    <row r="20" spans="1:4">
      <c r="A20" s="2585" t="str">
        <f>项目基本情况!B4</f>
        <v>吴薇</v>
      </c>
      <c r="B20" s="2585">
        <f ca="1">项目基本情况!C4</f>
        <v>2002110125</v>
      </c>
      <c r="C20" s="2587"/>
      <c r="D20" s="1715" t="s">
        <v>2681</v>
      </c>
    </row>
    <row r="21" spans="1:4">
      <c r="A21" s="2585" t="str">
        <f>项目基本情况!D4</f>
        <v>郑燚</v>
      </c>
      <c r="B21" s="2585">
        <f ca="1">项目基本情况!E4</f>
        <v>2014110011</v>
      </c>
      <c r="C21" s="2587"/>
      <c r="D21" s="1715" t="s">
        <v>2682</v>
      </c>
    </row>
    <row r="23" spans="1:4">
      <c r="A23" s="3343" t="s">
        <v>2677</v>
      </c>
      <c r="B23" s="3343"/>
      <c r="C23" s="3343"/>
      <c r="D23" s="3343"/>
    </row>
    <row r="24" spans="1:4">
      <c r="A24" s="2585" t="s">
        <v>2673</v>
      </c>
      <c r="B24" s="2585" t="s">
        <v>2678</v>
      </c>
      <c r="C24" s="2585" t="s">
        <v>2675</v>
      </c>
      <c r="D24" s="2585" t="s">
        <v>2676</v>
      </c>
    </row>
    <row r="25" spans="1:4">
      <c r="A25" s="2588" t="s">
        <v>2679</v>
      </c>
      <c r="B25" s="2585" t="s">
        <v>943</v>
      </c>
      <c r="C25" s="2587"/>
      <c r="D25" s="1715" t="s">
        <v>2682</v>
      </c>
    </row>
    <row r="29" spans="1:4">
      <c r="D29" s="2586" t="s">
        <v>2026</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55" t="s">
        <v>53</v>
      </c>
      <c r="B15" s="3356" t="s">
        <v>838</v>
      </c>
      <c r="C15" s="3352"/>
    </row>
    <row r="16" spans="1:7" ht="14.25">
      <c r="A16" s="3355"/>
      <c r="B16" s="3353" t="s">
        <v>54</v>
      </c>
      <c r="C16" s="1155" t="s">
        <v>53</v>
      </c>
    </row>
    <row r="17" spans="1:3" ht="14.25">
      <c r="A17" s="3355"/>
      <c r="B17" s="3353"/>
      <c r="C17" s="1155" t="s">
        <v>55</v>
      </c>
    </row>
    <row r="18" spans="1:3" ht="14.25">
      <c r="A18" s="3355"/>
      <c r="B18" s="3353"/>
      <c r="C18" s="1155" t="s">
        <v>56</v>
      </c>
    </row>
    <row r="19" spans="1:3" ht="14.25">
      <c r="A19" s="3355"/>
      <c r="B19" s="3351" t="s">
        <v>57</v>
      </c>
      <c r="C19" s="3352"/>
    </row>
    <row r="20" spans="1:3" ht="14.25">
      <c r="A20" s="1156" t="s">
        <v>58</v>
      </c>
      <c r="B20" s="1157"/>
      <c r="C20" s="1158"/>
    </row>
    <row r="21" spans="1:3" ht="14.25">
      <c r="A21" s="3354" t="s">
        <v>59</v>
      </c>
      <c r="B21" s="3351" t="s">
        <v>60</v>
      </c>
      <c r="C21" s="3352"/>
    </row>
    <row r="22" spans="1:3" ht="14.25">
      <c r="A22" s="3354"/>
      <c r="B22" s="3351" t="s">
        <v>61</v>
      </c>
      <c r="C22" s="3352"/>
    </row>
    <row r="23" spans="1:3" ht="14.25">
      <c r="A23" s="3354"/>
      <c r="B23" s="3351" t="s">
        <v>62</v>
      </c>
      <c r="C23" s="3352"/>
    </row>
    <row r="24" spans="1:3" ht="14.25">
      <c r="A24" s="3354"/>
      <c r="B24" s="3357" t="s">
        <v>63</v>
      </c>
      <c r="C24" s="1159" t="s">
        <v>829</v>
      </c>
    </row>
    <row r="25" spans="1:3" ht="14.25">
      <c r="A25" s="3354"/>
      <c r="B25" s="3358"/>
      <c r="C25" s="1159" t="s">
        <v>830</v>
      </c>
    </row>
    <row r="26" spans="1:3" ht="14.25">
      <c r="A26" s="3354"/>
      <c r="B26" s="3358"/>
      <c r="C26" s="1159" t="s">
        <v>831</v>
      </c>
    </row>
    <row r="27" spans="1:3" ht="14.25">
      <c r="A27" s="3354"/>
      <c r="B27" s="3358"/>
      <c r="C27" s="1159" t="s">
        <v>832</v>
      </c>
    </row>
    <row r="28" spans="1:3" ht="14.25">
      <c r="A28" s="3354"/>
      <c r="B28" s="3358"/>
      <c r="C28" s="1159" t="s">
        <v>833</v>
      </c>
    </row>
    <row r="29" spans="1:3" ht="14.25">
      <c r="A29" s="3354"/>
      <c r="B29" s="3358"/>
      <c r="C29" s="1159" t="s">
        <v>834</v>
      </c>
    </row>
    <row r="30" spans="1:3" ht="14.25">
      <c r="A30" s="3354"/>
      <c r="B30" s="3358"/>
      <c r="C30" s="1159" t="s">
        <v>835</v>
      </c>
    </row>
    <row r="31" spans="1:3" ht="14.25">
      <c r="A31" s="3354"/>
      <c r="B31" s="3358"/>
      <c r="C31" s="1159" t="s">
        <v>836</v>
      </c>
    </row>
    <row r="32" spans="1:3" ht="14.25">
      <c r="A32" s="3354"/>
      <c r="B32" s="3358"/>
      <c r="C32" s="1159" t="s">
        <v>1637</v>
      </c>
    </row>
    <row r="33" spans="1:3" ht="14.25">
      <c r="A33" s="3354"/>
      <c r="B33" s="3348" t="s">
        <v>1643</v>
      </c>
      <c r="C33" s="1159" t="s">
        <v>1638</v>
      </c>
    </row>
    <row r="34" spans="1:3" ht="14.25">
      <c r="A34" s="3354"/>
      <c r="B34" s="3349"/>
      <c r="C34" s="1164" t="s">
        <v>1639</v>
      </c>
    </row>
    <row r="35" spans="1:3" ht="14.25">
      <c r="A35" s="3354"/>
      <c r="B35" s="3349"/>
      <c r="C35" s="1165" t="s">
        <v>1640</v>
      </c>
    </row>
    <row r="36" spans="1:3" ht="14.25">
      <c r="A36" s="3354"/>
      <c r="B36" s="3349"/>
      <c r="C36" s="1165" t="s">
        <v>1641</v>
      </c>
    </row>
    <row r="37" spans="1:3" ht="14.25">
      <c r="A37" s="3354"/>
      <c r="B37" s="3350"/>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44131</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2939</v>
      </c>
      <c r="B12" s="3030">
        <f ca="1">IF(C12&lt;B2,"已过期",1120040230)</f>
        <v>1120040230</v>
      </c>
      <c r="C12" s="3033">
        <v>44864</v>
      </c>
      <c r="D12" s="3041" t="s">
        <v>2940</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2954</v>
      </c>
      <c r="B15" s="3030">
        <f ca="1">IF(C14&lt;B2,"已过期",1119980106)</f>
        <v>1119980106</v>
      </c>
      <c r="C15" s="3033">
        <v>44969</v>
      </c>
      <c r="D15" s="3041"/>
      <c r="E15" s="3030"/>
      <c r="F15" s="3030"/>
      <c r="G15" s="3025"/>
    </row>
    <row r="16" spans="1:7" s="2831" customFormat="1" ht="20.25" customHeight="1">
      <c r="A16" s="3029" t="s">
        <v>2040</v>
      </c>
      <c r="B16" s="3029" t="s">
        <v>2040</v>
      </c>
      <c r="C16" s="3033"/>
      <c r="D16" s="3042" t="s">
        <v>2040</v>
      </c>
      <c r="E16" s="3030" t="s">
        <v>2040</v>
      </c>
      <c r="F16" s="3032"/>
      <c r="G16" s="3034"/>
    </row>
    <row r="17" spans="1:7" ht="20.25" customHeight="1">
      <c r="A17" s="3362" t="s">
        <v>1915</v>
      </c>
      <c r="B17" s="3363"/>
      <c r="C17" s="3363"/>
      <c r="D17" s="3363"/>
      <c r="E17" s="3363"/>
      <c r="F17" s="3363"/>
      <c r="G17" s="3034"/>
    </row>
    <row r="18" spans="1:7" ht="20.25" customHeight="1">
      <c r="A18" s="3359" t="s">
        <v>1916</v>
      </c>
      <c r="B18" s="3359"/>
      <c r="C18" s="3360"/>
      <c r="D18" s="3361" t="s">
        <v>1917</v>
      </c>
      <c r="E18" s="3359"/>
      <c r="F18" s="3359"/>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2953</v>
      </c>
      <c r="F21" s="3038">
        <v>44012</v>
      </c>
      <c r="G21" s="3026"/>
    </row>
    <row r="22" spans="1:7" ht="20.25" customHeight="1">
      <c r="A22" s="3025"/>
      <c r="B22" s="3025"/>
      <c r="C22" s="3039"/>
      <c r="D22" s="3047"/>
      <c r="E22" s="3048"/>
      <c r="F22" s="3040" t="s">
        <v>2967</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55" priority="149">
      <formula>AND($C5-TODAY()&lt;30,TODAY()&lt;$C5)</formula>
    </cfRule>
  </conditionalFormatting>
  <conditionalFormatting sqref="C20">
    <cfRule type="expression" dxfId="254" priority="148">
      <formula>AND($C20-TODAY()&lt;30,TODAY()&lt;$C20)</formula>
    </cfRule>
  </conditionalFormatting>
  <conditionalFormatting sqref="C20 F4 C5 C13">
    <cfRule type="cellIs" dxfId="253" priority="150" stopIfTrue="1" operator="lessThan">
      <formula>$B$2</formula>
    </cfRule>
  </conditionalFormatting>
  <conditionalFormatting sqref="F5 F7 F9">
    <cfRule type="cellIs" dxfId="252" priority="144" stopIfTrue="1" operator="lessThan">
      <formula>$B$2</formula>
    </cfRule>
  </conditionalFormatting>
  <conditionalFormatting sqref="C16:D16">
    <cfRule type="expression" dxfId="251" priority="142">
      <formula>AND($C16-TODAY()&lt;30,TODAY()&lt;$C16)</formula>
    </cfRule>
  </conditionalFormatting>
  <conditionalFormatting sqref="F6 F8 F10 C16:D16">
    <cfRule type="cellIs" dxfId="250" priority="143" stopIfTrue="1" operator="lessThan">
      <formula>$B$2</formula>
    </cfRule>
  </conditionalFormatting>
  <conditionalFormatting sqref="F14">
    <cfRule type="cellIs" dxfId="249" priority="114" stopIfTrue="1" operator="lessThan">
      <formula>$B$2</formula>
    </cfRule>
  </conditionalFormatting>
  <conditionalFormatting sqref="F13">
    <cfRule type="cellIs" dxfId="248" priority="113" stopIfTrue="1" operator="lessThan">
      <formula>$B$2</formula>
    </cfRule>
  </conditionalFormatting>
  <conditionalFormatting sqref="B4:B11 E4:E11 E13:E15 B13:B15">
    <cfRule type="cellIs" dxfId="247" priority="111" stopIfTrue="1" operator="equal">
      <formula>"已过期"</formula>
    </cfRule>
  </conditionalFormatting>
  <conditionalFormatting sqref="F20">
    <cfRule type="cellIs" dxfId="246" priority="108" stopIfTrue="1" operator="lessThan">
      <formula>$B$2</formula>
    </cfRule>
  </conditionalFormatting>
  <conditionalFormatting sqref="F20">
    <cfRule type="expression" dxfId="245" priority="152">
      <formula>AND($E20-TODAY()&lt;30,TODAY()&lt;$E20)</formula>
    </cfRule>
  </conditionalFormatting>
  <conditionalFormatting sqref="C6">
    <cfRule type="expression" dxfId="244" priority="82">
      <formula>AND($C6-TODAY()&lt;30,TODAY()&lt;$C6)</formula>
    </cfRule>
  </conditionalFormatting>
  <conditionalFormatting sqref="C6">
    <cfRule type="cellIs" dxfId="243" priority="83" stopIfTrue="1" operator="lessThan">
      <formula>$B$2</formula>
    </cfRule>
  </conditionalFormatting>
  <conditionalFormatting sqref="C11 C15">
    <cfRule type="expression" dxfId="242" priority="80">
      <formula>AND($C11-TODAY()&lt;30,TODAY()&lt;$C11)</formula>
    </cfRule>
  </conditionalFormatting>
  <conditionalFormatting sqref="C11 C15">
    <cfRule type="cellIs" dxfId="241" priority="81" stopIfTrue="1" operator="lessThan">
      <formula>$B$2</formula>
    </cfRule>
  </conditionalFormatting>
  <conditionalFormatting sqref="F11">
    <cfRule type="cellIs" dxfId="240" priority="79" stopIfTrue="1" operator="lessThan">
      <formula>$B$2</formula>
    </cfRule>
  </conditionalFormatting>
  <conditionalFormatting sqref="C14">
    <cfRule type="expression" dxfId="239" priority="60">
      <formula>AND($C14-TODAY()&lt;30,TODAY()&lt;$C14)</formula>
    </cfRule>
  </conditionalFormatting>
  <conditionalFormatting sqref="C14">
    <cfRule type="cellIs" dxfId="238" priority="61" stopIfTrue="1" operator="lessThan">
      <formula>$B$2</formula>
    </cfRule>
  </conditionalFormatting>
  <conditionalFormatting sqref="C12">
    <cfRule type="cellIs" dxfId="237" priority="54" stopIfTrue="1" operator="lessThan">
      <formula>$B$2</formula>
    </cfRule>
  </conditionalFormatting>
  <conditionalFormatting sqref="C12">
    <cfRule type="expression" dxfId="236" priority="51">
      <formula>AND($C12-TODAY()&lt;30,TODAY()&lt;$C12)</formula>
    </cfRule>
  </conditionalFormatting>
  <conditionalFormatting sqref="C12">
    <cfRule type="cellIs" dxfId="235" priority="52" stopIfTrue="1" operator="lessThan">
      <formula>$B$2</formula>
    </cfRule>
  </conditionalFormatting>
  <conditionalFormatting sqref="B12">
    <cfRule type="cellIs" dxfId="234" priority="48" stopIfTrue="1" operator="equal">
      <formula>"已过期"</formula>
    </cfRule>
  </conditionalFormatting>
  <conditionalFormatting sqref="E12">
    <cfRule type="cellIs" dxfId="233" priority="38" stopIfTrue="1" operator="equal">
      <formula>"已过期"</formula>
    </cfRule>
  </conditionalFormatting>
  <conditionalFormatting sqref="F12">
    <cfRule type="cellIs" dxfId="232" priority="37" stopIfTrue="1" operator="lessThan">
      <formula>$B$2</formula>
    </cfRule>
  </conditionalFormatting>
  <conditionalFormatting sqref="C9:C10">
    <cfRule type="expression" dxfId="231" priority="33">
      <formula>AND($C9-TODAY()&lt;30,TODAY()&lt;$C9)</formula>
    </cfRule>
  </conditionalFormatting>
  <conditionalFormatting sqref="C9:C10">
    <cfRule type="cellIs" dxfId="230" priority="34" stopIfTrue="1" operator="lessThan">
      <formula>$B$2</formula>
    </cfRule>
  </conditionalFormatting>
  <conditionalFormatting sqref="F21">
    <cfRule type="cellIs" dxfId="229" priority="13" stopIfTrue="1" operator="lessThan">
      <formula>$B$2</formula>
    </cfRule>
  </conditionalFormatting>
  <conditionalFormatting sqref="F21">
    <cfRule type="expression" dxfId="228" priority="14">
      <formula>AND($E21-TODAY()&lt;30,TODAY()&lt;$E21)</formula>
    </cfRule>
  </conditionalFormatting>
  <conditionalFormatting sqref="C7:C8">
    <cfRule type="expression" dxfId="227" priority="5">
      <formula>AND($C7-TODAY()&lt;30,TODAY()&lt;$C7)</formula>
    </cfRule>
  </conditionalFormatting>
  <conditionalFormatting sqref="C7:C8">
    <cfRule type="cellIs" dxfId="226" priority="6" stopIfTrue="1" operator="lessThan">
      <formula>$B$2</formula>
    </cfRule>
  </conditionalFormatting>
  <conditionalFormatting sqref="C7:C8">
    <cfRule type="expression" dxfId="225" priority="3">
      <formula>AND($C7-TODAY()&lt;30,TODAY()&lt;$C7)</formula>
    </cfRule>
  </conditionalFormatting>
  <conditionalFormatting sqref="C7:C8">
    <cfRule type="cellIs" dxfId="224" priority="4" stopIfTrue="1" operator="lessThan">
      <formula>$B$2</formula>
    </cfRule>
  </conditionalFormatting>
  <conditionalFormatting sqref="C4">
    <cfRule type="expression" dxfId="223" priority="1">
      <formula>AND($C4-TODAY()&lt;30,TODAY()&lt;$C4)</formula>
    </cfRule>
  </conditionalFormatting>
  <conditionalFormatting sqref="C4">
    <cfRule type="cellIs" dxfId="22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2525</v>
      </c>
      <c r="R1" s="2432" t="s">
        <v>2519</v>
      </c>
      <c r="S1" s="6" t="s">
        <v>146</v>
      </c>
      <c r="T1" s="7" t="s">
        <v>147</v>
      </c>
      <c r="U1" s="6" t="s">
        <v>148</v>
      </c>
      <c r="V1" s="6" t="s">
        <v>149</v>
      </c>
      <c r="W1" s="992"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2520</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2521</v>
      </c>
      <c r="S3" s="9" t="s">
        <v>84</v>
      </c>
      <c r="T3" s="9" t="s">
        <v>85</v>
      </c>
      <c r="U3" s="9" t="s">
        <v>84</v>
      </c>
      <c r="V3" s="9" t="s">
        <v>86</v>
      </c>
      <c r="W3" s="9" t="s">
        <v>867</v>
      </c>
    </row>
    <row r="4" spans="1:23">
      <c r="A4" s="8" t="s">
        <v>87</v>
      </c>
      <c r="B4" s="8" t="s">
        <v>152</v>
      </c>
      <c r="C4" s="1489" t="s">
        <v>1702</v>
      </c>
      <c r="D4" s="9" t="s">
        <v>1982</v>
      </c>
      <c r="E4" s="9" t="s">
        <v>88</v>
      </c>
      <c r="F4" s="9" t="s">
        <v>89</v>
      </c>
      <c r="G4" s="9">
        <v>70</v>
      </c>
      <c r="H4" s="9" t="s">
        <v>90</v>
      </c>
      <c r="I4" s="9" t="s">
        <v>91</v>
      </c>
      <c r="K4" s="9" t="s">
        <v>92</v>
      </c>
      <c r="L4" s="9" t="s">
        <v>92</v>
      </c>
      <c r="M4" s="9" t="s">
        <v>92</v>
      </c>
      <c r="N4" s="9" t="s">
        <v>92</v>
      </c>
      <c r="O4" s="9" t="s">
        <v>92</v>
      </c>
      <c r="P4" s="993" t="s">
        <v>754</v>
      </c>
      <c r="Q4" s="9" t="s">
        <v>92</v>
      </c>
      <c r="R4" s="993" t="s">
        <v>2522</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3" t="s">
        <v>540</v>
      </c>
      <c r="Q5" s="9" t="s">
        <v>97</v>
      </c>
      <c r="R5" s="993" t="s">
        <v>2523</v>
      </c>
      <c r="S5" s="9" t="s">
        <v>97</v>
      </c>
      <c r="T5" s="9" t="s">
        <v>98</v>
      </c>
      <c r="U5" s="9" t="s">
        <v>97</v>
      </c>
      <c r="W5" s="9" t="s">
        <v>869</v>
      </c>
    </row>
    <row r="6" spans="1:23">
      <c r="A6" s="8" t="s">
        <v>99</v>
      </c>
      <c r="B6" s="1132" t="s">
        <v>1631</v>
      </c>
      <c r="C6" s="1491" t="s">
        <v>1704</v>
      </c>
      <c r="F6" s="9" t="s">
        <v>71</v>
      </c>
      <c r="H6" s="9" t="s">
        <v>72</v>
      </c>
      <c r="I6" s="9" t="s">
        <v>100</v>
      </c>
      <c r="K6" s="9" t="s">
        <v>101</v>
      </c>
      <c r="L6" s="9" t="s">
        <v>101</v>
      </c>
      <c r="M6" s="9" t="s">
        <v>101</v>
      </c>
      <c r="N6" s="9" t="s">
        <v>101</v>
      </c>
      <c r="O6" s="9" t="s">
        <v>101</v>
      </c>
      <c r="P6" s="993" t="s">
        <v>872</v>
      </c>
      <c r="Q6" s="9" t="s">
        <v>101</v>
      </c>
      <c r="R6" s="993" t="s">
        <v>2524</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2915</v>
      </c>
      <c r="C18" s="1492"/>
    </row>
    <row r="19" spans="1:3">
      <c r="A19" s="8" t="s">
        <v>120</v>
      </c>
      <c r="B19" s="2792" t="s">
        <v>2922</v>
      </c>
      <c r="C19" s="1492"/>
    </row>
    <row r="20" spans="1:3">
      <c r="A20" s="8" t="s">
        <v>121</v>
      </c>
      <c r="B20" s="2792" t="s">
        <v>2968</v>
      </c>
      <c r="C20" s="1492"/>
    </row>
    <row r="21" spans="1:3">
      <c r="A21" s="8" t="s">
        <v>122</v>
      </c>
      <c r="B21" s="2792" t="s">
        <v>3092</v>
      </c>
      <c r="C21" s="1492"/>
    </row>
    <row r="22" spans="1:3">
      <c r="A22" s="8" t="s">
        <v>123</v>
      </c>
      <c r="B22" s="2792" t="s">
        <v>3094</v>
      </c>
      <c r="C22" s="1492"/>
    </row>
    <row r="23" spans="1:3">
      <c r="A23" s="8" t="s">
        <v>124</v>
      </c>
      <c r="B23" s="2792" t="s">
        <v>3096</v>
      </c>
      <c r="C23" s="1492"/>
    </row>
    <row r="24" spans="1:3">
      <c r="A24" s="8" t="s">
        <v>12</v>
      </c>
      <c r="B24" s="2792" t="s">
        <v>3098</v>
      </c>
      <c r="C24" s="1492"/>
    </row>
    <row r="25" spans="1:3">
      <c r="A25" s="8" t="s">
        <v>125</v>
      </c>
      <c r="B25" s="2792" t="s">
        <v>3115</v>
      </c>
      <c r="C25" s="1492"/>
    </row>
    <row r="26" spans="1:3">
      <c r="A26" s="8" t="s">
        <v>126</v>
      </c>
      <c r="B26" s="2792" t="s">
        <v>3117</v>
      </c>
      <c r="C26" s="1492"/>
    </row>
    <row r="27" spans="1:3">
      <c r="A27" s="8" t="s">
        <v>1632</v>
      </c>
      <c r="B27" s="2792" t="s">
        <v>3119</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世纪城市房地产开发有限公司拟使用北京市朝阳区关东店北京世纪城市南地块1#、2#公寓及会所一宗住宅（公寓）、商业用地及关东店北京世纪城市南地块办公楼及裙房商业一宗商业、办公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64"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23日，在规划利用条件下、设定土地开发程度为红线外“七通”、宗地内场地平整，设定用途为住宅（公寓）、商业、办公、地下车库、地下仓储，剩余土地使用年限为的出让国有建设用地使用权价格。</v>
      </c>
      <c r="D53" s="1685"/>
      <c r="E53" s="1685"/>
    </row>
    <row r="54" spans="1:5">
      <c r="A54" s="3364"/>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64"/>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64"/>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64"/>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2036</v>
      </c>
      <c r="B58" s="1684" t="s">
        <v>2037</v>
      </c>
      <c r="C58" s="11" t="s">
        <v>2038</v>
      </c>
      <c r="D58" s="1273"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159</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比较法-住宅、综合</vt:lpstr>
      <vt:lpstr>剩余法-现房</vt:lpstr>
      <vt:lpstr>基准地价（汇总）</vt:lpstr>
      <vt:lpstr>比较法-工业</vt:lpstr>
      <vt:lpstr>基准地价住宅</vt:lpstr>
      <vt:lpstr>基准地价商业</vt:lpstr>
      <vt:lpstr>修正</vt:lpstr>
      <vt:lpstr>区片价</vt:lpstr>
      <vt:lpstr>容积率修正</vt:lpstr>
      <vt:lpstr>因素修正幅度</vt:lpstr>
      <vt:lpstr>基准地价办公</vt:lpstr>
      <vt:lpstr>地价</vt:lpstr>
      <vt:lpstr>收益还原法</vt:lpstr>
      <vt:lpstr>酒店收入计算</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不动产收益法办公</vt:lpstr>
      <vt:lpstr>不动产收益法车库</vt:lpstr>
      <vt:lpstr>不动产收益法仓储</vt:lpstr>
      <vt:lpstr>不动产收益法商业</vt:lpstr>
      <vt:lpstr>土地案例</vt:lpstr>
      <vt:lpstr>公寓销售情况</vt:lpstr>
      <vt:lpstr>住宅案例</vt:lpstr>
      <vt:lpstr>车位案例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2020-10-27T09:27:07Z</dcterms:modified>
</cp:coreProperties>
</file>