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大宗案例" sheetId="82" r:id="rId15"/>
    <sheet name="Sheet1" sheetId="81" r:id="rId16"/>
    <sheet name="数据-取费表" sheetId="1" r:id="rId17"/>
    <sheet name="估价对象房地状况" sheetId="20" r:id="rId18"/>
    <sheet name="系统读取表" sheetId="74" r:id="rId19"/>
    <sheet name="结果表" sheetId="9" r:id="rId20"/>
    <sheet name="比较法-办公" sheetId="34" r:id="rId21"/>
    <sheet name="收益法" sheetId="15" r:id="rId22"/>
    <sheet name="收益法(2)" sheetId="83" r:id="rId23"/>
    <sheet name="收益法(车位)" sheetId="80" r:id="rId24"/>
    <sheet name="收益法（汇总）" sheetId="70" r:id="rId25"/>
    <sheet name="成本法" sheetId="68" r:id="rId26"/>
    <sheet name="基准地价修正" sheetId="43" r:id="rId27"/>
    <sheet name="成本法 (元)" sheetId="69" state="hidden" r:id="rId28"/>
    <sheet name="假设开发法" sheetId="12" state="hidden" r:id="rId29"/>
    <sheet name="收益法 (元)" sheetId="67" state="hidden" r:id="rId30"/>
    <sheet name="收益法-酒店模型" sheetId="77"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7">'成本法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19">结果表!$A$1:$I$127</definedName>
    <definedName name="_xlnm.Print_Area" localSheetId="21">收益法!$A$1:$F$43,收益法!$H$3:$M$29,收益法!$A$46:$F$71,收益法!$I$46:$N$65</definedName>
    <definedName name="_xlnm.Print_Area" localSheetId="29">'收益法 (元)'!$A$1:$F$43,'收益法 (元)'!$H$3:$M$29,'收益法 (元)'!$A$45:$F$71,'收益法 (元)'!$I$46:$N$65</definedName>
    <definedName name="_xlnm.Print_Area" localSheetId="22">'收益法(2)'!$A$1:$F$43,'收益法(2)'!$H$3:$M$29,'收益法(2)'!$A$46:$F$71,'收益法(2)'!$I$46:$N$65</definedName>
    <definedName name="_xlnm.Print_Area" localSheetId="23">'收益法(车位)'!$A$1:$F$43,'收益法(车位)'!$H$3:$M$29,'收益法(车位)'!$A$46:$F$71,'收益法(车位)'!$I$46:$N$65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9" i="81" l="1"/>
  <c r="J28" i="81"/>
  <c r="J27" i="81"/>
  <c r="E28" i="81"/>
  <c r="E27" i="81"/>
  <c r="AL8" i="1"/>
  <c r="AL7" i="1"/>
  <c r="Q7" i="1"/>
  <c r="AD8" i="1"/>
  <c r="E35" i="81"/>
  <c r="E42" i="81" s="1"/>
  <c r="E34" i="81"/>
  <c r="E41" i="81" s="1"/>
  <c r="F34" i="81"/>
  <c r="F28" i="81"/>
  <c r="F27" i="81"/>
  <c r="D29" i="81"/>
  <c r="E49" i="81" l="1"/>
  <c r="F49" i="81" s="1"/>
  <c r="F42" i="81"/>
  <c r="F35" i="81"/>
  <c r="F36" i="81" s="1"/>
  <c r="F29" i="81"/>
  <c r="F33" i="81"/>
  <c r="F31" i="81"/>
  <c r="E29" i="81"/>
  <c r="E33" i="81" s="1"/>
  <c r="F32" i="81"/>
  <c r="F30" i="81"/>
  <c r="F56" i="81" s="1"/>
  <c r="F41" i="81"/>
  <c r="F43" i="81" s="1"/>
  <c r="E48" i="81"/>
  <c r="F48" i="81" s="1"/>
  <c r="F50" i="81" s="1"/>
  <c r="E32" i="81"/>
  <c r="C14" i="74"/>
  <c r="B14" i="74"/>
  <c r="Z18" i="1"/>
  <c r="U8" i="1"/>
  <c r="G37" i="34"/>
  <c r="E37" i="34"/>
  <c r="I37" i="34"/>
  <c r="F71" i="34"/>
  <c r="E71" i="34"/>
  <c r="D71" i="34"/>
  <c r="C71" i="34"/>
  <c r="G36" i="6"/>
  <c r="D3" i="34"/>
  <c r="E18" i="81"/>
  <c r="E17" i="81"/>
  <c r="E16" i="81"/>
  <c r="C16" i="81"/>
  <c r="C19" i="81" s="1"/>
  <c r="C22" i="81"/>
  <c r="C23" i="81"/>
  <c r="G35" i="6"/>
  <c r="N6" i="1"/>
  <c r="AF8" i="1"/>
  <c r="Y8" i="1"/>
  <c r="N8" i="1"/>
  <c r="P74" i="83"/>
  <c r="Q72" i="83"/>
  <c r="Q59" i="83"/>
  <c r="K59" i="83"/>
  <c r="P61" i="83" s="1"/>
  <c r="F59" i="83"/>
  <c r="Q58" i="83"/>
  <c r="Q51" i="83"/>
  <c r="J51" i="83"/>
  <c r="J50" i="83"/>
  <c r="M47" i="83"/>
  <c r="D46" i="83"/>
  <c r="F34" i="83"/>
  <c r="F62" i="83" s="1"/>
  <c r="F33" i="83"/>
  <c r="F61" i="83" s="1"/>
  <c r="F32" i="83"/>
  <c r="F60" i="83" s="1"/>
  <c r="F31" i="83"/>
  <c r="F28" i="83"/>
  <c r="C28" i="83"/>
  <c r="F23" i="83"/>
  <c r="D24" i="83" s="1"/>
  <c r="D22" i="83"/>
  <c r="F21" i="83"/>
  <c r="M20" i="83"/>
  <c r="F20" i="83"/>
  <c r="M19" i="83"/>
  <c r="M18" i="83"/>
  <c r="F18" i="83"/>
  <c r="M17" i="83"/>
  <c r="F17" i="83"/>
  <c r="F15" i="83"/>
  <c r="G1" i="83"/>
  <c r="Z6" i="1"/>
  <c r="B54" i="1"/>
  <c r="G20" i="6"/>
  <c r="F20" i="6"/>
  <c r="G21" i="6"/>
  <c r="AF6" i="1"/>
  <c r="B3" i="78"/>
  <c r="E12" i="81"/>
  <c r="E13" i="81"/>
  <c r="E11" i="81"/>
  <c r="C14" i="81"/>
  <c r="C11" i="81"/>
  <c r="D9" i="81"/>
  <c r="C9" i="81"/>
  <c r="E9" i="81"/>
  <c r="E8" i="81"/>
  <c r="E7" i="81"/>
  <c r="F9" i="83"/>
  <c r="F8" i="83"/>
  <c r="F7" i="83"/>
  <c r="C76" i="83"/>
  <c r="F39" i="81" l="1"/>
  <c r="F38" i="81"/>
  <c r="F37" i="81"/>
  <c r="E31" i="81"/>
  <c r="F53" i="81"/>
  <c r="F51" i="81"/>
  <c r="F54" i="81"/>
  <c r="F52" i="81"/>
  <c r="E50" i="81"/>
  <c r="E30" i="81"/>
  <c r="F46" i="81"/>
  <c r="F44" i="81"/>
  <c r="F47" i="81"/>
  <c r="F45" i="81"/>
  <c r="E43" i="81"/>
  <c r="E36" i="81"/>
  <c r="F40" i="81"/>
  <c r="F57" i="81" s="1"/>
  <c r="F58" i="81" s="1"/>
  <c r="E58" i="81" s="1"/>
  <c r="E19" i="81"/>
  <c r="C24" i="81"/>
  <c r="E14" i="81"/>
  <c r="Q71" i="83"/>
  <c r="F51" i="83"/>
  <c r="F50" i="83"/>
  <c r="M7" i="83"/>
  <c r="D23" i="83"/>
  <c r="F6" i="83"/>
  <c r="F13" i="83"/>
  <c r="M26" i="83"/>
  <c r="F37" i="83"/>
  <c r="F40" i="83"/>
  <c r="L48" i="83"/>
  <c r="M9" i="83"/>
  <c r="F26" i="83"/>
  <c r="F38" i="83"/>
  <c r="F42" i="83"/>
  <c r="M8" i="83"/>
  <c r="J15" i="83"/>
  <c r="M29" i="83"/>
  <c r="M23" i="83"/>
  <c r="F43" i="83"/>
  <c r="M6" i="83"/>
  <c r="F16" i="83"/>
  <c r="F36" i="83"/>
  <c r="M28" i="83"/>
  <c r="L47" i="83"/>
  <c r="E53" i="81" l="1"/>
  <c r="E51" i="81"/>
  <c r="E54" i="81"/>
  <c r="E52" i="81"/>
  <c r="E40" i="81"/>
  <c r="E38" i="81"/>
  <c r="E39" i="81"/>
  <c r="E37" i="81"/>
  <c r="E46" i="81"/>
  <c r="E44" i="81"/>
  <c r="E47" i="81"/>
  <c r="E45" i="81"/>
  <c r="D19" i="81"/>
  <c r="D24" i="81"/>
  <c r="D14" i="81"/>
  <c r="N59" i="83"/>
  <c r="L59" i="83"/>
  <c r="L58" i="83"/>
  <c r="M59" i="83"/>
  <c r="F66" i="83"/>
  <c r="F64" i="83"/>
  <c r="C27" i="83"/>
  <c r="J6" i="83"/>
  <c r="L57" i="83"/>
  <c r="L56" i="83"/>
  <c r="J53" i="83"/>
  <c r="J57" i="83"/>
  <c r="J55" i="83" s="1"/>
  <c r="J58" i="83" s="1"/>
  <c r="Q50" i="83" s="1"/>
  <c r="I54" i="83"/>
  <c r="L60" i="83"/>
  <c r="F71" i="83"/>
  <c r="F68" i="83"/>
  <c r="F65" i="83"/>
  <c r="C6" i="83"/>
  <c r="C49" i="83"/>
  <c r="C17" i="83"/>
  <c r="C16" i="83"/>
  <c r="C33" i="83" l="1"/>
  <c r="C32" i="83"/>
  <c r="Q66" i="83"/>
  <c r="Q57" i="83"/>
  <c r="Q52" i="83"/>
  <c r="F1" i="83"/>
  <c r="Q60" i="83"/>
  <c r="Q73" i="83"/>
  <c r="C61" i="83"/>
  <c r="J18" i="83"/>
  <c r="J19" i="83"/>
  <c r="Q61" i="83"/>
  <c r="Q74" i="83"/>
  <c r="C34" i="34" l="1"/>
  <c r="G32" i="82"/>
  <c r="F32" i="82"/>
  <c r="H32" i="82" l="1"/>
  <c r="K7" i="81"/>
  <c r="K3" i="81"/>
  <c r="D4" i="81"/>
  <c r="E4" i="81"/>
  <c r="E3" i="81"/>
  <c r="E2" i="81"/>
  <c r="C4" i="81"/>
  <c r="C3" i="81"/>
  <c r="N14" i="1"/>
  <c r="K19" i="81" l="1"/>
  <c r="C37" i="34" l="1"/>
  <c r="L7" i="1" l="1"/>
  <c r="P74" i="80"/>
  <c r="Q72" i="80"/>
  <c r="Q59" i="80"/>
  <c r="K59" i="80"/>
  <c r="P61" i="80" s="1"/>
  <c r="F59" i="80"/>
  <c r="Q58" i="80"/>
  <c r="Q51" i="80"/>
  <c r="J51" i="80"/>
  <c r="J50" i="80"/>
  <c r="M47" i="80"/>
  <c r="D46" i="80"/>
  <c r="F33" i="80"/>
  <c r="F61" i="80" s="1"/>
  <c r="F32" i="80"/>
  <c r="F60" i="80" s="1"/>
  <c r="F31" i="80"/>
  <c r="F28" i="80"/>
  <c r="F23" i="80"/>
  <c r="D24" i="80" s="1"/>
  <c r="D23" i="80"/>
  <c r="D22" i="80"/>
  <c r="F21" i="80"/>
  <c r="F20" i="80"/>
  <c r="M19" i="80"/>
  <c r="M18" i="80"/>
  <c r="F18" i="80"/>
  <c r="M17" i="80"/>
  <c r="F17" i="80"/>
  <c r="F15" i="80"/>
  <c r="M13" i="3"/>
  <c r="Y6" i="1"/>
  <c r="D42" i="43"/>
  <c r="N7" i="1"/>
  <c r="Y7" i="1" s="1"/>
  <c r="B55" i="1"/>
  <c r="B21" i="1"/>
  <c r="E9" i="1" l="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G1" i="80"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s="1"/>
  <c r="Q10" i="34"/>
  <c r="Z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H23" i="34"/>
  <c r="U23" i="34" s="1"/>
  <c r="J23" i="34"/>
  <c r="AC23" i="34" s="1"/>
  <c r="F19" i="34"/>
  <c r="S19" i="34" s="1"/>
  <c r="H17" i="34"/>
  <c r="U17"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s="1"/>
  <c r="I114" i="34" s="1"/>
  <c r="J114" i="34" s="1"/>
  <c r="K114" i="34" s="1"/>
  <c r="L114" i="34" s="1"/>
  <c r="M114" i="34" s="1"/>
  <c r="H38" i="34"/>
  <c r="AB38" i="34"/>
  <c r="J36" i="34"/>
  <c r="W36" i="34" s="1"/>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A33" i="34"/>
  <c r="U43" i="34"/>
  <c r="W41" i="34"/>
  <c r="AC42" i="34"/>
  <c r="U39" i="34"/>
  <c r="AB41" i="34"/>
  <c r="AA45" i="34"/>
  <c r="AA29" i="34"/>
  <c r="S23"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C14" i="34"/>
  <c r="AC32" i="34"/>
  <c r="AC29" i="34"/>
  <c r="W29" i="34"/>
  <c r="W46" i="34"/>
  <c r="AC46" i="34"/>
  <c r="S32" i="34"/>
  <c r="AA32" i="34"/>
  <c r="U30" i="34"/>
  <c r="AB30" i="34"/>
  <c r="U38" i="34"/>
  <c r="AC40" i="34"/>
  <c r="W40" i="34"/>
  <c r="AA19" i="34"/>
  <c r="S36" i="34"/>
  <c r="AA8" i="34"/>
  <c r="S8" i="34"/>
  <c r="U9"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G50" i="43" s="1"/>
  <c r="K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80"/>
  <c r="F43" i="15"/>
  <c r="D3" i="73"/>
  <c r="C76" i="15"/>
  <c r="F3" i="73"/>
  <c r="M6" i="67"/>
  <c r="M26" i="15"/>
  <c r="M9" i="15"/>
  <c r="L47" i="67"/>
  <c r="F26" i="15"/>
  <c r="M9" i="67"/>
  <c r="F37" i="15"/>
  <c r="B12" i="76"/>
  <c r="D6" i="73"/>
  <c r="E8" i="76"/>
  <c r="E9" i="76"/>
  <c r="F16" i="67"/>
  <c r="M9" i="80"/>
  <c r="F6" i="80"/>
  <c r="M26" i="80"/>
  <c r="F38" i="80"/>
  <c r="M29" i="80"/>
  <c r="M22" i="80"/>
  <c r="L47" i="80"/>
  <c r="F13" i="80"/>
  <c r="F37" i="80"/>
  <c r="F42" i="80"/>
  <c r="F7" i="80"/>
  <c r="F9" i="80"/>
  <c r="E11" i="76"/>
  <c r="F6" i="67"/>
  <c r="M6" i="15"/>
  <c r="J15" i="15"/>
  <c r="B11" i="76"/>
  <c r="F37" i="67"/>
  <c r="E13" i="76"/>
  <c r="F8" i="15"/>
  <c r="F40" i="15"/>
  <c r="F6" i="15"/>
  <c r="L47" i="15"/>
  <c r="M28" i="67"/>
  <c r="J15" i="67"/>
  <c r="M29" i="15"/>
  <c r="D5" i="73"/>
  <c r="F8" i="67"/>
  <c r="F7" i="67"/>
  <c r="M24" i="67"/>
  <c r="D7" i="73"/>
  <c r="F4" i="73"/>
  <c r="M26" i="67"/>
  <c r="F5" i="73"/>
  <c r="E2" i="68"/>
  <c r="M8" i="15"/>
  <c r="C76" i="67"/>
  <c r="E7" i="76"/>
  <c r="L48" i="15"/>
  <c r="F9" i="15"/>
  <c r="L48" i="67"/>
  <c r="F13" i="67"/>
  <c r="F26" i="67"/>
  <c r="M23" i="15"/>
  <c r="F36" i="67"/>
  <c r="F38" i="15"/>
  <c r="B10" i="76"/>
  <c r="F9" i="67"/>
  <c r="F7" i="73"/>
  <c r="F20" i="31"/>
  <c r="E2" i="69"/>
  <c r="F40" i="80"/>
  <c r="F26" i="80"/>
  <c r="M24" i="80"/>
  <c r="M6" i="80"/>
  <c r="J15" i="80"/>
  <c r="M28" i="80"/>
  <c r="M23" i="80"/>
  <c r="F36" i="80"/>
  <c r="F16" i="80"/>
  <c r="M8" i="80"/>
  <c r="C76" i="80"/>
  <c r="F8" i="80"/>
  <c r="F40" i="67"/>
  <c r="F42" i="67"/>
  <c r="F42" i="15"/>
  <c r="M23" i="67"/>
  <c r="E12" i="76"/>
  <c r="M8" i="67"/>
  <c r="F36" i="15"/>
  <c r="F13" i="15"/>
  <c r="F43" i="67"/>
  <c r="E10" i="76"/>
  <c r="B13" i="76"/>
  <c r="M28" i="15"/>
  <c r="M22" i="67"/>
  <c r="B8" i="76"/>
  <c r="F16" i="15"/>
  <c r="B9" i="76"/>
  <c r="F6" i="73"/>
  <c r="F38" i="67"/>
  <c r="AO13" i="1"/>
  <c r="D4" i="73"/>
  <c r="F7" i="15"/>
  <c r="B7" i="76"/>
  <c r="M29" i="67"/>
  <c r="AC27" i="34" l="1"/>
  <c r="W27" i="34"/>
  <c r="AB13" i="34"/>
  <c r="AA12" i="34"/>
  <c r="M20" i="15"/>
  <c r="M20" i="80"/>
  <c r="F34" i="80"/>
  <c r="F62" i="80" s="1"/>
  <c r="F51" i="80"/>
  <c r="Q71" i="80"/>
  <c r="F50" i="80"/>
  <c r="M7" i="80"/>
  <c r="F65" i="80"/>
  <c r="F71" i="80"/>
  <c r="F64" i="80"/>
  <c r="N59" i="80"/>
  <c r="M59" i="80"/>
  <c r="L59" i="80"/>
  <c r="F66" i="80"/>
  <c r="J6" i="80"/>
  <c r="J18" i="80" s="1"/>
  <c r="C6" i="80"/>
  <c r="C32" i="80" s="1"/>
  <c r="C27" i="80"/>
  <c r="F68" i="80"/>
  <c r="G6" i="1"/>
  <c r="F11" i="1"/>
  <c r="G11" i="1" s="1"/>
  <c r="G44" i="43"/>
  <c r="C28" i="80"/>
  <c r="F7" i="1"/>
  <c r="I24" i="43" s="1"/>
  <c r="C24" i="43" s="1"/>
  <c r="C10" i="34"/>
  <c r="J50" i="43"/>
  <c r="D50" i="43"/>
  <c r="N54" i="43"/>
  <c r="D54" i="43"/>
  <c r="M50" i="43"/>
  <c r="N50" i="43" s="1"/>
  <c r="K54" i="43"/>
  <c r="J54" i="43" s="1"/>
  <c r="AA41" i="34"/>
  <c r="U27" i="34"/>
  <c r="U28" i="34"/>
  <c r="S28" i="34"/>
  <c r="W47" i="34"/>
  <c r="U44" i="34"/>
  <c r="S44" i="34"/>
  <c r="G112" i="34"/>
  <c r="H112" i="34" s="1"/>
  <c r="I112" i="34" s="1"/>
  <c r="J112" i="34" s="1"/>
  <c r="K112" i="34" s="1"/>
  <c r="L112" i="34" s="1"/>
  <c r="M112" i="34" s="1"/>
  <c r="F37" i="34"/>
  <c r="H37" i="34"/>
  <c r="U37" i="34" s="1"/>
  <c r="J37" i="34"/>
  <c r="AC37" i="34" s="1"/>
  <c r="AB36" i="34"/>
  <c r="AC36" i="34"/>
  <c r="AB35" i="34"/>
  <c r="S43" i="34"/>
  <c r="AC39" i="34"/>
  <c r="AA39" i="34"/>
  <c r="S35" i="34"/>
  <c r="W33" i="34"/>
  <c r="AB33" i="34"/>
  <c r="F25" i="34"/>
  <c r="S25" i="34" s="1"/>
  <c r="H25" i="34"/>
  <c r="G88" i="34"/>
  <c r="H88" i="34" s="1"/>
  <c r="I88" i="34" s="1"/>
  <c r="J88" i="34" s="1"/>
  <c r="K88" i="34" s="1"/>
  <c r="L88" i="34" s="1"/>
  <c r="M88" i="34" s="1"/>
  <c r="J25" i="34"/>
  <c r="AC25" i="34" s="1"/>
  <c r="AA25" i="34"/>
  <c r="W25" i="34"/>
  <c r="AB23" i="34"/>
  <c r="U21" i="34"/>
  <c r="S21" i="34"/>
  <c r="U19" i="34"/>
  <c r="AB17" i="34"/>
  <c r="S17" i="34"/>
  <c r="W17" i="34"/>
  <c r="F78" i="34"/>
  <c r="G78" i="34" s="1"/>
  <c r="J15" i="34"/>
  <c r="F15" i="34"/>
  <c r="H15" i="34"/>
  <c r="AB8" i="34"/>
  <c r="O7" i="1"/>
  <c r="P7" i="1" s="1"/>
  <c r="C28" i="67"/>
  <c r="C21" i="68"/>
  <c r="C40" i="69"/>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80"/>
  <c r="L48" i="80"/>
  <c r="C16" i="67"/>
  <c r="C16" i="15"/>
  <c r="G1" i="73"/>
  <c r="AB37" i="34" l="1"/>
  <c r="C33" i="80"/>
  <c r="J19" i="80"/>
  <c r="M11" i="83"/>
  <c r="J10" i="83" s="1"/>
  <c r="J5" i="83" s="1"/>
  <c r="F11" i="83"/>
  <c r="Q74" i="80"/>
  <c r="Q61" i="80"/>
  <c r="C49" i="80"/>
  <c r="C61" i="80" s="1"/>
  <c r="L56" i="80"/>
  <c r="L57" i="80"/>
  <c r="L60" i="80"/>
  <c r="J53" i="80"/>
  <c r="L58" i="80"/>
  <c r="I54" i="80"/>
  <c r="J57" i="80"/>
  <c r="J55" i="80" s="1"/>
  <c r="J58" i="80" s="1"/>
  <c r="Q50" i="80" s="1"/>
  <c r="F10" i="34"/>
  <c r="H10" i="34"/>
  <c r="J10" i="34"/>
  <c r="G7" i="1"/>
  <c r="G16" i="1" s="1"/>
  <c r="F10" i="39" s="1"/>
  <c r="S10" i="39" s="1"/>
  <c r="W37" i="34"/>
  <c r="K55" i="43"/>
  <c r="M55" i="43"/>
  <c r="N55" i="43" s="1"/>
  <c r="K53" i="43"/>
  <c r="M53" i="43"/>
  <c r="N53" i="43" s="1"/>
  <c r="K52" i="43"/>
  <c r="M52" i="43"/>
  <c r="N52" i="43" s="1"/>
  <c r="M56" i="43"/>
  <c r="N56" i="43" s="1"/>
  <c r="K56" i="43"/>
  <c r="K58" i="43"/>
  <c r="M58" i="43"/>
  <c r="N58" i="43" s="1"/>
  <c r="M57" i="43"/>
  <c r="N57" i="43" s="1"/>
  <c r="K57" i="43"/>
  <c r="J57" i="43" s="1"/>
  <c r="D57" i="43" s="1"/>
  <c r="M51" i="43"/>
  <c r="N51" i="43" s="1"/>
  <c r="K51" i="43"/>
  <c r="AA37" i="34"/>
  <c r="S37" i="34"/>
  <c r="AB25" i="34"/>
  <c r="U25" i="34"/>
  <c r="AB15" i="34"/>
  <c r="U15" i="34"/>
  <c r="AC15" i="34"/>
  <c r="W15" i="34"/>
  <c r="S15" i="34"/>
  <c r="AA15" i="34"/>
  <c r="F11" i="80"/>
  <c r="M11" i="80"/>
  <c r="J10" i="80" s="1"/>
  <c r="J5" i="80" s="1"/>
  <c r="D18" i="53"/>
  <c r="B35" i="72" s="1"/>
  <c r="C7" i="74"/>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F41" i="67"/>
  <c r="AE6" i="1"/>
  <c r="C24" i="83" l="1"/>
  <c r="C53" i="83"/>
  <c r="C48" i="83" s="1"/>
  <c r="C10" i="83"/>
  <c r="C5" i="83" s="1"/>
  <c r="J24" i="83"/>
  <c r="D33" i="43"/>
  <c r="D1" i="43" s="1"/>
  <c r="H10" i="40"/>
  <c r="AB10" i="40" s="1"/>
  <c r="AA10" i="39"/>
  <c r="F10" i="40"/>
  <c r="S10" i="40" s="1"/>
  <c r="J10" i="39"/>
  <c r="W10" i="39" s="1"/>
  <c r="H10" i="39"/>
  <c r="U10" i="39" s="1"/>
  <c r="AB10" i="34"/>
  <c r="U10" i="34"/>
  <c r="Q60" i="80"/>
  <c r="Q73" i="80"/>
  <c r="Q66" i="80"/>
  <c r="Q57" i="80"/>
  <c r="AC10" i="34"/>
  <c r="W10" i="34"/>
  <c r="AA10" i="34"/>
  <c r="S10" i="34"/>
  <c r="F1" i="80"/>
  <c r="Q52" i="80"/>
  <c r="J51" i="43"/>
  <c r="D51" i="43"/>
  <c r="J56" i="43"/>
  <c r="D56" i="43"/>
  <c r="J58" i="43"/>
  <c r="D58" i="43"/>
  <c r="J52" i="43"/>
  <c r="D52" i="43"/>
  <c r="D53" i="43"/>
  <c r="J53" i="43"/>
  <c r="J55" i="43"/>
  <c r="D55" i="43"/>
  <c r="T49" i="34"/>
  <c r="G49" i="34" s="1"/>
  <c r="G53" i="34" s="1"/>
  <c r="H53" i="34" s="1"/>
  <c r="J24" i="80"/>
  <c r="L36" i="43"/>
  <c r="L37" i="43" s="1"/>
  <c r="F24" i="80"/>
  <c r="C53" i="80"/>
  <c r="C48" i="80" s="1"/>
  <c r="C10" i="80"/>
  <c r="C5" i="80" s="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12" i="1"/>
  <c r="AG7" i="1"/>
  <c r="AG6" i="1"/>
  <c r="F69" i="67"/>
  <c r="C47" i="11"/>
  <c r="D45" i="11" s="1"/>
  <c r="E6" i="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3"/>
  <c r="M27" i="67"/>
  <c r="F41" i="80"/>
  <c r="AE8" i="1"/>
  <c r="AE7" i="1"/>
  <c r="F41" i="15"/>
  <c r="M27" i="15"/>
  <c r="R49" i="34" l="1"/>
  <c r="E49" i="34" s="1"/>
  <c r="E54" i="34" s="1"/>
  <c r="F54" i="34" s="1"/>
  <c r="V49" i="34"/>
  <c r="I49" i="34" s="1"/>
  <c r="I53" i="34" s="1"/>
  <c r="J53" i="34" s="1"/>
  <c r="AG8" i="1"/>
  <c r="AC10" i="39"/>
  <c r="C38" i="83"/>
  <c r="C66" i="83"/>
  <c r="C60" i="83"/>
  <c r="S8" i="1"/>
  <c r="E8" i="70" s="1"/>
  <c r="D116" i="43"/>
  <c r="E50" i="43"/>
  <c r="B48" i="43" s="1"/>
  <c r="C28" i="43" s="1"/>
  <c r="G54" i="34"/>
  <c r="H54" i="34" s="1"/>
  <c r="F69" i="80"/>
  <c r="Q36" i="43"/>
  <c r="M36" i="43"/>
  <c r="P36" i="43"/>
  <c r="O36" i="43"/>
  <c r="N36" i="43"/>
  <c r="C38" i="80"/>
  <c r="C24" i="80"/>
  <c r="C66" i="80"/>
  <c r="C60" i="80"/>
  <c r="P37" i="43"/>
  <c r="M37" i="43"/>
  <c r="Q37" i="43"/>
  <c r="O37" i="43"/>
  <c r="N37" i="43"/>
  <c r="M21" i="6"/>
  <c r="I21" i="6" s="1"/>
  <c r="S21" i="6" s="1"/>
  <c r="E6" i="70"/>
  <c r="F69" i="15"/>
  <c r="M24" i="6"/>
  <c r="I24" i="6" s="1"/>
  <c r="S24" i="6" s="1"/>
  <c r="S11" i="1"/>
  <c r="E11" i="70" s="1"/>
  <c r="M22" i="6"/>
  <c r="I22" i="6" s="1"/>
  <c r="S22" i="6" s="1"/>
  <c r="S9" i="1"/>
  <c r="AQ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F41" i="83"/>
  <c r="C14" i="83"/>
  <c r="C17" i="67"/>
  <c r="C14" i="67"/>
  <c r="C17" i="15"/>
  <c r="M27" i="80"/>
  <c r="C17" i="80"/>
  <c r="I54" i="34" l="1"/>
  <c r="J54" i="34" s="1"/>
  <c r="E53" i="34"/>
  <c r="F53" i="34" s="1"/>
  <c r="F69" i="83"/>
  <c r="R50" i="34"/>
  <c r="C49" i="34" s="1"/>
  <c r="C15" i="83"/>
  <c r="C18" i="83"/>
  <c r="H25" i="6"/>
  <c r="T8" i="1"/>
  <c r="E7" i="70"/>
  <c r="T15" i="43"/>
  <c r="V15" i="43" s="1"/>
  <c r="T11" i="43"/>
  <c r="V11" i="43" s="1"/>
  <c r="T7" i="43"/>
  <c r="V7" i="43" s="1"/>
  <c r="T14" i="43"/>
  <c r="V14" i="43" s="1"/>
  <c r="T10" i="43"/>
  <c r="V10" i="43" s="1"/>
  <c r="T4" i="43"/>
  <c r="V4" i="43" s="1"/>
  <c r="T2" i="43"/>
  <c r="V2" i="43" s="1"/>
  <c r="T5" i="43"/>
  <c r="V5" i="43" s="1"/>
  <c r="C40" i="43"/>
  <c r="C41" i="43"/>
  <c r="T13" i="43"/>
  <c r="V13" i="43" s="1"/>
  <c r="T9" i="43"/>
  <c r="V9" i="43" s="1"/>
  <c r="T16" i="43"/>
  <c r="V16" i="43" s="1"/>
  <c r="T12" i="43"/>
  <c r="V12" i="43" s="1"/>
  <c r="T8" i="43"/>
  <c r="V8" i="43" s="1"/>
  <c r="T3" i="43"/>
  <c r="V3" i="43" s="1"/>
  <c r="T6" i="43"/>
  <c r="V6" i="43" s="1"/>
  <c r="C33" i="43"/>
  <c r="C37" i="43"/>
  <c r="C39" i="43"/>
  <c r="C38" i="43"/>
  <c r="C42" i="43"/>
  <c r="C50" i="34"/>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0"/>
  <c r="C19" i="83" l="1"/>
  <c r="C20" i="83" s="1"/>
  <c r="C26" i="83" s="1"/>
  <c r="R7" i="1"/>
  <c r="E42" i="43"/>
  <c r="G42" i="43"/>
  <c r="I42" i="43" s="1"/>
  <c r="E39" i="43"/>
  <c r="G39" i="43"/>
  <c r="I39" i="43" s="1"/>
  <c r="C34" i="43"/>
  <c r="E34" i="43" s="1"/>
  <c r="E33" i="43"/>
  <c r="E41" i="43"/>
  <c r="G41" i="43"/>
  <c r="I41" i="43" s="1"/>
  <c r="G38" i="43"/>
  <c r="I38" i="43" s="1"/>
  <c r="E38" i="43"/>
  <c r="E37" i="43"/>
  <c r="G37" i="43"/>
  <c r="I37" i="43" s="1"/>
  <c r="E40" i="43"/>
  <c r="G40" i="43"/>
  <c r="I40" i="43" s="1"/>
  <c r="C15" i="80"/>
  <c r="C18" i="8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3" i="83" l="1"/>
  <c r="C29" i="83" s="1"/>
  <c r="F7" i="21"/>
  <c r="C31" i="43"/>
  <c r="C30" i="43"/>
  <c r="C19" i="80"/>
  <c r="C20" i="80" s="1"/>
  <c r="C26" i="80"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C36" i="83" l="1"/>
  <c r="J14" i="83"/>
  <c r="J59" i="83"/>
  <c r="J60" i="83" s="1"/>
  <c r="C57" i="83"/>
  <c r="C64" i="83" s="1"/>
  <c r="Q49" i="83"/>
  <c r="C13" i="83"/>
  <c r="E2" i="76"/>
  <c r="B2" i="43"/>
  <c r="C23" i="80"/>
  <c r="C29" i="80" s="1"/>
  <c r="J59" i="80" s="1"/>
  <c r="J60" i="80"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3"/>
  <c r="F35" i="80"/>
  <c r="M21" i="67"/>
  <c r="M21" i="80"/>
  <c r="F35" i="83"/>
  <c r="B6" i="76"/>
  <c r="M21" i="15"/>
  <c r="F35" i="67"/>
  <c r="F35" i="15"/>
  <c r="Q48" i="80" l="1"/>
  <c r="L46" i="80"/>
  <c r="L46" i="83"/>
  <c r="Q48" i="83"/>
  <c r="Q70" i="83"/>
  <c r="C56" i="83"/>
  <c r="C65" i="83" s="1"/>
  <c r="C75" i="83"/>
  <c r="C37" i="83"/>
  <c r="J13" i="83"/>
  <c r="J23" i="83" s="1"/>
  <c r="J22" i="83"/>
  <c r="J20" i="83"/>
  <c r="J17" i="83" s="1"/>
  <c r="F63" i="83"/>
  <c r="C62" i="83" s="1"/>
  <c r="C59" i="83" s="1"/>
  <c r="C58" i="83" s="1"/>
  <c r="C67" i="83" s="1"/>
  <c r="C68" i="83" s="1"/>
  <c r="C34" i="83"/>
  <c r="C31" i="83" s="1"/>
  <c r="B2" i="76"/>
  <c r="B3" i="76" s="1"/>
  <c r="B3" i="43"/>
  <c r="C6" i="68"/>
  <c r="C36" i="80"/>
  <c r="Q49" i="80"/>
  <c r="C57" i="80"/>
  <c r="C64" i="80" s="1"/>
  <c r="J14" i="80"/>
  <c r="C13" i="80"/>
  <c r="J20" i="80"/>
  <c r="J17" i="80" s="1"/>
  <c r="F63" i="80"/>
  <c r="C62" i="80" s="1"/>
  <c r="C59" i="80" s="1"/>
  <c r="C34" i="80"/>
  <c r="C31"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0" i="83" l="1"/>
  <c r="C39" i="83" s="1"/>
  <c r="C40" i="83" s="1"/>
  <c r="C46" i="83" s="1"/>
  <c r="J16" i="83"/>
  <c r="J25" i="83" s="1"/>
  <c r="J26" i="83" s="1"/>
  <c r="J29" i="83" s="1"/>
  <c r="C71" i="83"/>
  <c r="C7" i="68"/>
  <c r="C5" i="68" s="1"/>
  <c r="J13" i="80"/>
  <c r="J23" i="80" s="1"/>
  <c r="J22" i="80"/>
  <c r="C75" i="80"/>
  <c r="C37" i="80"/>
  <c r="C30" i="80" s="1"/>
  <c r="C39" i="80" s="1"/>
  <c r="Q70" i="80"/>
  <c r="C56" i="80"/>
  <c r="C65" i="80" s="1"/>
  <c r="C58" i="80" s="1"/>
  <c r="C67" i="80" s="1"/>
  <c r="C68" i="80" s="1"/>
  <c r="C71"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L51" i="80"/>
  <c r="Q69" i="83" l="1"/>
  <c r="Q68" i="83" s="1"/>
  <c r="C80" i="83"/>
  <c r="C79" i="83" s="1"/>
  <c r="Q67" i="83"/>
  <c r="Q47" i="83"/>
  <c r="Q53" i="83" s="1"/>
  <c r="Q65" i="83"/>
  <c r="Q75" i="83" s="1"/>
  <c r="Q56" i="83"/>
  <c r="Q62" i="83" s="1"/>
  <c r="C43" i="83"/>
  <c r="B2" i="83"/>
  <c r="B3" i="83" s="1"/>
  <c r="C83" i="83"/>
  <c r="C82" i="83" s="1"/>
  <c r="C23" i="68"/>
  <c r="C20" i="68"/>
  <c r="J16" i="80"/>
  <c r="J25" i="80" s="1"/>
  <c r="J26" i="80" s="1"/>
  <c r="J29" i="80" s="1"/>
  <c r="Q69" i="80"/>
  <c r="Q68" i="80" s="1"/>
  <c r="C80" i="80"/>
  <c r="C79" i="80" s="1"/>
  <c r="C40" i="80"/>
  <c r="C46" i="80" s="1"/>
  <c r="Q67" i="80"/>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8" i="68" l="1"/>
  <c r="C27" i="68" s="1"/>
  <c r="C25" i="68"/>
  <c r="C22" i="68" s="1"/>
  <c r="L57" i="67"/>
  <c r="L60" i="67" s="1"/>
  <c r="L46" i="67" s="1"/>
  <c r="D2" i="67" s="1"/>
  <c r="B2" i="67" s="1"/>
  <c r="Q67" i="67"/>
  <c r="C83" i="80"/>
  <c r="C82" i="80" s="1"/>
  <c r="Q56" i="80"/>
  <c r="Q62" i="80" s="1"/>
  <c r="C43" i="80"/>
  <c r="B2" i="80"/>
  <c r="B3" i="80" s="1"/>
  <c r="Q65" i="80"/>
  <c r="Q75" i="80" s="1"/>
  <c r="Q47" i="80"/>
  <c r="Q53" i="80"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31" i="68" l="1"/>
  <c r="C52" i="68" s="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C19" i="9"/>
  <c r="AO12" i="1"/>
  <c r="AO6" i="1"/>
  <c r="B2" i="68" l="1"/>
  <c r="B3" i="68" s="1"/>
  <c r="C57" i="68"/>
  <c r="C56" i="68" s="1"/>
  <c r="C102" i="9"/>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D14" i="74" s="1"/>
  <c r="G14" i="74" s="1"/>
  <c r="B6" i="74" s="1"/>
  <c r="D6" i="74" s="1"/>
  <c r="F14" i="74" l="1"/>
  <c r="E14" i="74"/>
  <c r="B5" i="74"/>
  <c r="D5" i="74" s="1"/>
  <c r="H4" i="52"/>
  <c r="C104" i="9"/>
  <c r="H101" i="9"/>
  <c r="I118" i="9"/>
  <c r="D119" i="9"/>
  <c r="D5" i="52" s="1"/>
  <c r="B49" i="72" s="1"/>
  <c r="H119" i="9"/>
  <c r="H5" i="52" s="1"/>
  <c r="F4" i="52"/>
  <c r="B51" i="72" s="1"/>
  <c r="F119" i="9"/>
  <c r="F5" i="52" s="1"/>
  <c r="B53" i="72" s="1"/>
  <c r="C105" i="9" l="1"/>
  <c r="H102" i="9"/>
  <c r="I4" i="52"/>
  <c r="E118" i="9"/>
  <c r="E4" i="52" s="1"/>
  <c r="B48" i="72" s="1"/>
  <c r="M48" i="9"/>
  <c r="D5" i="53"/>
  <c r="D45" i="9"/>
  <c r="H107" i="9"/>
  <c r="C5" i="74" l="1"/>
  <c r="D7" i="53"/>
  <c r="B21" i="72" s="1"/>
  <c r="H108" i="9"/>
  <c r="D13" i="53"/>
  <c r="D122" i="9"/>
  <c r="M49" i="9"/>
  <c r="B20" i="72"/>
  <c r="D6" i="53"/>
  <c r="B22" i="72" s="1"/>
  <c r="D52" i="9"/>
  <c r="C93" i="9"/>
  <c r="C86" i="9" s="1"/>
  <c r="C72" i="9"/>
  <c r="D53" i="9"/>
  <c r="C78" i="9"/>
  <c r="C73" i="9" s="1"/>
  <c r="D55" i="9"/>
  <c r="M53" i="9" s="1"/>
  <c r="C85" i="9"/>
  <c r="C64" i="9"/>
  <c r="C63" i="9" s="1"/>
  <c r="C67" i="9" s="1"/>
  <c r="L64" i="9" l="1"/>
  <c r="M64" i="9" s="1"/>
  <c r="L68" i="9"/>
  <c r="M68" i="9" s="1"/>
  <c r="L65" i="9"/>
  <c r="M65" i="9" s="1"/>
  <c r="L66" i="9"/>
  <c r="M66" i="9" s="1"/>
  <c r="L63" i="9"/>
  <c r="M63" i="9" s="1"/>
  <c r="L67" i="9"/>
  <c r="M67" i="9" s="1"/>
  <c r="B30" i="72"/>
  <c r="D14" i="53"/>
  <c r="B32" i="72" s="1"/>
  <c r="D59" i="9"/>
  <c r="M55" i="9" s="1"/>
  <c r="C68" i="9"/>
  <c r="D54" i="9" s="1"/>
  <c r="C95" i="9"/>
  <c r="C79" i="9"/>
  <c r="D8" i="52"/>
  <c r="D123" i="9"/>
  <c r="D9" i="52" s="1"/>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<sst xmlns="http://schemas.openxmlformats.org/spreadsheetml/2006/main" count="9149" uniqueCount="3751">
  <si>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</si>
  <si>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</si>
  <si>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</si>
  <si>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</si>
  <si>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</si>
  <si>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</si>
  <si>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</si>
  <si>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</si>
  <si>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</si>
  <si>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</si>
  <si>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</si>
  <si>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</si>
  <si>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</si>
  <si>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</si>
  <si>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</si>
  <si>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</si>
  <si>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</si>
  <si>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</si>
  <si>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</si>
  <si>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</si>
  <si>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</si>
  <si>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</si>
  <si>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</si>
  <si>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</si>
  <si>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</si>
  <si>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</si>
  <si>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</si>
  <si>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</si>
  <si>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</si>
  <si>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</si>
  <si>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</si>
  <si>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</si>
  <si>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</si>
  <si>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</si>
  <si>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</si>
  <si>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</si>
  <si>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</si>
  <si>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</si>
  <si>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</si>
  <si>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</si>
  <si>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</si>
  <si>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</si>
  <si>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</si>
  <si>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</si>
  <si>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</si>
  <si>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</si>
  <si>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</si>
  <si>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</si>
  <si>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</si>
  <si>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</si>
  <si>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</si>
  <si>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</si>
  <si>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</si>
  <si>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</si>
  <si>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</si>
  <si>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</si>
  <si>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</si>
  <si>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</si>
  <si>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</si>
  <si>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</si>
  <si>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</si>
  <si>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</si>
  <si>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</si>
  <si>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</si>
  <si>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</si>
  <si>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</si>
  <si>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</si>
  <si>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</si>
  <si>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</si>
  <si>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</si>
  <si>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</si>
  <si>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</si>
  <si>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</si>
  <si>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</si>
  <si>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</si>
  <si>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</si>
  <si>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</si>
  <si>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</si>
  <si>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</si>
  <si>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</si>
  <si>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</si>
  <si>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</si>
  <si>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</si>
  <si>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</si>
  <si>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</si>
  <si>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</si>
  <si>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</si>
  <si>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</si>
  <si>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</si>
  <si>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</si>
  <si>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</si>
  <si>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</si>
  <si>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</si>
  <si>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</si>
  <si>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</si>
  <si>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</si>
  <si>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</si>
  <si>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</si>
  <si>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</si>
  <si>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</si>
  <si>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</si>
  <si>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</si>
  <si>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</si>
  <si>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</si>
  <si>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</si>
  <si>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</si>
  <si>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</si>
  <si>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</si>
  <si>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</si>
  <si>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</si>
  <si>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</si>
  <si>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</si>
  <si>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</si>
  <si>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</si>
  <si>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</si>
  <si>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</si>
  <si>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</si>
  <si>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</si>
  <si>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</si>
  <si>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</si>
  <si>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</si>
  <si>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</si>
  <si>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</si>
  <si>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</si>
  <si>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</si>
  <si>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</si>
  <si>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</si>
  <si>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</si>
  <si>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</si>
  <si>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</si>
  <si>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</si>
  <si>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</si>
  <si>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</si>
  <si>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</si>
  <si>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</si>
  <si>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</si>
  <si>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</si>
  <si>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</si>
  <si>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</si>
  <si>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</si>
  <si>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</si>
  <si>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</si>
  <si>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</si>
  <si>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</si>
  <si>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</si>
  <si>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</si>
  <si>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</si>
  <si>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</si>
  <si>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</si>
  <si>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</si>
  <si>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</si>
  <si>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</si>
  <si>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</si>
  <si>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</si>
  <si>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</si>
  <si>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</si>
  <si>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</si>
  <si>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</si>
  <si>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</si>
  <si>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</si>
  <si>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</si>
  <si>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</si>
  <si>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</si>
  <si>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</si>
  <si>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</si>
  <si>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</si>
  <si>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</si>
  <si>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</si>
  <si>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</si>
  <si>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</si>
  <si>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</si>
  <si>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</si>
  <si>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</si>
  <si>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</si>
  <si>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</si>
  <si>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</si>
  <si>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</si>
  <si>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</si>
  <si>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</si>
  <si>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</si>
  <si>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</si>
  <si>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</si>
  <si>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</si>
  <si>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</si>
  <si>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</si>
  <si>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</si>
  <si>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</si>
  <si>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</si>
  <si>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</si>
  <si>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</si>
  <si>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</si>
  <si>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</si>
  <si>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</si>
  <si>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</si>
  <si>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</si>
  <si>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</si>
  <si>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</si>
  <si>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</si>
  <si>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</si>
  <si>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</si>
  <si>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</si>
  <si>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</si>
  <si>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</si>
  <si>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</si>
  <si>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</si>
  <si>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</si>
  <si>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</si>
  <si>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</si>
  <si>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</si>
  <si>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</si>
  <si>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</si>
  <si>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</si>
  <si>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</si>
  <si>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</si>
  <si>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</si>
  <si>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</si>
  <si>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</si>
  <si>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</si>
  <si>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</si>
  <si>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</si>
  <si>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</si>
  <si>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</si>
  <si>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</si>
  <si>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</si>
  <si>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</si>
  <si>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</si>
  <si>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</si>
  <si>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</si>
  <si>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</si>
  <si>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</si>
  <si>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</si>
  <si>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</si>
  <si>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</si>
  <si>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</si>
  <si>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</si>
  <si>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</si>
  <si>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</si>
  <si>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</si>
  <si>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</si>
  <si>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</si>
  <si>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</si>
  <si>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</si>
  <si>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</si>
  <si>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</si>
  <si>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</si>
  <si>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</si>
  <si>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</si>
  <si>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</si>
  <si>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</si>
  <si>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</si>
  <si>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</si>
  <si>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</si>
  <si>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</si>
  <si>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</si>
  <si>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</si>
  <si>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</si>
  <si>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</si>
  <si>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</si>
  <si>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</si>
  <si>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</si>
  <si>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</si>
  <si>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</si>
  <si>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</si>
  <si>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</si>
  <si>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</si>
  <si>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</si>
  <si>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</si>
  <si>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</si>
  <si>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</si>
  <si>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</si>
  <si>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</si>
  <si>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</si>
  <si>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</si>
  <si>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</si>
  <si>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</si>
  <si>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</si>
  <si>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</si>
  <si>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</si>
  <si>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</si>
  <si>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</si>
  <si>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</si>
  <si>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</si>
  <si>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</si>
  <si>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</si>
  <si>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</si>
  <si>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</si>
  <si>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</si>
  <si>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</si>
  <si>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</si>
  <si>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</si>
  <si>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</si>
  <si>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</si>
  <si>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</si>
  <si>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</si>
  <si>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</si>
  <si>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</si>
  <si>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</si>
  <si>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</si>
  <si>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</si>
  <si>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</si>
  <si>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</si>
  <si>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</si>
  <si>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</si>
  <si>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</si>
  <si>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</si>
  <si>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</si>
  <si>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</si>
  <si>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</si>
  <si>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</si>
  <si>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</si>
  <si>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</si>
  <si>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</si>
  <si>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</si>
  <si>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</si>
  <si>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</si>
  <si>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</si>
  <si>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</si>
  <si>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</si>
  <si>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</si>
  <si>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</si>
  <si>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</si>
  <si>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</si>
  <si>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</si>
  <si>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</si>
  <si>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</si>
  <si>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</si>
  <si>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</si>
  <si>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</si>
  <si>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</si>
  <si>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</si>
  <si>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</si>
  <si>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</si>
  <si>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</si>
  <si>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</si>
  <si>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</si>
  <si>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</si>
  <si>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</si>
  <si>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</si>
  <si>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</si>
  <si>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</si>
  <si>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</si>
  <si>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</si>
  <si>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</si>
  <si>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</si>
  <si>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</si>
  <si>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</si>
  <si>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</si>
  <si>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</si>
  <si>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</si>
  <si>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</si>
  <si>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</si>
  <si>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</si>
  <si>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</si>
  <si>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</si>
  <si>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</si>
  <si>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</si>
  <si>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</si>
  <si>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</si>
  <si>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</si>
  <si>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</si>
  <si>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</si>
  <si>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</si>
  <si>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</si>
  <si>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</si>
  <si>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</si>
  <si>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</si>
  <si>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</si>
  <si>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</si>
  <si>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</si>
  <si>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</si>
  <si>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</si>
  <si>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</si>
  <si>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</si>
  <si>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</si>
  <si>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</si>
  <si>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</si>
  <si>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</si>
  <si>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</si>
  <si>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</si>
  <si>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</si>
  <si>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</si>
  <si>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</si>
  <si>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</si>
  <si>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</si>
  <si>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</si>
  <si>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</si>
  <si>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</si>
  <si>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</si>
  <si>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</si>
  <si>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</si>
  <si>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</si>
  <si>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</si>
  <si>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</si>
  <si>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</si>
  <si>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</si>
  <si>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</si>
  <si>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</si>
  <si>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</si>
  <si>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</si>
  <si>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</si>
  <si>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</si>
  <si>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</si>
  <si>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</si>
  <si>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</si>
  <si>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</si>
  <si>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</si>
  <si>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</si>
  <si>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</si>
  <si>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</si>
  <si>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</si>
  <si>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</si>
  <si>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</si>
  <si>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</si>
  <si>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</si>
  <si>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</si>
  <si>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</si>
  <si>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</si>
  <si>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</si>
  <si>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</si>
  <si>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</si>
  <si>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</si>
  <si>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</si>
  <si>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</si>
  <si>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</si>
  <si>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</si>
  <si>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</si>
  <si>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</si>
  <si>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</si>
  <si>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</si>
  <si>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</si>
  <si>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</si>
  <si>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</si>
  <si>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</si>
  <si>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</si>
  <si>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</si>
  <si>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</si>
  <si>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</si>
  <si>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</si>
  <si>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</si>
  <si>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</si>
  <si>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</si>
  <si>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</si>
  <si>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</si>
  <si>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</si>
  <si>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</si>
  <si>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</si>
  <si>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</si>
  <si>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</si>
  <si>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</si>
  <si>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</si>
  <si>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</si>
  <si>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</si>
  <si>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</si>
  <si>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</si>
  <si>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</si>
  <si>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</si>
  <si>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</si>
  <si>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</si>
  <si>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</si>
  <si>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</si>
  <si>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</si>
  <si>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</si>
  <si>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</si>
  <si>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</si>
  <si>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</si>
  <si>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</si>
  <si>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</si>
  <si>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</si>
  <si>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</si>
  <si>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</si>
  <si>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</si>
  <si>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</si>
  <si>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</si>
  <si>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</si>
  <si>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</si>
  <si>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</si>
  <si>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</si>
  <si>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</si>
  <si>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</si>
  <si>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</si>
  <si>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</si>
  <si>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</si>
  <si>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</si>
  <si>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</si>
  <si>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</si>
  <si>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</si>
  <si>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</si>
  <si>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</si>
  <si>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</si>
  <si>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</si>
  <si>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</si>
  <si>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</si>
  <si>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</si>
  <si>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</si>
  <si>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</si>
  <si>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</si>
  <si>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</si>
  <si>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</si>
  <si>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</si>
  <si>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</si>
  <si>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</si>
  <si>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</si>
  <si>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</si>
  <si>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</si>
  <si>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</si>
  <si>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</si>
  <si>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</si>
  <si>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</si>
  <si>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</si>
  <si>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</si>
  <si>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</si>
  <si>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</si>
  <si>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</si>
  <si>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</si>
  <si>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</si>
  <si>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</si>
  <si>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</si>
  <si>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</si>
  <si>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</si>
  <si>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</si>
  <si>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</si>
  <si>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</si>
  <si>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</si>
  <si>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</si>
  <si>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</si>
  <si>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</si>
  <si>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</si>
  <si>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</si>
  <si>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</si>
  <si>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</si>
  <si>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</si>
  <si>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</si>
  <si>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</si>
  <si>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</si>
  <si>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</si>
  <si>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</si>
  <si>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</si>
  <si>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</si>
  <si>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</si>
  <si>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</si>
  <si>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</si>
  <si>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</si>
  <si>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</si>
  <si>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</si>
  <si>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</si>
  <si>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</si>
  <si>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</si>
  <si>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</si>
  <si>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</si>
  <si>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</si>
  <si>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</si>
  <si>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</si>
  <si>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</si>
  <si>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</si>
  <si>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</si>
  <si>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</si>
  <si>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</si>
  <si>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</si>
  <si>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</si>
  <si>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</si>
  <si>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</si>
  <si>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</si>
  <si>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</si>
  <si>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</si>
  <si>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</si>
  <si>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</si>
  <si>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</si>
  <si>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</si>
  <si>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</si>
  <si>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</si>
  <si>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</si>
  <si>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</si>
  <si>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</si>
  <si>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</si>
  <si>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</si>
  <si>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</si>
  <si>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</si>
  <si>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</si>
  <si>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</si>
  <si>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</si>
  <si>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</si>
  <si>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</si>
  <si>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</si>
  <si>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</si>
  <si>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</si>
  <si>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</si>
  <si>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</si>
  <si>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</si>
  <si>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</si>
  <si>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</si>
  <si>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</si>
  <si>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</si>
  <si>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</si>
  <si>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</si>
  <si>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</si>
  <si>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</si>
  <si>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</si>
  <si>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</si>
  <si>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</si>
  <si>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</si>
  <si>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</si>
  <si>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</si>
  <si>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</si>
  <si>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</si>
  <si>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</si>
  <si>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</si>
  <si>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</si>
  <si>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</si>
  <si>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</si>
  <si>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</si>
  <si>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</si>
  <si>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</si>
  <si>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</si>
  <si>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</si>
  <si>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</si>
  <si>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</si>
  <si>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</si>
  <si>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</si>
  <si>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</si>
  <si>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</si>
  <si>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</si>
  <si>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</si>
  <si>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</si>
  <si>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</si>
  <si>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</si>
  <si>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</si>
  <si>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</si>
  <si>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</si>
  <si>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</si>
  <si>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</si>
  <si>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</si>
  <si>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</si>
  <si>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</si>
  <si>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</si>
  <si>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</si>
  <si>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</si>
  <si>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</si>
  <si>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</si>
  <si>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</si>
  <si>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</si>
  <si>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</si>
  <si>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</si>
  <si>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</si>
  <si>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</si>
  <si>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</si>
  <si>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</si>
  <si>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</si>
  <si>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</si>
  <si>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</si>
  <si>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</si>
  <si>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</si>
  <si>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</si>
  <si>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</si>
  <si>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</si>
  <si>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</si>
  <si>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</si>
  <si>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</si>
  <si>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</si>
  <si>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</si>
  <si>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</si>
  <si>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</si>
  <si>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</si>
  <si>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</si>
  <si>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</si>
  <si>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</si>
  <si>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</si>
  <si>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</si>
  <si>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</si>
  <si>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</si>
  <si>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</si>
  <si>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</si>
  <si>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</si>
  <si>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</si>
  <si>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</si>
  <si>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</si>
  <si>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</si>
  <si>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</si>
  <si>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</si>
  <si>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</si>
  <si>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</si>
  <si>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</si>
  <si>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</si>
  <si>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</si>
  <si>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</si>
  <si>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</si>
  <si>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</si>
  <si>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</si>
  <si>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</si>
  <si>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</si>
  <si>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</si>
  <si>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</si>
  <si>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</si>
  <si>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</si>
  <si>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</si>
  <si>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</si>
  <si>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</si>
  <si>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</si>
  <si>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</si>
  <si>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</si>
  <si>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</si>
  <si>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</si>
  <si>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</si>
  <si>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</si>
  <si>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</si>
  <si>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</si>
  <si>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</si>
  <si>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</si>
  <si>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</si>
  <si>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</si>
  <si>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</si>
  <si>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</si>
  <si>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</si>
  <si>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</si>
  <si>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</si>
  <si>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</si>
  <si>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</si>
  <si>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</si>
  <si>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</si>
  <si>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</si>
  <si>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</si>
  <si>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</si>
  <si>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</si>
  <si>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</si>
  <si>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</si>
  <si>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</si>
  <si>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</si>
  <si>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</si>
  <si>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</si>
  <si>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</si>
  <si>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</si>
  <si>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</si>
  <si>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</si>
  <si>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</si>
  <si>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</si>
  <si>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</si>
  <si>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</si>
  <si>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</si>
  <si>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</si>
  <si>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</si>
  <si>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</si>
  <si>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</si>
  <si>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</si>
  <si>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</si>
  <si>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</si>
  <si>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</si>
  <si>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</si>
  <si>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</si>
  <si>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</si>
  <si>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</si>
  <si>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</si>
  <si>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</si>
  <si>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</si>
  <si>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</si>
  <si>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</si>
  <si>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</si>
  <si>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</si>
  <si>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</si>
  <si>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</si>
  <si>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</si>
  <si>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</si>
  <si>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</si>
  <si>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</si>
  <si>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</si>
  <si>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</si>
  <si>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</si>
  <si>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</si>
  <si>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</si>
  <si>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</si>
  <si>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</si>
  <si>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</si>
  <si>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</si>
  <si>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</si>
  <si>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</si>
  <si>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</si>
  <si>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</si>
  <si>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</si>
  <si>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</si>
  <si>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</si>
  <si>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</si>
  <si>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</si>
  <si>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</si>
  <si>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</si>
  <si>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</si>
  <si>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</si>
  <si>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</si>
  <si>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</si>
  <si>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</si>
  <si>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</si>
  <si>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</si>
  <si>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</si>
  <si>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</si>
  <si>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</si>
  <si>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</si>
  <si>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</si>
  <si>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</si>
  <si>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</si>
  <si>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</si>
  <si>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</si>
  <si>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</si>
  <si>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</si>
  <si>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</si>
  <si>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</si>
  <si>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</si>
  <si>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</si>
  <si>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</si>
  <si>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</si>
  <si>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</si>
  <si>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</si>
  <si>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</si>
  <si>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</si>
  <si>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</si>
  <si>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</si>
  <si>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</si>
  <si>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</si>
  <si>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</si>
  <si>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</si>
  <si>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</si>
  <si>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</si>
  <si>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</si>
  <si>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</si>
  <si>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</si>
  <si>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</si>
  <si>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</si>
  <si>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</si>
  <si>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</si>
  <si>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</si>
  <si>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</si>
  <si>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</si>
  <si>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</si>
  <si>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</si>
  <si>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</si>
  <si>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</si>
  <si>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</si>
  <si>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</si>
  <si>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</si>
  <si>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</si>
  <si>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</si>
  <si>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</si>
  <si>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</si>
  <si>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</si>
  <si>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</si>
  <si>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</si>
  <si>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</si>
  <si>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</si>
  <si>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</si>
  <si>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</si>
  <si>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</si>
  <si>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</si>
  <si>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</si>
  <si>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</si>
  <si>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</si>
  <si>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</si>
  <si>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</si>
  <si>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</si>
  <si>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</si>
  <si>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</si>
  <si>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</si>
  <si>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</si>
  <si>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</si>
  <si>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</si>
  <si>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</si>
  <si>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</si>
  <si>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</si>
  <si>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</si>
  <si>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</si>
  <si>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</si>
  <si>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</si>
  <si>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</si>
  <si>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</si>
  <si>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</si>
  <si>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</si>
  <si>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</si>
  <si>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</si>
  <si>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</si>
  <si>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</si>
  <si>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</si>
  <si>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</si>
  <si>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</si>
  <si>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</si>
  <si>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</si>
  <si>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</si>
  <si>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</si>
  <si>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</si>
  <si>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</si>
  <si>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</si>
  <si>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</si>
  <si>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</si>
  <si>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</si>
  <si>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</si>
  <si>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</si>
  <si>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</si>
  <si>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</si>
  <si>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</si>
  <si>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</si>
  <si>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</si>
  <si>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</si>
  <si>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</si>
  <si>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</si>
  <si>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</si>
  <si>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</si>
  <si>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</si>
  <si>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</si>
  <si>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</si>
  <si>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</si>
  <si>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</si>
  <si>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</si>
  <si>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</si>
  <si>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</si>
  <si>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</si>
  <si>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</si>
  <si>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</si>
  <si>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</si>
  <si>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</si>
  <si>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</si>
  <si>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</si>
  <si>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</si>
  <si>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</si>
  <si>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</si>
  <si>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</si>
  <si>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</si>
  <si>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</si>
  <si>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</si>
  <si>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</si>
  <si>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</si>
  <si>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</si>
  <si>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</si>
  <si>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</si>
  <si>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</si>
  <si>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</si>
  <si>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</si>
  <si>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</si>
  <si>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</si>
  <si>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</si>
  <si>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</si>
  <si>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</si>
  <si>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</si>
  <si>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</si>
  <si>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</si>
  <si>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</si>
  <si>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</si>
  <si>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</si>
  <si>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</si>
  <si>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</si>
  <si>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</si>
  <si>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</si>
  <si>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</si>
  <si>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</si>
  <si>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</si>
  <si>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</si>
  <si>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</si>
  <si>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</si>
  <si>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</si>
  <si>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</si>
  <si>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</si>
  <si>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</si>
  <si>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</si>
  <si>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</si>
  <si>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</si>
  <si>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</si>
  <si>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</si>
  <si>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</si>
  <si>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</si>
  <si>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</si>
  <si>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</si>
  <si>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</si>
  <si>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</si>
  <si>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</si>
  <si>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</si>
  <si>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</si>
  <si>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</si>
  <si>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</si>
  <si>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</si>
  <si>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</si>
  <si>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</si>
  <si>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</si>
  <si>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</si>
  <si>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</si>
  <si>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</si>
  <si>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</si>
  <si>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</si>
  <si>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</si>
  <si>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</si>
  <si>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</si>
  <si>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</si>
  <si>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</si>
  <si>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</si>
  <si>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</si>
  <si>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</si>
  <si>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</si>
  <si>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</si>
  <si>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</si>
  <si>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</si>
  <si>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</si>
  <si>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</si>
  <si>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</si>
  <si>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</si>
  <si>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</si>
  <si>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</si>
  <si>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</si>
  <si>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</si>
  <si>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</si>
  <si>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</si>
  <si>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</si>
  <si>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</si>
  <si>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</si>
  <si>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</si>
  <si>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</si>
  <si>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</si>
  <si>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</si>
  <si>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</si>
  <si>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</si>
  <si>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</si>
  <si>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</si>
  <si>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</si>
  <si>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</si>
  <si>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</si>
  <si>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</si>
  <si>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</si>
  <si>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</si>
  <si>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</si>
  <si>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</si>
  <si>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</si>
  <si>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</si>
  <si>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</si>
  <si>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</si>
  <si>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</si>
  <si>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</si>
  <si>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</si>
  <si>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</si>
  <si>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</si>
  <si>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</si>
  <si>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</si>
  <si>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</si>
  <si>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</si>
  <si>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</si>
  <si>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</si>
  <si>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</si>
  <si>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</si>
  <si>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</si>
  <si>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</si>
  <si>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</si>
  <si>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</si>
  <si>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</si>
  <si>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</si>
  <si>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</si>
  <si>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</si>
  <si>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</si>
  <si>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</si>
  <si>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</si>
  <si>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</si>
  <si>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</si>
  <si>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</si>
  <si>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</si>
  <si>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</si>
  <si>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</si>
  <si>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</si>
  <si>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</si>
  <si>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</si>
  <si>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</si>
  <si>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</si>
  <si>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</si>
  <si>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</si>
  <si>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</si>
  <si>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</si>
  <si>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</si>
  <si>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</si>
  <si>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</si>
  <si>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</si>
  <si>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</si>
  <si>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</si>
  <si>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</si>
  <si>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</si>
  <si>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</si>
  <si>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</si>
  <si>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</si>
  <si>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</si>
  <si>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</si>
  <si>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</si>
  <si>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</si>
  <si>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</si>
  <si>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</si>
  <si>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</si>
  <si>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</si>
  <si>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</si>
  <si>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</si>
  <si>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</si>
  <si>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</si>
  <si>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</si>
  <si>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</si>
  <si>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</si>
  <si>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</si>
  <si>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</si>
  <si>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</si>
  <si>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</si>
  <si>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</si>
  <si>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</si>
  <si>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</si>
  <si>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</si>
  <si>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</si>
  <si>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</si>
  <si>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</si>
  <si>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</si>
  <si>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</si>
  <si>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</si>
  <si>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</si>
  <si>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</si>
  <si>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</si>
  <si>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</si>
  <si>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</si>
  <si>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</si>
  <si>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</si>
  <si>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</si>
  <si>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</si>
  <si>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</si>
  <si>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</si>
  <si>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</si>
  <si>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</si>
  <si>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</si>
  <si>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</si>
  <si>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</si>
  <si>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</si>
  <si>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</si>
  <si>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</si>
  <si>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</si>
  <si>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</si>
  <si>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</si>
  <si>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</si>
  <si>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</si>
  <si>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</si>
  <si>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</si>
  <si>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</si>
  <si>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</si>
  <si>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</si>
  <si>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</si>
  <si>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</si>
  <si>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</si>
  <si>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</si>
  <si>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</si>
  <si>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</si>
  <si>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</si>
  <si>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</si>
  <si>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</si>
  <si>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</si>
  <si>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</si>
  <si>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</si>
  <si>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</si>
  <si>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</si>
  <si>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</si>
  <si>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</si>
  <si>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</si>
  <si>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</si>
  <si>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</si>
  <si>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</si>
  <si>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</si>
  <si>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</si>
  <si>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</si>
  <si>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</si>
  <si>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</si>
  <si>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</si>
  <si>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</si>
  <si>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</si>
  <si>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</si>
  <si>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</si>
  <si>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</si>
  <si>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</si>
  <si>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</si>
  <si>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</si>
  <si>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</si>
  <si>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</si>
  <si>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</si>
  <si>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</si>
  <si>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</si>
  <si>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</si>
  <si>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</si>
  <si>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</si>
  <si>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</si>
  <si>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</si>
  <si>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</si>
  <si>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</si>
  <si>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</si>
  <si>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</si>
  <si>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</si>
  <si>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</si>
  <si>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</si>
  <si>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</si>
  <si>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</si>
  <si>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</si>
  <si>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</si>
  <si>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</si>
  <si>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</si>
  <si>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</si>
  <si>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</si>
  <si>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</si>
  <si>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</si>
  <si>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</si>
  <si>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</si>
  <si>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</si>
  <si>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</si>
  <si>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</si>
  <si>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</si>
  <si>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</si>
  <si>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</si>
  <si>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</si>
  <si>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</si>
  <si>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</si>
  <si>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</si>
  <si>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</si>
  <si>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</si>
  <si>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</si>
  <si>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</si>
  <si>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</si>
  <si>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</si>
  <si>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</si>
  <si>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</si>
  <si>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</si>
  <si>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</si>
  <si>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</si>
  <si>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</si>
  <si>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</si>
  <si>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</si>
  <si>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</si>
  <si>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</si>
  <si>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</si>
  <si>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</si>
  <si>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</si>
  <si>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</si>
  <si>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</si>
  <si>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</si>
  <si>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</si>
  <si>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</si>
  <si>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</si>
  <si>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</si>
  <si>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</si>
  <si>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</si>
  <si>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</si>
  <si>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</si>
  <si>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</si>
  <si>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</si>
  <si>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</si>
  <si>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</si>
  <si>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</si>
  <si>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</si>
  <si>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</si>
  <si>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</si>
  <si>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</si>
  <si>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</si>
  <si>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</si>
  <si>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</si>
  <si>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</si>
  <si>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</si>
  <si>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</si>
  <si>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</si>
  <si>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</si>
  <si>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</si>
  <si>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</si>
  <si>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</si>
  <si>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</si>
  <si>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</si>
  <si>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</si>
  <si>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</si>
  <si>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</si>
  <si>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</si>
  <si>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</si>
  <si>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</si>
  <si>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</si>
  <si>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</si>
  <si>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</si>
  <si>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</si>
  <si>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</si>
  <si>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</si>
  <si>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</si>
  <si>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</si>
  <si>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</si>
  <si>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</si>
  <si>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</si>
  <si>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</si>
  <si>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</si>
  <si>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</si>
  <si>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</si>
  <si>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</si>
  <si>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</si>
  <si>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</si>
  <si>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</si>
  <si>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</si>
  <si>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</si>
  <si>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</si>
  <si>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</si>
  <si>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</si>
  <si>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</si>
  <si>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</si>
  <si>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</si>
  <si>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</si>
  <si>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</si>
  <si>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</si>
  <si>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</si>
  <si>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</si>
  <si>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</si>
  <si>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</si>
  <si>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</si>
  <si>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</si>
  <si>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</si>
  <si>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</si>
  <si>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</si>
  <si>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</si>
  <si>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</si>
  <si>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</si>
  <si>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</si>
  <si>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</si>
  <si>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</si>
  <si>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</si>
  <si>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</si>
  <si>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</si>
  <si>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</si>
  <si>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</si>
  <si>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</si>
  <si>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</si>
  <si>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</si>
  <si>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</si>
  <si>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</si>
  <si>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</si>
  <si>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</si>
  <si>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</si>
  <si>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</si>
  <si>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</si>
  <si>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</si>
  <si>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</si>
  <si>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</si>
  <si>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</si>
  <si>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</si>
  <si>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</si>
  <si>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</si>
  <si>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</si>
  <si>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</si>
  <si>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</si>
  <si>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</si>
  <si>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</si>
  <si>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</si>
  <si>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</si>
  <si>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</si>
  <si>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</si>
  <si>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</si>
  <si>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</si>
  <si>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</si>
  <si>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</si>
  <si>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</si>
  <si>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</si>
  <si>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</si>
  <si>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</si>
  <si>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</si>
  <si>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</si>
  <si>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</si>
  <si>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</si>
  <si>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</si>
  <si>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</si>
  <si>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</si>
  <si>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</si>
  <si>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</si>
  <si>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</si>
  <si>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</si>
  <si>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</si>
  <si>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</si>
  <si>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</si>
  <si>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</si>
  <si>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</si>
  <si>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</si>
  <si>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</si>
  <si>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</si>
  <si>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</si>
  <si>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</si>
  <si>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</si>
  <si>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</si>
  <si>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</si>
  <si>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</si>
  <si>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</si>
  <si>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</si>
  <si>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</si>
  <si>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</si>
  <si>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</si>
  <si>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</si>
  <si>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</si>
  <si>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</si>
  <si>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</si>
  <si>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</si>
  <si>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</si>
  <si>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</si>
  <si>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</si>
  <si>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</si>
  <si>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</si>
  <si>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</si>
  <si>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</si>
  <si>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</si>
  <si>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</si>
  <si>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</si>
  <si>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</si>
  <si>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</si>
  <si>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</si>
  <si>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</si>
  <si>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</si>
  <si>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</si>
  <si>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</si>
  <si>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</si>
  <si>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</si>
  <si>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</si>
  <si>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</si>
  <si>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</si>
  <si>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</si>
  <si>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</si>
  <si>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</si>
  <si>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</si>
  <si>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</si>
  <si>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</si>
  <si>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</si>
  <si>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</si>
  <si>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</si>
  <si>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</si>
  <si>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</si>
  <si>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</si>
  <si>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</si>
  <si>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</si>
  <si>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</si>
  <si>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</si>
  <si>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</si>
  <si>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</si>
  <si>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</si>
  <si>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</si>
  <si>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</si>
  <si>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</si>
  <si>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</si>
  <si>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</si>
  <si>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</si>
  <si>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</si>
  <si>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</si>
  <si>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</si>
  <si>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</si>
  <si>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</si>
  <si>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</si>
  <si>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</si>
  <si>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</si>
  <si>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</si>
  <si>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</si>
  <si>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</si>
  <si>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</si>
  <si>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</si>
  <si>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</si>
  <si>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</si>
  <si>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</si>
  <si>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</si>
  <si>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</si>
  <si>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</si>
  <si>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</si>
  <si>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</si>
  <si>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</si>
  <si>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</si>
  <si>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</si>
  <si>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</si>
  <si>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</si>
  <si>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</si>
  <si>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</si>
  <si>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</si>
  <si>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</si>
  <si>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</si>
  <si>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</si>
  <si>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</si>
  <si>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</si>
  <si>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</si>
  <si>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</si>
  <si>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</si>
  <si>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</si>
  <si>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</si>
  <si>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</si>
  <si>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</si>
  <si>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</si>
  <si>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</si>
  <si>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</si>
  <si>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</si>
  <si>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</si>
  <si>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</si>
  <si>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</si>
  <si>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</si>
  <si>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</si>
  <si>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</si>
  <si>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</si>
  <si>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</si>
  <si>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</si>
  <si>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</si>
  <si>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</si>
  <si>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</si>
  <si>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</si>
  <si>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</si>
  <si>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</si>
  <si>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</si>
  <si>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</si>
  <si>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</si>
  <si>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</si>
  <si>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</si>
  <si>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</si>
  <si>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</si>
  <si>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</si>
  <si>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</si>
  <si>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</si>
  <si>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</si>
  <si>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</si>
  <si>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</si>
  <si>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</si>
  <si>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</si>
  <si>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</si>
  <si>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</si>
  <si>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</si>
  <si>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</si>
  <si>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</si>
  <si>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</si>
  <si>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</si>
  <si>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</si>
  <si>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</si>
  <si>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</si>
  <si>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</si>
  <si>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</si>
  <si>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</si>
  <si>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</si>
  <si>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</si>
  <si>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</si>
  <si>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</si>
  <si>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</si>
  <si>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</si>
  <si>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</si>
  <si>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</si>
  <si>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</si>
  <si>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</si>
  <si>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</si>
  <si>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</si>
  <si>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</si>
  <si>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</si>
  <si>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</si>
  <si>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</si>
  <si>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</si>
  <si>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</si>
  <si>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</si>
  <si>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</si>
  <si>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</si>
  <si>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</si>
  <si>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</si>
  <si>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</si>
  <si>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</si>
  <si>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</si>
  <si>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</si>
  <si>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</si>
  <si>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</si>
  <si>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</si>
  <si>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</si>
  <si>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</si>
  <si>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</si>
  <si>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</si>
  <si>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</si>
  <si>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</si>
  <si>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</si>
  <si>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</si>
  <si>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</si>
  <si>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</si>
  <si>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</si>
  <si>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</si>
  <si>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</si>
  <si>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</si>
  <si>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</si>
  <si>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</si>
  <si>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</si>
  <si>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</si>
  <si>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</si>
  <si>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</si>
  <si>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</si>
  <si>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</si>
  <si>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</si>
  <si>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</si>
  <si>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</si>
  <si>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</si>
  <si>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</si>
  <si>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</si>
  <si>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</si>
  <si>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</si>
  <si>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</si>
  <si>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</si>
  <si>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</si>
  <si>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</si>
  <si>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</si>
  <si>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</si>
  <si>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</si>
  <si>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</si>
  <si>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</si>
  <si>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</si>
  <si>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</si>
  <si>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</si>
  <si>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</si>
  <si>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</si>
  <si>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</si>
  <si>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</si>
  <si>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</si>
  <si>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</si>
  <si>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</si>
  <si>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</si>
  <si>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</si>
  <si>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</si>
  <si>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</si>
  <si>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</si>
  <si>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</si>
  <si>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</si>
  <si>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</si>
  <si>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</si>
  <si>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</si>
  <si>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</si>
  <si>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</si>
  <si>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</si>
  <si>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</si>
  <si>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</si>
  <si>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</si>
  <si>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</si>
  <si>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</si>
  <si>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</si>
  <si>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</si>
  <si>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</si>
  <si>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</si>
  <si>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</si>
  <si>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</si>
  <si>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</si>
  <si>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</si>
  <si>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</si>
  <si>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</si>
  <si>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</si>
  <si>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</si>
  <si>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</si>
  <si>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</si>
  <si>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</si>
  <si>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</si>
  <si>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</si>
  <si>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</si>
  <si>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</si>
  <si>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</si>
  <si>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</si>
  <si>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</si>
  <si>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</si>
  <si>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</si>
  <si>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</si>
  <si>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</si>
  <si>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</si>
  <si>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</si>
  <si>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</si>
  <si>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</si>
  <si>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</si>
  <si>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</si>
  <si>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</si>
  <si>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</si>
  <si>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</si>
  <si>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</si>
  <si>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</si>
  <si>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</si>
  <si>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</si>
  <si>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</si>
  <si>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</si>
  <si>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</si>
  <si>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</si>
  <si>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</si>
  <si>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</si>
  <si>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</si>
  <si>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</si>
  <si>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</si>
  <si>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</si>
  <si>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</si>
  <si>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</si>
  <si>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</si>
  <si>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</si>
  <si>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</si>
  <si>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</si>
  <si>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</si>
  <si>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</si>
  <si>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</si>
  <si>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</si>
  <si>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</si>
  <si>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</si>
  <si>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</si>
  <si>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</si>
  <si>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</si>
  <si>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</si>
  <si>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</si>
  <si>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</si>
  <si>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</si>
  <si>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</si>
  <si>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</si>
  <si>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</si>
  <si>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</si>
  <si>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</si>
  <si>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</si>
  <si>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</si>
  <si>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</si>
  <si>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</si>
  <si>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</si>
  <si>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</si>
  <si>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</si>
  <si>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</si>
  <si>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</si>
  <si>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</si>
  <si>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</si>
  <si>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</si>
  <si>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</si>
  <si>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</si>
  <si>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</si>
  <si>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</si>
  <si>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</si>
  <si>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</si>
  <si>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</si>
  <si>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</si>
  <si>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</si>
  <si>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</si>
  <si>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</si>
  <si>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</si>
  <si>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</si>
  <si>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</si>
  <si>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</si>
  <si>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</si>
  <si>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</si>
  <si>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</si>
  <si>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</si>
  <si>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</si>
  <si>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</si>
  <si>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</si>
  <si>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</si>
  <si>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</si>
  <si>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</si>
  <si>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</si>
  <si>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</si>
  <si>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</si>
  <si>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</si>
  <si>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</si>
  <si>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</si>
  <si>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</si>
  <si>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</si>
  <si>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</si>
  <si>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</si>
  <si>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</si>
  <si>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</si>
  <si>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</si>
  <si>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</si>
  <si>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</si>
  <si>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</si>
  <si>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</si>
  <si>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</si>
  <si>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</si>
  <si>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</si>
  <si>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</si>
  <si>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</si>
  <si>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</si>
  <si>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</si>
  <si>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</si>
  <si>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</si>
  <si>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</si>
  <si>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</si>
  <si>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</si>
  <si>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</si>
  <si>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</si>
  <si>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</si>
  <si>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</si>
  <si>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</si>
  <si>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</si>
  <si>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</si>
  <si>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</si>
  <si>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</si>
  <si>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</si>
  <si>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</si>
  <si>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</si>
  <si>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</si>
  <si>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</si>
  <si>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</si>
  <si>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</si>
  <si>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</si>
  <si>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</si>
  <si>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</si>
  <si>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</si>
  <si>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</si>
  <si>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</si>
  <si>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</si>
  <si>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</si>
  <si>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</si>
  <si>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</si>
  <si>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</si>
  <si>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</si>
  <si>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</si>
  <si>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</si>
  <si>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</si>
  <si>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</si>
  <si>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</si>
  <si>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</si>
  <si>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</si>
  <si>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</si>
  <si>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</si>
  <si>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</si>
  <si>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</si>
  <si>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</si>
  <si>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</si>
  <si>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</si>
  <si>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</si>
  <si>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</si>
  <si>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</si>
  <si>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</si>
  <si>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</si>
  <si>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</si>
  <si>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</si>
  <si>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</si>
  <si>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</si>
  <si>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</si>
  <si>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</si>
  <si>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</si>
  <si>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</si>
  <si>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</si>
  <si>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</si>
  <si>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</si>
  <si>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</si>
  <si>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</si>
  <si>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</si>
  <si>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</si>
  <si>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</si>
  <si>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</si>
  <si>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</si>
  <si>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</si>
  <si>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</si>
  <si>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</si>
  <si>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</si>
  <si>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</si>
  <si>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</si>
  <si>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</si>
  <si>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</si>
  <si>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</si>
  <si>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</si>
  <si>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</si>
  <si>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</si>
  <si>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</si>
  <si>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</si>
  <si>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</si>
  <si>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</si>
  <si>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</si>
  <si>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</si>
  <si>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</si>
  <si>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</si>
  <si>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</si>
  <si>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</si>
  <si>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</si>
  <si>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</si>
  <si>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</si>
  <si>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</si>
  <si>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</si>
  <si>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</si>
  <si>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</si>
  <si>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</si>
  <si>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</si>
  <si>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</si>
  <si>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</si>
  <si>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</si>
  <si>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</si>
  <si>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</si>
  <si>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</si>
  <si>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</si>
  <si>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</si>
  <si>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</si>
  <si>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</si>
  <si>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</si>
  <si>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</si>
  <si>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</si>
  <si>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</si>
  <si>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</si>
  <si>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</si>
  <si>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</si>
  <si>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</si>
  <si>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</si>
  <si>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</si>
  <si>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</si>
  <si>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</si>
  <si>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</si>
  <si>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</si>
  <si>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</si>
  <si>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</si>
  <si>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</si>
  <si>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</si>
  <si>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</si>
  <si>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</si>
  <si>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</si>
  <si>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</si>
  <si>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</si>
  <si>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</si>
  <si>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</si>
  <si>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</si>
  <si>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</si>
  <si>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</si>
  <si>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</si>
  <si>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</si>
  <si>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</si>
  <si>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</si>
  <si>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</si>
  <si>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</si>
  <si>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</si>
  <si>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</si>
  <si>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</si>
  <si>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</si>
  <si>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</si>
  <si>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</si>
  <si>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</si>
  <si>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</si>
  <si>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</si>
  <si>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</si>
  <si>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</si>
  <si>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</si>
  <si>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</si>
  <si>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</si>
  <si>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</si>
  <si>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</si>
  <si>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</si>
  <si>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</si>
  <si>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</si>
  <si>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</si>
  <si>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</si>
  <si>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</si>
  <si>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</si>
  <si>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</si>
  <si>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</si>
  <si>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</si>
  <si>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</si>
  <si>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</si>
  <si>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</si>
  <si>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</si>
  <si>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</si>
  <si>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</si>
  <si>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</si>
  <si>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</si>
  <si>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</si>
  <si>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</si>
  <si>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</si>
  <si>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</si>
  <si>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</si>
  <si>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</si>
  <si>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</si>
  <si>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</si>
  <si>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</si>
  <si>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</si>
  <si>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</si>
  <si>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</si>
  <si>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</si>
  <si>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</si>
  <si>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</si>
  <si>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</si>
  <si>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</si>
  <si>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</si>
  <si>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</si>
  <si>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</si>
  <si>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</si>
  <si>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</si>
  <si>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</si>
  <si>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</si>
  <si>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</si>
  <si>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</si>
  <si>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</si>
  <si>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</si>
  <si>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</si>
  <si>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</si>
  <si>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</si>
  <si>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</si>
  <si>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</si>
  <si>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</si>
  <si>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</si>
  <si>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</si>
  <si>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</si>
  <si>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</si>
  <si>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</si>
  <si>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</si>
  <si>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</si>
  <si>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</si>
  <si>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</si>
  <si>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</si>
  <si>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</si>
  <si>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</si>
  <si>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</si>
  <si>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</si>
  <si>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</si>
  <si>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</si>
  <si>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</si>
  <si>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</si>
  <si>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</si>
  <si>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</si>
  <si>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</si>
  <si>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</si>
  <si>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</si>
  <si>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</si>
  <si>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</si>
  <si>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</si>
  <si>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</si>
  <si>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</si>
  <si>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</si>
  <si>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</si>
  <si>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</si>
  <si>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</si>
  <si>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</si>
  <si>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</si>
  <si>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</si>
  <si>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</si>
  <si>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</si>
  <si>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</si>
  <si>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</si>
  <si>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</si>
  <si>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</si>
  <si>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</si>
  <si>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</si>
  <si>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</si>
  <si>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</si>
  <si>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</si>
  <si>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</si>
  <si>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</si>
  <si>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</si>
  <si>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</si>
  <si>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</si>
  <si>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</si>
  <si>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</si>
  <si>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</si>
  <si>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</si>
  <si>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</si>
  <si>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</si>
  <si>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</si>
  <si>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</si>
  <si>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</si>
  <si>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</si>
  <si>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</si>
  <si>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</si>
  <si>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</si>
  <si>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</si>
  <si>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</si>
  <si>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</si>
  <si>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</si>
  <si>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</si>
  <si>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</si>
  <si>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</si>
  <si>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</si>
  <si>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</si>
  <si>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</si>
  <si>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</si>
  <si>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</si>
  <si>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</si>
  <si>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</si>
  <si>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</si>
  <si>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</si>
  <si>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</si>
  <si>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</si>
  <si>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</si>
  <si>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</si>
  <si>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</si>
  <si>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</si>
  <si>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</si>
  <si>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</si>
  <si>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</si>
  <si>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</si>
  <si>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</si>
  <si>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</si>
  <si>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</si>
  <si>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</si>
  <si>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</si>
  <si>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</si>
  <si>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</si>
  <si>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</si>
  <si>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</si>
  <si>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</si>
  <si>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</si>
  <si>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</si>
  <si>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</si>
  <si>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</si>
  <si>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</si>
  <si>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</si>
  <si>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</si>
  <si>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</si>
  <si>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</si>
  <si>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</si>
  <si>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</si>
  <si>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</si>
  <si>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</si>
  <si>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</si>
  <si>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</si>
  <si>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</si>
  <si>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</si>
  <si>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</si>
  <si>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</si>
  <si>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</si>
  <si>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</si>
  <si>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</si>
  <si>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</si>
  <si>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</si>
  <si>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</si>
  <si>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</si>
  <si>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</si>
  <si>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</si>
  <si>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</si>
  <si>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</si>
  <si>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</si>
  <si>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</si>
  <si>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</si>
  <si>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</si>
  <si>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</si>
  <si>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</si>
  <si>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</si>
  <si>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</si>
  <si>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</si>
  <si>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</si>
  <si>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</si>
  <si>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</si>
  <si>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</si>
  <si>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</si>
  <si>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</si>
  <si>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</si>
  <si>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</si>
  <si>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</si>
  <si>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</si>
  <si>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</si>
  <si>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</si>
  <si>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</si>
  <si>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</si>
  <si>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</si>
  <si>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</si>
  <si>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</si>
  <si>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</si>
  <si>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</si>
  <si>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</si>
  <si>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</si>
  <si>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</si>
  <si>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</si>
  <si>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</si>
  <si>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</si>
  <si>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</si>
  <si>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</si>
  <si>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</si>
  <si>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</si>
  <si>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</si>
  <si>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</si>
  <si>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</si>
  <si>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</si>
  <si>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</si>
  <si>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</si>
  <si>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</si>
  <si>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</si>
  <si>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</si>
  <si>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</si>
  <si>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</si>
  <si>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</si>
  <si>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</si>
  <si>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</si>
  <si>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</si>
  <si>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</si>
  <si>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</si>
  <si>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</si>
  <si>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</si>
  <si>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</si>
  <si>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</si>
  <si>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</si>
  <si>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</si>
  <si>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</si>
  <si>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</si>
  <si>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</si>
  <si>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</si>
  <si>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</si>
  <si>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</si>
  <si>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</si>
  <si>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</si>
  <si>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</si>
  <si>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</si>
  <si>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</si>
  <si>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</si>
  <si>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</si>
  <si>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</si>
  <si>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</si>
  <si>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</si>
  <si>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</si>
  <si>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</si>
  <si>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</si>
  <si>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</si>
  <si>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</si>
  <si>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</si>
  <si>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</si>
  <si>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</si>
  <si>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</si>
  <si>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</si>
  <si>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</si>
  <si>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</si>
  <si>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</si>
  <si>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</si>
  <si>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</si>
  <si>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</si>
  <si>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</si>
  <si>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</si>
  <si>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</si>
  <si>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</si>
  <si>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</si>
  <si>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</si>
  <si>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</si>
  <si>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</si>
  <si>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</si>
  <si>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</si>
  <si>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</si>
  <si>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</si>
  <si>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</si>
  <si>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</si>
  <si>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</si>
  <si>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</si>
  <si>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</si>
  <si>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</si>
  <si>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</si>
  <si>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</si>
  <si>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</si>
  <si>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</si>
  <si>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</si>
  <si>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</si>
  <si>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</si>
  <si>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</si>
  <si>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</si>
  <si>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</si>
  <si>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</si>
  <si>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</si>
  <si>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</si>
  <si>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</si>
  <si>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</si>
  <si>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</si>
  <si>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</si>
  <si>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</si>
  <si>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</si>
  <si>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</si>
  <si>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</si>
  <si>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</si>
  <si>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</si>
  <si>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</si>
  <si>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</si>
  <si>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</si>
  <si>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</si>
  <si>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</si>
  <si>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</si>
  <si>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</si>
  <si>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</si>
  <si>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</si>
  <si>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</si>
  <si>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</si>
  <si>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</si>
  <si>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</si>
  <si>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</si>
  <si>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</si>
  <si>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</si>
  <si>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</si>
  <si>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</si>
  <si>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</si>
  <si>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</si>
  <si>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</si>
  <si>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</si>
  <si>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</si>
  <si>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</si>
  <si>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</si>
  <si>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</si>
  <si>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</si>
  <si>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</si>
  <si>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</si>
  <si>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</si>
  <si>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</si>
  <si>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</si>
  <si>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</si>
  <si>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</si>
  <si>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</si>
  <si>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</si>
  <si>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</si>
  <si>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</si>
  <si>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</si>
  <si>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</si>
  <si>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</si>
  <si>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</si>
  <si>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</si>
  <si>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</si>
  <si>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</si>
  <si>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</si>
  <si>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</si>
  <si>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</si>
  <si>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</si>
  <si>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</si>
  <si>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</si>
  <si>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</si>
  <si>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</si>
  <si>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</si>
  <si>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</si>
  <si>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</si>
  <si>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</si>
  <si>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</si>
  <si>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</si>
  <si>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</si>
  <si>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</si>
  <si>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</si>
  <si>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</si>
  <si>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</si>
  <si>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</si>
  <si>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</si>
  <si>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</si>
  <si>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</si>
  <si>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</si>
  <si>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</si>
  <si>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</si>
  <si>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</si>
  <si>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</si>
  <si>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</si>
  <si>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</si>
  <si>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</si>
  <si>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</si>
  <si>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</si>
  <si>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</si>
  <si>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</si>
  <si>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</si>
  <si>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</si>
  <si>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</si>
  <si>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</si>
  <si>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</si>
  <si>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</si>
  <si>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</si>
  <si>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</si>
  <si>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</si>
  <si>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</si>
  <si>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</si>
  <si>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</si>
  <si>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</si>
  <si>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</si>
  <si>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</si>
  <si>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</si>
  <si>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</si>
  <si>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</si>
  <si>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</si>
  <si>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</si>
  <si>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</si>
  <si>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</si>
  <si>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</si>
  <si>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</si>
  <si>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</si>
  <si>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</si>
  <si>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</si>
  <si>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</si>
  <si>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</si>
  <si>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</si>
  <si>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</si>
  <si>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</si>
  <si>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</si>
  <si>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</si>
  <si>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</si>
  <si>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</si>
  <si>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</si>
  <si>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</si>
  <si>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</si>
  <si>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</si>
  <si>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</si>
  <si>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</si>
  <si>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</si>
  <si>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</si>
  <si>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</si>
  <si>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</si>
  <si>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</si>
  <si>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</si>
  <si>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</si>
  <si>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</si>
  <si>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</si>
  <si>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</si>
  <si>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</si>
  <si>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</si>
  <si>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</si>
  <si>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</si>
  <si>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</si>
  <si>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</si>
  <si>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</si>
  <si>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</si>
  <si>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</si>
  <si>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</si>
  <si>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</si>
  <si>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</si>
  <si>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</si>
  <si>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</si>
  <si>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</si>
  <si>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</si>
  <si>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</si>
  <si>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</si>
  <si>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</si>
  <si>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</si>
  <si>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</si>
  <si>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</si>
  <si>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</si>
  <si>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</si>
  <si>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</si>
  <si>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</si>
  <si>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</si>
  <si>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</si>
  <si>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</si>
  <si>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</si>
  <si>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</si>
  <si>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</si>
  <si>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</si>
  <si>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</si>
  <si>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</si>
  <si>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</si>
  <si>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</si>
  <si>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</si>
  <si>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</si>
  <si>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</si>
  <si>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</si>
  <si>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</si>
  <si>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</si>
  <si>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</si>
  <si>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</si>
  <si>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</si>
  <si>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</si>
  <si>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</si>
  <si>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</si>
  <si>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</si>
  <si>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</si>
  <si>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</si>
  <si>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</si>
  <si>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</si>
  <si>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</si>
  <si>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</si>
  <si>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</si>
  <si>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</si>
  <si>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</si>
  <si>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</si>
  <si>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</si>
  <si>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</si>
  <si>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</si>
  <si>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</si>
  <si>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</si>
  <si>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</si>
  <si>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</si>
  <si>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</si>
  <si>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</si>
  <si>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</si>
  <si>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</si>
  <si>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</si>
  <si>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</si>
  <si>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</si>
  <si>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</si>
  <si>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</si>
  <si>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</si>
  <si>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</si>
  <si>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</si>
  <si>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</si>
  <si>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</si>
  <si>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</si>
  <si>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</si>
  <si>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</si>
  <si>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</si>
  <si>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</si>
  <si>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</si>
  <si>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</si>
  <si>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</si>
  <si>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</si>
  <si>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</si>
  <si>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</si>
  <si>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</si>
  <si>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</si>
  <si>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</si>
  <si>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</si>
  <si>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</si>
  <si>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</si>
  <si>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</si>
  <si>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</si>
  <si>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</si>
  <si>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</si>
  <si>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</si>
  <si>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</si>
  <si>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</si>
  <si>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</si>
  <si>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</si>
  <si>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</si>
  <si>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</si>
  <si>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</si>
  <si>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</si>
  <si>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</si>
  <si>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</si>
  <si>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</si>
  <si>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</si>
  <si>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</si>
  <si>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</si>
  <si>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</si>
  <si>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</si>
  <si>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</si>
  <si>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</si>
  <si>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</si>
  <si>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</si>
  <si>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</si>
  <si>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</si>
  <si>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</si>
  <si>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</si>
  <si>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</si>
  <si>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</si>
  <si>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</si>
  <si>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</si>
  <si>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</si>
  <si>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</si>
  <si>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</si>
  <si>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</si>
  <si>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</si>
  <si>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</si>
  <si>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</si>
  <si>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</si>
  <si>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</si>
  <si>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</si>
  <si>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</si>
  <si>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</si>
  <si>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</si>
  <si>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</si>
  <si>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</si>
  <si>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</si>
  <si>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</si>
  <si>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</si>
  <si>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</si>
  <si>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</si>
  <si>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</si>
  <si>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</si>
  <si>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</si>
  <si>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</si>
  <si>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</si>
  <si>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</si>
  <si>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</si>
  <si>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</si>
  <si>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</si>
  <si>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</si>
  <si>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</si>
  <si>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</si>
  <si>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</si>
  <si>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</si>
  <si>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</si>
  <si>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</si>
  <si>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</si>
  <si>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</si>
  <si>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</si>
  <si>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</si>
  <si>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</si>
  <si>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</si>
  <si>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</si>
  <si>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</si>
  <si>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</si>
  <si>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</si>
  <si>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</si>
  <si>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</si>
  <si>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</si>
  <si>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</si>
  <si>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</si>
  <si>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</si>
  <si>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</si>
  <si>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</si>
  <si>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</si>
  <si>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</si>
  <si>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</si>
  <si>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</si>
  <si>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</si>
  <si>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</si>
  <si>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</si>
  <si>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</si>
  <si>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</si>
  <si>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</si>
  <si>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</si>
  <si>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</si>
  <si>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</si>
  <si>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</si>
  <si>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</si>
  <si>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</si>
  <si>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</si>
  <si>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</si>
  <si>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</si>
  <si>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</si>
  <si>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</si>
  <si>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</si>
  <si>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</si>
  <si>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</si>
  <si>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</si>
  <si>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</si>
  <si>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</si>
  <si>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</si>
  <si>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</si>
  <si>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</si>
  <si>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</si>
  <si>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</si>
  <si>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</si>
  <si>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</si>
  <si>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</si>
  <si>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</si>
  <si>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</si>
  <si>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</si>
  <si>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</si>
  <si>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</si>
  <si>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</si>
  <si>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</si>
  <si>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</si>
  <si>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</si>
  <si>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</si>
  <si>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</si>
  <si>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</si>
  <si>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</si>
  <si>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</si>
  <si>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</si>
  <si>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</si>
  <si>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</si>
  <si>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</si>
  <si>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</si>
  <si>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</si>
  <si>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</si>
  <si>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</si>
  <si>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</si>
  <si>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</si>
  <si>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</si>
  <si>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</si>
  <si>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</si>
  <si>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</si>
  <si>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</si>
  <si>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</si>
  <si>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</si>
  <si>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</si>
  <si>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</si>
  <si>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</si>
  <si>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</si>
  <si>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</si>
  <si>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</si>
  <si>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</si>
  <si>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</si>
  <si>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</si>
  <si>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</si>
  <si>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</si>
  <si>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</si>
  <si>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</si>
  <si>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</si>
  <si>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</si>
  <si>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</si>
  <si>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</si>
  <si>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</si>
  <si>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</si>
  <si>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</si>
  <si>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</si>
  <si>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</si>
  <si>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</si>
  <si>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</si>
  <si>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</si>
  <si>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</si>
  <si>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</si>
  <si>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</si>
  <si>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</si>
  <si>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</si>
  <si>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</si>
  <si>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</si>
  <si>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</si>
  <si>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</si>
  <si>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</si>
  <si>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</si>
  <si>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</si>
  <si>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</si>
  <si>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</si>
  <si>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</si>
  <si>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</si>
  <si>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</si>
  <si>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</si>
  <si>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</si>
  <si>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</si>
  <si>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</si>
  <si>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</si>
  <si>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</si>
  <si>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</si>
  <si>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</si>
  <si>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</si>
  <si>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</si>
  <si>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</si>
  <si>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</si>
  <si>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</si>
  <si>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</si>
  <si>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</si>
  <si>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</si>
  <si>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</si>
  <si>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</si>
  <si>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</si>
  <si>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</si>
  <si>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</si>
  <si>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</si>
  <si>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</si>
  <si>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</si>
  <si>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</si>
  <si>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</si>
  <si>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</si>
  <si>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</si>
  <si>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</si>
  <si>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</si>
  <si>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</si>
  <si>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</si>
  <si>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</si>
  <si>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</si>
  <si>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</si>
  <si>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</si>
  <si>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</si>
  <si>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</si>
  <si>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</si>
  <si>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</si>
  <si>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</si>
  <si>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</si>
  <si>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</si>
  <si>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</si>
  <si>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</si>
  <si>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</si>
  <si>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</si>
  <si>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</si>
  <si>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</si>
  <si>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</si>
  <si>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</si>
  <si>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</si>
  <si>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</si>
  <si>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</si>
  <si>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</si>
  <si>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</si>
  <si>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</si>
  <si>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</si>
  <si>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</si>
  <si>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</si>
  <si>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</si>
  <si>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</si>
  <si>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</si>
  <si>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</si>
  <si>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</si>
  <si>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</si>
  <si>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</si>
  <si>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</si>
  <si>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</si>
  <si>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</si>
  <si>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</si>
  <si>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</si>
  <si>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</si>
  <si>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</si>
  <si>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</si>
  <si>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</si>
  <si>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</si>
  <si>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</si>
  <si>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</si>
  <si>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</si>
  <si>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</si>
  <si>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</si>
  <si>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</si>
  <si>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</si>
  <si>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</si>
  <si>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</si>
  <si>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</si>
  <si>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</si>
  <si>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</si>
  <si>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</si>
  <si>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</si>
  <si>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</si>
  <si>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</si>
  <si>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</si>
  <si>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</si>
  <si>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</si>
  <si>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</si>
  <si>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</si>
  <si>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</si>
  <si>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</si>
  <si>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</si>
  <si>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</si>
  <si>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</si>
  <si>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</si>
  <si>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</si>
  <si>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</si>
  <si>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</si>
  <si>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</si>
  <si>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</si>
  <si>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</si>
  <si>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</si>
  <si>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</si>
  <si>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</si>
  <si>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</si>
  <si>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</si>
  <si>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</si>
  <si>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</si>
  <si>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</si>
  <si>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</si>
  <si>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</si>
  <si>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</si>
  <si>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</si>
  <si>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</si>
  <si>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</si>
  <si>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</si>
  <si>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</si>
  <si>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</si>
  <si>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</si>
  <si>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</si>
  <si>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</si>
  <si>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</si>
  <si>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</si>
  <si>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</si>
  <si>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</si>
  <si>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</si>
  <si>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</si>
  <si>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</si>
  <si>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</si>
  <si>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</si>
  <si>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</si>
  <si>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</si>
  <si>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</si>
  <si>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</si>
  <si>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</si>
  <si>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</si>
  <si>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</si>
  <si>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</si>
  <si>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</si>
  <si>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</si>
  <si>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</si>
  <si>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</si>
  <si>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</si>
  <si>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</si>
  <si>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</si>
  <si>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</si>
  <si>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</si>
  <si>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</si>
  <si>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</si>
  <si>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</si>
  <si>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</si>
  <si>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</si>
  <si>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</si>
  <si>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</si>
  <si>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</si>
  <si>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</si>
  <si>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</si>
  <si>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</si>
  <si>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</si>
  <si>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</si>
  <si>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</si>
  <si>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</si>
  <si>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</si>
  <si>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</si>
  <si>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</si>
  <si>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</si>
  <si>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</si>
  <si>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</si>
  <si>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</si>
  <si>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</si>
  <si>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</si>
  <si>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</si>
  <si>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</si>
  <si>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</si>
  <si>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</si>
  <si>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</si>
  <si>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</si>
  <si>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</si>
  <si>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</si>
  <si>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</si>
  <si>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</si>
  <si>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</si>
  <si>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</si>
  <si>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</si>
  <si>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</si>
  <si>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</si>
  <si>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</si>
  <si>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</si>
  <si>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</si>
  <si>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</si>
  <si>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</si>
  <si>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</si>
  <si>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</si>
  <si>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</si>
  <si>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</si>
  <si>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</si>
  <si>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</si>
  <si>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</si>
  <si>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</si>
  <si>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</si>
  <si>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</si>
  <si>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</si>
  <si>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</si>
  <si>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</si>
  <si>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</si>
  <si>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</si>
  <si>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</si>
  <si>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</si>
  <si>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</si>
  <si>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</si>
  <si>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</si>
  <si>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</si>
  <si>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</si>
  <si>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</si>
  <si>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</si>
  <si>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</si>
  <si>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</si>
  <si>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</si>
  <si>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</si>
  <si>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</si>
  <si>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</si>
  <si>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</si>
  <si>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</si>
  <si>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</si>
  <si>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</si>
  <si>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</si>
  <si>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</si>
  <si>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</si>
  <si>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</si>
  <si>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</si>
  <si>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</si>
  <si>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</si>
  <si>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</si>
  <si>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</si>
  <si>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</si>
  <si>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</si>
  <si>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</si>
  <si>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</si>
  <si>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</si>
  <si>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</si>
  <si>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</si>
  <si>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</si>
  <si>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</si>
  <si>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</si>
  <si>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</si>
  <si>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</si>
  <si>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</si>
  <si>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</si>
  <si>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</si>
  <si>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</si>
  <si>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</si>
  <si>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</si>
  <si>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</si>
  <si>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</si>
  <si>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</si>
  <si>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</si>
  <si>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</si>
  <si>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</si>
  <si>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</si>
  <si>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</si>
  <si>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</si>
  <si>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</si>
  <si>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</si>
  <si>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</si>
  <si>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</si>
  <si>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</si>
  <si>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</si>
  <si>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</si>
  <si>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</si>
  <si>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</si>
  <si>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</si>
  <si>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</si>
  <si>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</si>
  <si>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</si>
  <si>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</si>
  <si>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</si>
  <si>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</si>
  <si>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</si>
  <si>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</si>
  <si>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</si>
  <si>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</si>
  <si>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</si>
  <si>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</si>
  <si>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</si>
  <si>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</si>
  <si>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</si>
  <si>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</si>
  <si>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</si>
  <si>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</si>
  <si>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</si>
  <si>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</si>
  <si>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</si>
  <si>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</si>
  <si>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</si>
  <si>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</si>
  <si>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</si>
  <si>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</si>
  <si>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</si>
  <si>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</si>
  <si>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</si>
  <si>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</si>
  <si>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</si>
  <si>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</si>
  <si>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</si>
  <si>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</si>
  <si>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</si>
  <si>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</si>
  <si>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</si>
  <si>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</si>
  <si>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</si>
  <si>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</si>
  <si>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</si>
  <si>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</si>
  <si>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</si>
  <si>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</si>
  <si>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</si>
  <si>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</si>
  <si>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</si>
  <si>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</si>
  <si>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</si>
  <si>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</si>
  <si>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</si>
  <si>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</si>
  <si>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</si>
  <si>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</si>
  <si>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</si>
  <si>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</si>
  <si>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</si>
  <si>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</si>
  <si>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</si>
  <si>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</si>
  <si>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</si>
  <si>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</si>
  <si>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</si>
  <si>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</si>
  <si>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</si>
  <si>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</si>
  <si>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</si>
  <si>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</si>
  <si>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</si>
  <si>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</si>
  <si>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</si>
  <si>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</si>
  <si>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</si>
  <si>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</si>
  <si>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</si>
  <si>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</si>
  <si>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</si>
  <si>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</si>
  <si>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</si>
  <si>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</si>
  <si>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</si>
  <si>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</si>
  <si>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</si>
  <si>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</si>
  <si>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</si>
  <si>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</si>
  <si>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</si>
  <si>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</si>
  <si>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</si>
  <si>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</si>
  <si>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</si>
  <si>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</si>
  <si>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</si>
  <si>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</si>
  <si>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</si>
  <si>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</si>
  <si>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</si>
  <si>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</si>
  <si>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</si>
  <si>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</si>
  <si>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</si>
  <si>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</si>
  <si>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</si>
  <si>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</si>
  <si>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</si>
  <si>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</si>
  <si>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</si>
  <si>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</si>
  <si>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</si>
  <si>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</si>
  <si>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</si>
  <si>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</si>
  <si>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</si>
  <si>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</si>
  <si>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</si>
  <si>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</si>
  <si>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</si>
  <si>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</si>
  <si>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</si>
  <si>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</si>
  <si>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</si>
  <si>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</si>
  <si>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</si>
  <si>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</si>
  <si>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</si>
  <si>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</si>
  <si>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</si>
  <si>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</si>
  <si>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</si>
  <si>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</si>
  <si>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</si>
  <si>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</si>
  <si>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</si>
  <si>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</si>
  <si>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</si>
  <si>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</si>
  <si>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</si>
  <si>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</si>
  <si>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</si>
  <si>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</si>
  <si>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</si>
  <si>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</si>
  <si>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</si>
  <si>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</si>
  <si>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</si>
  <si>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</si>
  <si>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</si>
  <si>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</si>
  <si>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</si>
  <si>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</si>
  <si>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</si>
  <si>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</si>
  <si>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</si>
  <si>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</si>
  <si>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</si>
  <si>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</si>
  <si>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</si>
  <si>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</si>
  <si>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</si>
  <si>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</si>
  <si>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</si>
  <si>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</si>
  <si>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</si>
  <si>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</si>
  <si>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</si>
  <si>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</si>
  <si>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</si>
  <si>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</si>
  <si>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</si>
  <si>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</si>
  <si>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</si>
  <si>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</si>
  <si>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</si>
  <si>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</si>
  <si>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</si>
  <si>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</si>
  <si>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</si>
  <si>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</si>
  <si>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</si>
  <si>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</si>
  <si>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</si>
  <si>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</si>
  <si>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</si>
  <si>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</si>
  <si>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</si>
  <si>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</si>
  <si>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</si>
  <si>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</si>
  <si>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</si>
  <si>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</si>
  <si>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</si>
  <si>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</si>
  <si>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</si>
  <si>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</si>
  <si>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</si>
  <si>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</si>
  <si>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</si>
  <si>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</si>
  <si>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</si>
  <si>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</si>
  <si>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</si>
  <si>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</si>
  <si>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</si>
  <si>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</si>
  <si>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</si>
  <si>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</si>
  <si>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</si>
  <si>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</si>
  <si>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</si>
  <si>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</si>
  <si>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</si>
  <si>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</si>
  <si>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</si>
  <si>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</si>
  <si>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</si>
  <si>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</si>
  <si>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</si>
  <si>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</si>
  <si>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</si>
  <si>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</si>
  <si>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</si>
  <si>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</si>
  <si>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</si>
  <si>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</si>
  <si>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</si>
  <si>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</si>
  <si>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</si>
  <si>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</si>
  <si>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</si>
  <si>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</si>
  <si>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</si>
  <si>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</si>
  <si>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</si>
  <si>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</si>
  <si>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</si>
  <si>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</si>
  <si>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</si>
  <si>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</si>
  <si>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</si>
  <si>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</si>
  <si>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</si>
  <si>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</si>
  <si>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</si>
  <si>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</si>
  <si>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</si>
  <si>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</si>
  <si>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</si>
  <si>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</si>
  <si>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</si>
  <si>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</si>
  <si>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</si>
  <si>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</si>
  <si>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</si>
  <si>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</si>
  <si>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</si>
  <si>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</si>
  <si>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</si>
  <si>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</si>
  <si>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</si>
  <si>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</si>
  <si>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</si>
  <si>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</si>
  <si>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</si>
  <si>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</si>
  <si>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</si>
  <si>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</si>
  <si>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</si>
  <si>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</si>
  <si>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</si>
  <si>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</si>
  <si>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</si>
  <si>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</si>
  <si>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</si>
  <si>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</si>
  <si>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</si>
  <si>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</si>
  <si>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</si>
  <si>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</si>
  <si>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</si>
  <si>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</si>
  <si>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</si>
  <si>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</si>
  <si>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</si>
  <si>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</si>
  <si>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</si>
  <si>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</si>
  <si>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</si>
  <si>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</si>
  <si>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</si>
  <si>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</si>
  <si>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</si>
  <si>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</si>
  <si>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</si>
  <si>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</si>
  <si>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</si>
  <si>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</si>
  <si>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</si>
  <si>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</si>
  <si>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</si>
  <si>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</si>
  <si>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</si>
  <si>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</si>
  <si>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</si>
  <si>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</si>
  <si>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</si>
  <si>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</si>
  <si>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</si>
  <si>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</si>
  <si>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</si>
  <si>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</si>
  <si>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</si>
  <si>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</si>
  <si>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</si>
  <si>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</si>
  <si>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</si>
  <si>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</si>
  <si>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</si>
  <si>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</si>
  <si>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</si>
  <si>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</si>
  <si>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</si>
  <si>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</si>
  <si>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</si>
  <si>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</si>
  <si>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</si>
  <si>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</si>
  <si>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</si>
  <si>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</si>
  <si>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</si>
  <si>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</si>
  <si>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</si>
  <si>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</si>
  <si>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</si>
  <si>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</si>
  <si>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</si>
  <si>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</si>
  <si>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</si>
  <si>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</si>
  <si>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</si>
  <si>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</si>
  <si>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</si>
  <si>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</si>
  <si>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</si>
  <si>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</si>
  <si>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</si>
  <si>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</si>
  <si>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</si>
  <si>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</si>
  <si>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</si>
  <si>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</si>
  <si>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</si>
  <si>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</si>
  <si>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</si>
  <si>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</si>
  <si>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</si>
  <si>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</si>
  <si>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</si>
  <si>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</si>
  <si>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</si>
  <si>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</si>
  <si>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</si>
  <si>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</si>
  <si>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</si>
  <si>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</si>
  <si>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</si>
  <si>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</si>
  <si>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</si>
  <si>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</si>
  <si>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</si>
  <si>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</si>
  <si>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</si>
  <si>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</si>
  <si>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</si>
  <si>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</si>
  <si>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</si>
  <si>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</si>
  <si>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</si>
  <si>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</si>
  <si>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</si>
  <si>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</si>
  <si>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</si>
  <si>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</si>
  <si>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</si>
  <si>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</si>
  <si>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</si>
  <si>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</si>
  <si>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</si>
  <si>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</si>
  <si>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</si>
  <si>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</si>
  <si>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</si>
  <si>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</si>
  <si>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</si>
  <si>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</si>
  <si>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</si>
  <si>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</si>
  <si>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</si>
  <si>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</si>
  <si>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</si>
  <si>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</si>
  <si>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</si>
  <si>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</si>
  <si>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</si>
  <si>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</si>
  <si>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</si>
  <si>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</si>
  <si>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</si>
  <si>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</si>
  <si>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</si>
  <si>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</si>
  <si>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</si>
  <si>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</si>
  <si>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</si>
  <si>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</si>
  <si>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</si>
  <si>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</si>
  <si>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</si>
  <si>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</si>
  <si>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</si>
  <si>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</si>
  <si>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</si>
  <si>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</si>
  <si>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</si>
  <si>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</si>
  <si>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</si>
  <si>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</si>
  <si>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</si>
  <si>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</si>
  <si>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</si>
  <si>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</si>
  <si>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</si>
  <si>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</si>
  <si>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</si>
  <si>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</si>
  <si>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</si>
  <si>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</si>
  <si>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</si>
  <si>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</si>
  <si>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</si>
  <si>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</si>
  <si>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</si>
  <si>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</si>
  <si>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</si>
  <si>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</si>
  <si>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</si>
  <si>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</si>
  <si>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</si>
  <si>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</si>
  <si>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</si>
  <si>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</si>
  <si>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</si>
  <si>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</si>
  <si>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地下</t>
  </si>
  <si>
    <t>地上</t>
  </si>
  <si>
    <t>是</t>
  </si>
  <si>
    <t>成新度</t>
  </si>
  <si>
    <t>宗地容积率</t>
  </si>
  <si>
    <t>不临65条商业街</t>
  </si>
  <si>
    <t>通路</t>
  </si>
  <si>
    <t>通电</t>
  </si>
  <si>
    <t>通讯</t>
  </si>
  <si>
    <t>通上水</t>
  </si>
  <si>
    <t>通下水</t>
  </si>
  <si>
    <t>通热</t>
  </si>
  <si>
    <t>燃气</t>
  </si>
  <si>
    <t>平整</t>
  </si>
  <si>
    <t>与级别开发程度一致</t>
  </si>
  <si>
    <t>较好</t>
  </si>
  <si>
    <t>较差</t>
  </si>
  <si>
    <t>好</t>
  </si>
  <si>
    <t>未包含在土地购买价格中</t>
  </si>
  <si>
    <t>全部缴纳</t>
  </si>
  <si>
    <t>已包含在土地取得成本中</t>
  </si>
  <si>
    <t>收益法</t>
  </si>
  <si>
    <t>钢混</t>
  </si>
  <si>
    <t>非生产用房</t>
  </si>
  <si>
    <t>自定义</t>
  </si>
  <si>
    <t>收益法(车位)</t>
  </si>
  <si>
    <t>收益法(车位)</t>
    <phoneticPr fontId="16" type="noConversion"/>
  </si>
  <si>
    <t>收益法（汇总）</t>
  </si>
  <si>
    <t>利息：取LPR加浮动点数</t>
  </si>
  <si>
    <t>项目模式</t>
  </si>
  <si>
    <t>售价</t>
  </si>
  <si>
    <t>正常</t>
  </si>
  <si>
    <t>比较法-办公</t>
  </si>
  <si>
    <t>和睦家</t>
  </si>
  <si>
    <t>和睦家</t>
    <phoneticPr fontId="134" type="noConversion"/>
  </si>
  <si>
    <t>面积</t>
    <phoneticPr fontId="134" type="noConversion"/>
  </si>
  <si>
    <t>租金</t>
    <phoneticPr fontId="134" type="noConversion"/>
  </si>
  <si>
    <t>昆仑万维</t>
  </si>
  <si>
    <t>昆仑万维</t>
    <phoneticPr fontId="134" type="noConversion"/>
  </si>
  <si>
    <t>地上</t>
    <phoneticPr fontId="134" type="noConversion"/>
  </si>
  <si>
    <t>地下</t>
    <phoneticPr fontId="134" type="noConversion"/>
  </si>
  <si>
    <t>楼层</t>
    <phoneticPr fontId="134" type="noConversion"/>
  </si>
  <si>
    <t>建筑面积</t>
    <phoneticPr fontId="134" type="noConversion"/>
  </si>
  <si>
    <t>附属机房层</t>
    <phoneticPr fontId="134" type="noConversion"/>
  </si>
  <si>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</si>
  <si>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</si>
  <si>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</si>
  <si>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</si>
  <si>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</si>
  <si>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</si>
  <si>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</si>
  <si>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</si>
  <si>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</si>
  <si>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</si>
  <si>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</si>
  <si>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</si>
  <si>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</si>
  <si>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</si>
  <si>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</si>
  <si>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</si>
  <si>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</si>
  <si>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</si>
  <si>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</si>
  <si>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</si>
  <si>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</si>
  <si>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</si>
  <si>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</si>
  <si>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phoneticPr fontId="134" type="noConversion"/>
  </si>
  <si>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</si>
  <si>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</si>
  <si>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</si>
  <si>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</si>
  <si>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</si>
  <si>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</si>
  <si>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</si>
  <si>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</si>
  <si>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</si>
  <si>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</si>
  <si>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</si>
  <si>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</si>
  <si>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</si>
  <si>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</si>
  <si>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火炬科技</t>
  </si>
  <si>
    <t>高和资本、金茂资本</t>
  </si>
  <si>
    <t>兆泰国际中心CDE座（80%股权）</t>
  </si>
  <si>
    <t>兆泰集团</t>
  </si>
  <si>
    <t>GLP 普洛斯资本</t>
  </si>
  <si>
    <t>零售</t>
  </si>
  <si>
    <t>五棵松华熙LIVE（50%股权）</t>
  </si>
  <si>
    <t>华熙集团</t>
  </si>
  <si>
    <t>旭辉集团</t>
  </si>
  <si>
    <t>2021年3月</t>
  </si>
  <si>
    <t>远洋资本</t>
  </si>
  <si>
    <r>
      <rPr>
        <sz val="8"/>
        <color rgb="FF252525"/>
        <rFont val="KaiTi"/>
        <family val="3"/>
      </rPr>
      <t>ACR 安狮资产</t>
    </r>
  </si>
  <si>
    <t>新世界燕京大厦</t>
    <phoneticPr fontId="134"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</si>
  <si>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</si>
  <si>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</si>
  <si>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</si>
  <si>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</si>
  <si>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</si>
  <si>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</si>
  <si>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</si>
  <si>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</si>
  <si>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</si>
  <si>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</si>
  <si>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</si>
  <si>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</si>
  <si>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</si>
  <si>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</si>
  <si>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</si>
  <si>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</si>
  <si>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</si>
  <si>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</si>
  <si>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</si>
  <si>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</si>
  <si>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</si>
  <si>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</si>
  <si>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</si>
  <si>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</si>
  <si>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</si>
  <si>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</si>
  <si>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</si>
  <si>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</si>
  <si>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</si>
  <si>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</si>
  <si>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</si>
  <si>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</si>
  <si>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</si>
  <si>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</si>
  <si>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</si>
  <si>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</si>
  <si>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</si>
  <si>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</si>
  <si>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</si>
  <si>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</si>
  <si>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</si>
  <si>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</si>
  <si>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</si>
  <si>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</si>
  <si>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</si>
  <si>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</si>
  <si>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</si>
  <si>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</si>
  <si>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</si>
  <si>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</si>
  <si>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</si>
  <si>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</si>
  <si>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</si>
  <si>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</si>
  <si>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</si>
  <si>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</si>
  <si>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</si>
  <si>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</si>
  <si>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</si>
  <si>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</si>
  <si>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</si>
  <si>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</si>
  <si>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</si>
  <si>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</si>
  <si>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</si>
  <si>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</si>
  <si>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</si>
  <si>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</si>
  <si>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r>
      <rPr>
        <sz val="8"/>
        <rFont val="宋体"/>
        <family val="3"/>
        <charset val="134"/>
      </rPr>
      <t>德胜国际中心</t>
    </r>
    <r>
      <rPr>
        <sz val="8"/>
        <rFont val="KaiTi"/>
        <family val="3"/>
      </rPr>
      <t>BE</t>
    </r>
    <r>
      <rPr>
        <sz val="8"/>
        <rFont val="宋体"/>
        <family val="3"/>
        <charset val="134"/>
      </rPr>
      <t>座</t>
    </r>
    <phoneticPr fontId="134" type="noConversion"/>
  </si>
  <si>
    <t>西城区</t>
  </si>
  <si>
    <t>金融街控股</t>
  </si>
  <si>
    <r>
      <rPr>
        <sz val="8"/>
        <color rgb="FF252525"/>
        <rFont val="KaiTi"/>
        <family val="3"/>
      </rPr>
      <t>凯龙瑞</t>
    </r>
  </si>
  <si>
    <t>北京来福士中心</t>
  </si>
  <si>
    <t>北京来福士中心</t>
    <phoneticPr fontId="134" type="noConversion"/>
  </si>
  <si>
    <t>新世界燕京大厦</t>
  </si>
  <si>
    <t>德胜国际中心</t>
  </si>
  <si>
    <t>办公</t>
    <phoneticPr fontId="31" type="noConversion"/>
  </si>
  <si>
    <t>商业（酒店）</t>
    <phoneticPr fontId="31" type="noConversion"/>
  </si>
  <si>
    <t>2021-9-1</t>
    <phoneticPr fontId="31" type="noConversion"/>
  </si>
  <si>
    <t>2021-3-1</t>
    <phoneticPr fontId="31" type="noConversion"/>
  </si>
  <si>
    <t>2021-6-1</t>
    <phoneticPr fontId="31" type="noConversion"/>
  </si>
  <si>
    <t>商业、办公</t>
  </si>
  <si>
    <t>商业、办公</t>
    <phoneticPr fontId="31" type="noConversion"/>
  </si>
  <si>
    <t>七通</t>
  </si>
  <si>
    <t>支路</t>
  </si>
  <si>
    <t>支路</t>
    <phoneticPr fontId="31" type="noConversion"/>
  </si>
  <si>
    <t>主干道</t>
  </si>
  <si>
    <t>主干道</t>
    <phoneticPr fontId="31" type="noConversion"/>
  </si>
  <si>
    <t>次干道</t>
  </si>
  <si>
    <t>次干道</t>
    <phoneticPr fontId="31" type="noConversion"/>
  </si>
  <si>
    <t>高速路</t>
    <phoneticPr fontId="31" type="noConversion"/>
  </si>
  <si>
    <t>商务楼</t>
  </si>
  <si>
    <t>商务楼</t>
    <phoneticPr fontId="31" type="noConversion"/>
  </si>
  <si>
    <t>钢混</t>
    <phoneticPr fontId="31" type="noConversion"/>
  </si>
  <si>
    <t>精装</t>
  </si>
  <si>
    <t>精装</t>
    <phoneticPr fontId="31" type="noConversion"/>
  </si>
  <si>
    <t>专业</t>
  </si>
  <si>
    <t>专业</t>
    <phoneticPr fontId="31" type="noConversion"/>
  </si>
  <si>
    <t>六通</t>
  </si>
  <si>
    <t>六通</t>
    <phoneticPr fontId="31" type="noConversion"/>
  </si>
  <si>
    <t>普装</t>
  </si>
  <si>
    <t>普装</t>
    <phoneticPr fontId="31" type="noConversion"/>
  </si>
  <si>
    <t>北京来福士中心</t>
    <phoneticPr fontId="3" type="noConversion"/>
  </si>
  <si>
    <t>德胜国际中心</t>
    <phoneticPr fontId="3" type="noConversion"/>
  </si>
  <si>
    <t>综合体</t>
    <phoneticPr fontId="31" type="noConversion"/>
  </si>
  <si>
    <t>写字楼</t>
  </si>
  <si>
    <t>写字楼</t>
    <phoneticPr fontId="31" type="noConversion"/>
  </si>
  <si>
    <r>
      <rPr>
        <sz val="8"/>
        <rFont val="宋体"/>
        <family val="3"/>
        <charset val="134"/>
      </rPr>
      <t>佑安中心</t>
    </r>
    <r>
      <rPr>
        <sz val="8"/>
        <rFont val="KaiTi"/>
        <family val="3"/>
      </rPr>
      <t>4</t>
    </r>
    <r>
      <rPr>
        <sz val="8"/>
        <rFont val="宋体"/>
        <family val="3"/>
        <charset val="134"/>
      </rPr>
      <t>号楼</t>
    </r>
    <phoneticPr fontId="134" type="noConversion"/>
  </si>
  <si>
    <r>
      <t>SK</t>
    </r>
    <r>
      <rPr>
        <sz val="8"/>
        <rFont val="宋体"/>
        <family val="3"/>
        <charset val="134"/>
      </rPr>
      <t>大厦</t>
    </r>
    <phoneticPr fontId="134" type="noConversion"/>
  </si>
  <si>
    <t>火炬大厦</t>
    <phoneticPr fontId="134" type="noConversion"/>
  </si>
  <si>
    <t>钻石大厦</t>
    <phoneticPr fontId="134" type="noConversion"/>
  </si>
  <si>
    <t>否</t>
  </si>
  <si>
    <t>总价</t>
  </si>
  <si>
    <t>序号</t>
  </si>
  <si>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</si>
  <si>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</si>
  <si>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</si>
  <si>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</si>
  <si>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</si>
  <si>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</si>
  <si>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</si>
  <si>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</si>
  <si>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</si>
  <si>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</si>
  <si>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</si>
  <si>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</si>
  <si>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</si>
  <si>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</si>
  <si>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</si>
  <si>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</si>
  <si>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</si>
  <si>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</si>
  <si>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</si>
  <si>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</si>
  <si>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</si>
  <si>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</si>
  <si>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</si>
  <si>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</si>
  <si>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</si>
  <si>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</si>
  <si>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</si>
  <si>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</si>
  <si>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海淀区北三环西路，大钟寺地铁站西北三百米处</t>
  </si>
  <si>
    <t>北三环</t>
  </si>
  <si>
    <t>方恒集团</t>
  </si>
  <si>
    <t>商业、写字楼</t>
  </si>
  <si>
    <t>今日头条</t>
  </si>
  <si>
    <t>方恒时尚中心土地面积：23427.26㎡，总建面90044.5㎡。分为ABCD四栋；另有156个车位，单价49万/个</t>
  </si>
  <si>
    <t>2019年</t>
  </si>
  <si>
    <t>朝阳区建国门外大街甲6号A、B座地上1-35层办公用房及地下车库房地产</t>
  </si>
  <si>
    <t>CBD</t>
  </si>
  <si>
    <t>SK集团</t>
  </si>
  <si>
    <t>和谐健康保险股份有限公司</t>
  </si>
  <si>
    <t>地上1-35层，另有298个车位；土地终止日期：2053年3月28日</t>
  </si>
  <si>
    <t>2006年</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</si>
  <si>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</si>
  <si>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</si>
  <si>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</si>
  <si>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</si>
  <si>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</si>
  <si>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</si>
  <si>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</si>
  <si>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</si>
  <si>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</si>
  <si>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</si>
  <si>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</si>
  <si>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</si>
  <si>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朝阳区工体场西路18号</t>
  </si>
  <si>
    <t>东二环</t>
  </si>
  <si>
    <t>泛海</t>
  </si>
  <si>
    <t>地下1层至地上3层（F1：1231.74平方米，F2：3470.76平方米，F3：963.48平方米）</t>
  </si>
  <si>
    <t>大新华航空大厦(现更名为中信保诚大厦)</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</si>
  <si>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</si>
  <si>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</si>
  <si>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</si>
  <si>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</si>
  <si>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</si>
  <si>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</si>
  <si>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</si>
  <si>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</si>
  <si>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</si>
  <si>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</si>
  <si>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</si>
  <si>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</si>
  <si>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</si>
  <si>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</si>
  <si>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</si>
  <si>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</si>
  <si>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</si>
  <si>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2009年</t>
  </si>
  <si>
    <t>兆泰国际中心CDE座</t>
  </si>
  <si>
    <t>朝阳区朝阳门南大街东侧雅宝路危改二期A区</t>
  </si>
  <si>
    <t>兆泰</t>
  </si>
  <si>
    <t>普洛斯资本</t>
  </si>
  <si>
    <t>土地终止日2054-8-30</t>
  </si>
  <si>
    <t>2020年</t>
  </si>
  <si>
    <t>东城区磁器口大街136号「新世界燕京大厦」商业、车位、库房</t>
  </si>
  <si>
    <t>磁器口</t>
  </si>
  <si>
    <t>拟改造为数据中心，地下3层地上4层；土地终止日期商业2044-8-30止，车位及库房2054年8月30</t>
  </si>
  <si>
    <t>2014年</t>
  </si>
  <si>
    <t>方恒时尚中心1#B1-F4</t>
    <phoneticPr fontId="134" type="noConversion"/>
  </si>
  <si>
    <t>光彩国际公寓部分底商</t>
    <phoneticPr fontId="134" type="noConversion"/>
  </si>
  <si>
    <t>SK大厦</t>
    <phoneticPr fontId="134" type="noConversion"/>
  </si>
  <si>
    <t>和睦家</t>
    <phoneticPr fontId="134" type="noConversion"/>
  </si>
  <si>
    <t>地上</t>
    <phoneticPr fontId="134" type="noConversion"/>
  </si>
  <si>
    <t>地下</t>
    <phoneticPr fontId="134" type="noConversion"/>
  </si>
  <si>
    <t>昆仑万维</t>
    <phoneticPr fontId="134" type="noConversion"/>
  </si>
  <si>
    <t>地下1层</t>
    <phoneticPr fontId="134" type="noConversion"/>
  </si>
  <si>
    <t>地下2层</t>
    <phoneticPr fontId="134" type="noConversion"/>
  </si>
  <si>
    <t>和睦家</t>
    <phoneticPr fontId="7" type="noConversion"/>
  </si>
  <si>
    <t>车库</t>
    <phoneticPr fontId="7" type="noConversion"/>
  </si>
  <si>
    <t>昆仑万维</t>
    <phoneticPr fontId="7" type="noConversion"/>
  </si>
  <si>
    <t>押三</t>
  </si>
  <si>
    <t>收益法(2)</t>
  </si>
  <si>
    <t>收益法(2)</t>
    <phoneticPr fontId="16" type="noConversion"/>
  </si>
  <si>
    <t>地下占比</t>
    <phoneticPr fontId="31" type="noConversion"/>
  </si>
  <si>
    <t>商业</t>
    <phoneticPr fontId="31" type="noConversion"/>
  </si>
  <si>
    <t>租约租金</t>
    <phoneticPr fontId="134" type="noConversion"/>
  </si>
  <si>
    <t>客观租金</t>
    <phoneticPr fontId="134" type="noConversion"/>
  </si>
  <si>
    <t>光彩国际公寓商业</t>
    <phoneticPr fontId="3" type="noConversion"/>
  </si>
  <si>
    <t>现房</t>
  </si>
  <si>
    <t>项目全部</t>
  </si>
  <si>
    <t>折算到产权面积</t>
    <phoneticPr fontId="134" type="noConversion"/>
  </si>
  <si>
    <t>郑燚</t>
  </si>
  <si>
    <t>崔锴</t>
  </si>
  <si>
    <t>和睦家合同租金</t>
    <phoneticPr fontId="134" type="noConversion"/>
  </si>
  <si>
    <t>第一年</t>
    <phoneticPr fontId="134" type="noConversion"/>
  </si>
  <si>
    <t>第二年</t>
    <phoneticPr fontId="134" type="noConversion"/>
  </si>
  <si>
    <t>第三年</t>
    <phoneticPr fontId="134" type="noConversion"/>
  </si>
  <si>
    <t>第四年</t>
    <phoneticPr fontId="134" type="noConversion"/>
  </si>
  <si>
    <t>第五年</t>
    <phoneticPr fontId="134" type="noConversion"/>
  </si>
  <si>
    <t>第六年</t>
    <phoneticPr fontId="134" type="noConversion"/>
  </si>
  <si>
    <t>第七年</t>
    <phoneticPr fontId="134" type="noConversion"/>
  </si>
  <si>
    <t>第八年</t>
    <phoneticPr fontId="134" type="noConversion"/>
  </si>
  <si>
    <t>第九年</t>
    <phoneticPr fontId="134" type="noConversion"/>
  </si>
  <si>
    <t>第十年</t>
    <phoneticPr fontId="134" type="noConversion"/>
  </si>
  <si>
    <t>第十一年</t>
    <phoneticPr fontId="134" type="noConversion"/>
  </si>
  <si>
    <t>第十二年</t>
    <phoneticPr fontId="134" type="noConversion"/>
  </si>
  <si>
    <t>第十三年</t>
    <phoneticPr fontId="134" type="noConversion"/>
  </si>
  <si>
    <t>第十四年</t>
    <phoneticPr fontId="134" type="noConversion"/>
  </si>
  <si>
    <t>第十五年</t>
    <phoneticPr fontId="134" type="noConversion"/>
  </si>
  <si>
    <t>第十六年</t>
    <phoneticPr fontId="134" type="noConversion"/>
  </si>
  <si>
    <t>第十七年</t>
    <phoneticPr fontId="134" type="noConversion"/>
  </si>
  <si>
    <t>第十八年</t>
    <phoneticPr fontId="134" type="noConversion"/>
  </si>
  <si>
    <t>第十九年</t>
    <phoneticPr fontId="134" type="noConversion"/>
  </si>
  <si>
    <t>第二十年</t>
    <phoneticPr fontId="134" type="noConversion"/>
  </si>
  <si>
    <r>
      <t>2</t>
    </r>
    <r>
      <rPr>
        <sz val="11"/>
        <color theme="1"/>
        <rFont val="宋体"/>
        <family val="3"/>
        <charset val="134"/>
        <scheme val="minor"/>
      </rPr>
      <t>022年</t>
    </r>
    <phoneticPr fontId="134" type="noConversion"/>
  </si>
  <si>
    <r>
      <t>2023年</t>
    </r>
    <r>
      <rPr>
        <sz val="11"/>
        <color theme="1"/>
        <rFont val="宋体"/>
        <family val="3"/>
        <charset val="134"/>
        <scheme val="minor"/>
      </rPr>
      <t/>
    </r>
  </si>
  <si>
    <r>
      <t>2024年</t>
    </r>
    <r>
      <rPr>
        <sz val="11"/>
        <color theme="1"/>
        <rFont val="宋体"/>
        <family val="3"/>
        <charset val="134"/>
        <scheme val="minor"/>
      </rPr>
      <t/>
    </r>
  </si>
  <si>
    <r>
      <t>2025年</t>
    </r>
    <r>
      <rPr>
        <sz val="11"/>
        <color theme="1"/>
        <rFont val="宋体"/>
        <family val="3"/>
        <charset val="134"/>
        <scheme val="minor"/>
      </rPr>
      <t/>
    </r>
  </si>
  <si>
    <r>
      <t>2026年</t>
    </r>
    <r>
      <rPr>
        <sz val="11"/>
        <color theme="1"/>
        <rFont val="宋体"/>
        <family val="3"/>
        <charset val="134"/>
        <scheme val="minor"/>
      </rPr>
      <t/>
    </r>
  </si>
  <si>
    <r>
      <t>2027年</t>
    </r>
    <r>
      <rPr>
        <sz val="11"/>
        <color theme="1"/>
        <rFont val="宋体"/>
        <family val="3"/>
        <charset val="134"/>
        <scheme val="minor"/>
      </rPr>
      <t/>
    </r>
  </si>
  <si>
    <r>
      <t>2028年</t>
    </r>
    <r>
      <rPr>
        <sz val="11"/>
        <color theme="1"/>
        <rFont val="宋体"/>
        <family val="3"/>
        <charset val="134"/>
        <scheme val="minor"/>
      </rPr>
      <t/>
    </r>
  </si>
  <si>
    <r>
      <t>2029年</t>
    </r>
    <r>
      <rPr>
        <sz val="11"/>
        <color theme="1"/>
        <rFont val="宋体"/>
        <family val="3"/>
        <charset val="134"/>
        <scheme val="minor"/>
      </rPr>
      <t/>
    </r>
  </si>
  <si>
    <r>
      <t>2030年</t>
    </r>
    <r>
      <rPr>
        <sz val="11"/>
        <color theme="1"/>
        <rFont val="宋体"/>
        <family val="3"/>
        <charset val="134"/>
        <scheme val="minor"/>
      </rPr>
      <t/>
    </r>
  </si>
  <si>
    <r>
      <t>2031年</t>
    </r>
    <r>
      <rPr>
        <sz val="11"/>
        <color theme="1"/>
        <rFont val="宋体"/>
        <family val="3"/>
        <charset val="134"/>
        <scheme val="minor"/>
      </rPr>
      <t/>
    </r>
  </si>
  <si>
    <r>
      <t>2032年</t>
    </r>
    <r>
      <rPr>
        <sz val="11"/>
        <color theme="1"/>
        <rFont val="宋体"/>
        <family val="3"/>
        <charset val="134"/>
        <scheme val="minor"/>
      </rPr>
      <t/>
    </r>
  </si>
  <si>
    <r>
      <t>2033年</t>
    </r>
    <r>
      <rPr>
        <sz val="11"/>
        <color theme="1"/>
        <rFont val="宋体"/>
        <family val="3"/>
        <charset val="134"/>
        <scheme val="minor"/>
      </rPr>
      <t/>
    </r>
  </si>
  <si>
    <r>
      <t>2034年</t>
    </r>
    <r>
      <rPr>
        <sz val="11"/>
        <color theme="1"/>
        <rFont val="宋体"/>
        <family val="3"/>
        <charset val="134"/>
        <scheme val="minor"/>
      </rPr>
      <t/>
    </r>
  </si>
  <si>
    <r>
      <t>2035年</t>
    </r>
    <r>
      <rPr>
        <sz val="11"/>
        <color theme="1"/>
        <rFont val="宋体"/>
        <family val="3"/>
        <charset val="134"/>
        <scheme val="minor"/>
      </rPr>
      <t/>
    </r>
  </si>
  <si>
    <r>
      <t>2036年</t>
    </r>
    <r>
      <rPr>
        <sz val="11"/>
        <color theme="1"/>
        <rFont val="宋体"/>
        <family val="3"/>
        <charset val="134"/>
        <scheme val="minor"/>
      </rPr>
      <t/>
    </r>
  </si>
  <si>
    <r>
      <t>2037年</t>
    </r>
    <r>
      <rPr>
        <sz val="11"/>
        <color theme="1"/>
        <rFont val="宋体"/>
        <family val="3"/>
        <charset val="134"/>
        <scheme val="minor"/>
      </rPr>
      <t/>
    </r>
  </si>
  <si>
    <r>
      <t>2038年</t>
    </r>
    <r>
      <rPr>
        <sz val="11"/>
        <color theme="1"/>
        <rFont val="宋体"/>
        <family val="3"/>
        <charset val="134"/>
        <scheme val="minor"/>
      </rPr>
      <t/>
    </r>
  </si>
  <si>
    <r>
      <t>2039年</t>
    </r>
    <r>
      <rPr>
        <sz val="11"/>
        <color theme="1"/>
        <rFont val="宋体"/>
        <family val="3"/>
        <charset val="134"/>
        <scheme val="minor"/>
      </rPr>
      <t/>
    </r>
  </si>
  <si>
    <r>
      <t>2040年</t>
    </r>
    <r>
      <rPr>
        <sz val="11"/>
        <color theme="1"/>
        <rFont val="宋体"/>
        <family val="3"/>
        <charset val="134"/>
        <scheme val="minor"/>
      </rPr>
      <t/>
    </r>
  </si>
  <si>
    <r>
      <t>2041年</t>
    </r>
    <r>
      <rPr>
        <sz val="11"/>
        <color theme="1"/>
        <rFont val="宋体"/>
        <family val="3"/>
        <charset val="134"/>
        <scheme val="minor"/>
      </rPr>
      <t/>
    </r>
  </si>
  <si>
    <t>面积</t>
    <phoneticPr fontId="134" type="noConversion"/>
  </si>
  <si>
    <t>年租金</t>
    <phoneticPr fontId="134" type="noConversion"/>
  </si>
  <si>
    <t>单价</t>
    <phoneticPr fontId="134" type="noConversion"/>
  </si>
  <si>
    <r>
      <t>递增8</t>
    </r>
    <r>
      <rPr>
        <sz val="11"/>
        <color theme="1"/>
        <rFont val="宋体"/>
        <family val="3"/>
        <charset val="134"/>
        <scheme val="minor"/>
      </rPr>
      <t>%</t>
    </r>
    <phoneticPr fontId="134" type="noConversion"/>
  </si>
  <si>
    <t>剩余租期总租金</t>
    <phoneticPr fontId="134" type="noConversion"/>
  </si>
  <si>
    <r>
      <t>2</t>
    </r>
    <r>
      <rPr>
        <sz val="11"/>
        <color theme="1"/>
        <rFont val="宋体"/>
        <family val="3"/>
        <charset val="134"/>
        <scheme val="minor"/>
      </rPr>
      <t>3年剩余</t>
    </r>
    <phoneticPr fontId="134" type="noConversion"/>
  </si>
  <si>
    <t>24-41年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</si>
</sst>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_);\(#,##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FFFFFF"/>
      <name val="宋体"/>
      <family val="3"/>
      <charset val="134"/>
    </font>
    <font>
      <sz val="8"/>
      <color rgb="FFFFFFFF"/>
      <name val="Times New Roman"/>
      <family val="1"/>
    </font>
    <font>
      <b/>
      <sz val="8"/>
      <color rgb="FFFFFFFF"/>
      <name val="等线"/>
      <family val="3"/>
      <charset val="134"/>
    </font>
    <font>
      <sz val="8"/>
      <color theme="1"/>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6"/>
      <color theme="1"/>
      <name val="KaiTi"/>
      <family val="3"/>
    </font>
    <font>
      <b/>
      <sz val="10"/>
      <color theme="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6A4D"/>
        <bgColor indexed="64"/>
      </patternFill>
    </fill>
    <fill>
      <patternFill patternType="solid">
        <fgColor rgb="FFF1F1F1"/>
        <bgColor indexed="64"/>
      </patternFill>
    </fill>
    <fill>
      <patternFill patternType="solid">
        <fgColor theme="2"/>
        <bgColor indexed="64"/>
      </patternFill>
    </fill>
    <fill>
      <patternFill patternType="solid">
        <fgColor rgb="FFC00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272" fillId="0" borderId="0" xfId="0" applyFont="1" applyAlignment="1">
      <alignment horizontal="left" vertical="top"/>
    </xf>
    <xf numFmtId="0" fontId="273" fillId="0" borderId="176" xfId="0" applyFont="1" applyBorder="1" applyAlignment="1">
      <alignment horizontal="center" vertical="top" wrapText="1"/>
    </xf>
    <xf numFmtId="0" fontId="274" fillId="0" borderId="176" xfId="0" applyFont="1" applyBorder="1" applyAlignment="1">
      <alignment horizontal="center" vertical="top" wrapText="1"/>
    </xf>
    <xf numFmtId="0" fontId="275" fillId="0" borderId="176" xfId="0" applyFont="1" applyBorder="1" applyAlignment="1">
      <alignment horizontal="left" vertical="top" wrapText="1"/>
    </xf>
    <xf numFmtId="0" fontId="274" fillId="0" borderId="177" xfId="0" applyFont="1" applyBorder="1" applyAlignment="1">
      <alignment horizontal="left" vertical="top" wrapText="1"/>
    </xf>
    <xf numFmtId="0" fontId="274" fillId="0" borderId="176" xfId="0" applyFont="1" applyBorder="1" applyAlignment="1">
      <alignment horizontal="left" vertical="top" wrapText="1" indent="1"/>
    </xf>
    <xf numFmtId="1" fontId="276" fillId="23" borderId="178" xfId="0" applyNumberFormat="1" applyFont="1" applyFill="1" applyBorder="1" applyAlignment="1">
      <alignment horizontal="center" vertical="top" shrinkToFit="1"/>
    </xf>
    <xf numFmtId="0" fontId="277" fillId="23" borderId="178" xfId="0" applyFont="1" applyFill="1" applyBorder="1" applyAlignment="1">
      <alignment horizontal="center" vertical="top" wrapText="1"/>
    </xf>
    <xf numFmtId="196" fontId="276" fillId="23" borderId="178" xfId="0" applyNumberFormat="1" applyFont="1" applyFill="1" applyBorder="1" applyAlignment="1">
      <alignment shrinkToFit="1"/>
    </xf>
    <xf numFmtId="3" fontId="276" fillId="23" borderId="178" xfId="0" applyNumberFormat="1" applyFont="1" applyFill="1" applyBorder="1" applyAlignment="1">
      <alignment shrinkToFit="1"/>
    </xf>
    <xf numFmtId="3" fontId="276" fillId="23" borderId="179" xfId="0" applyNumberFormat="1" applyFont="1" applyFill="1" applyBorder="1" applyAlignment="1">
      <alignment shrinkToFit="1"/>
    </xf>
    <xf numFmtId="0" fontId="277" fillId="23" borderId="178" xfId="0" applyFont="1" applyFill="1" applyBorder="1" applyAlignment="1">
      <alignment horizontal="center" vertical="center" wrapText="1"/>
    </xf>
    <xf numFmtId="1" fontId="276" fillId="0" borderId="178" xfId="0" applyNumberFormat="1" applyFont="1" applyBorder="1" applyAlignment="1">
      <alignment horizontal="center" vertical="top" shrinkToFit="1"/>
    </xf>
    <xf numFmtId="0" fontId="277" fillId="0" borderId="178" xfId="0" applyFont="1" applyBorder="1" applyAlignment="1">
      <alignment horizontal="center" vertical="top" wrapText="1"/>
    </xf>
    <xf numFmtId="1" fontId="276" fillId="0" borderId="178" xfId="0" applyNumberFormat="1" applyFont="1" applyBorder="1" applyAlignment="1">
      <alignment shrinkToFit="1"/>
    </xf>
    <xf numFmtId="3" fontId="276" fillId="0" borderId="178" xfId="0" applyNumberFormat="1" applyFont="1" applyBorder="1" applyAlignment="1">
      <alignment shrinkToFit="1"/>
    </xf>
    <xf numFmtId="3" fontId="276" fillId="0" borderId="179" xfId="0" applyNumberFormat="1" applyFont="1" applyBorder="1" applyAlignment="1">
      <alignment shrinkToFit="1"/>
    </xf>
    <xf numFmtId="0" fontId="277" fillId="0" borderId="178" xfId="0" applyFont="1" applyBorder="1" applyAlignment="1">
      <alignment horizontal="center" vertical="center" wrapText="1"/>
    </xf>
    <xf numFmtId="1" fontId="276" fillId="5" borderId="178" xfId="0" applyNumberFormat="1" applyFont="1" applyFill="1" applyBorder="1" applyAlignment="1">
      <alignment horizontal="center" vertical="top" shrinkToFit="1"/>
    </xf>
    <xf numFmtId="0" fontId="277" fillId="5" borderId="178" xfId="0" applyFont="1" applyFill="1" applyBorder="1" applyAlignment="1">
      <alignment horizontal="center" vertical="top" wrapText="1"/>
    </xf>
    <xf numFmtId="0" fontId="279" fillId="5" borderId="178" xfId="0" applyFont="1" applyFill="1" applyBorder="1" applyAlignment="1">
      <alignment horizontal="center" vertical="top" wrapText="1"/>
    </xf>
    <xf numFmtId="2" fontId="276" fillId="5" borderId="178" xfId="0" applyNumberFormat="1" applyFont="1" applyFill="1" applyBorder="1" applyAlignment="1">
      <alignment shrinkToFit="1"/>
    </xf>
    <xf numFmtId="3" fontId="276" fillId="5" borderId="178" xfId="0" applyNumberFormat="1" applyFont="1" applyFill="1" applyBorder="1" applyAlignment="1">
      <alignment shrinkToFit="1"/>
    </xf>
    <xf numFmtId="3" fontId="276" fillId="5" borderId="179" xfId="0" applyNumberFormat="1" applyFont="1" applyFill="1" applyBorder="1" applyAlignment="1">
      <alignment shrinkToFit="1"/>
    </xf>
    <xf numFmtId="0" fontId="277" fillId="5" borderId="178" xfId="0" applyFont="1" applyFill="1" applyBorder="1" applyAlignment="1">
      <alignment horizontal="center" vertical="center" wrapText="1"/>
    </xf>
    <xf numFmtId="0" fontId="272" fillId="5" borderId="0" xfId="0" applyFont="1" applyFill="1" applyAlignment="1">
      <alignment horizontal="left" vertical="top"/>
    </xf>
    <xf numFmtId="3" fontId="278" fillId="5" borderId="178" xfId="0" applyNumberFormat="1" applyFont="1" applyFill="1" applyBorder="1" applyAlignment="1">
      <alignment shrinkToFit="1"/>
    </xf>
    <xf numFmtId="1" fontId="276" fillId="0" borderId="178" xfId="0" applyNumberFormat="1" applyFont="1" applyFill="1" applyBorder="1" applyAlignment="1">
      <alignment horizontal="center" vertical="top" shrinkToFit="1"/>
    </xf>
    <xf numFmtId="0" fontId="277" fillId="0" borderId="178" xfId="0" applyFont="1" applyFill="1" applyBorder="1" applyAlignment="1">
      <alignment horizontal="center" vertical="top" wrapText="1"/>
    </xf>
    <xf numFmtId="0" fontId="279" fillId="0" borderId="178" xfId="0" applyFont="1" applyFill="1" applyBorder="1" applyAlignment="1">
      <alignment horizontal="center" vertical="top" wrapText="1"/>
    </xf>
    <xf numFmtId="196" fontId="276" fillId="0" borderId="178" xfId="0" applyNumberFormat="1" applyFont="1" applyFill="1" applyBorder="1" applyAlignment="1">
      <alignment shrinkToFit="1"/>
    </xf>
    <xf numFmtId="3" fontId="278" fillId="0" borderId="178" xfId="0" applyNumberFormat="1" applyFont="1" applyFill="1" applyBorder="1" applyAlignment="1">
      <alignment shrinkToFit="1"/>
    </xf>
    <xf numFmtId="3" fontId="278" fillId="0" borderId="179" xfId="0" applyNumberFormat="1" applyFont="1" applyFill="1" applyBorder="1" applyAlignment="1">
      <alignment shrinkToFit="1"/>
    </xf>
    <xf numFmtId="0" fontId="277" fillId="0" borderId="178" xfId="0" applyFont="1" applyFill="1" applyBorder="1" applyAlignment="1">
      <alignment horizontal="center" vertical="center" wrapText="1"/>
    </xf>
    <xf numFmtId="0" fontId="272" fillId="0" borderId="0" xfId="0" applyFont="1" applyFill="1" applyAlignment="1">
      <alignment horizontal="left" vertical="top"/>
    </xf>
    <xf numFmtId="1" fontId="276" fillId="5" borderId="180" xfId="0" applyNumberFormat="1" applyFont="1" applyFill="1" applyBorder="1" applyAlignment="1">
      <alignment horizontal="center" vertical="center" shrinkToFit="1"/>
    </xf>
    <xf numFmtId="0" fontId="277" fillId="5" borderId="180" xfId="0" applyFont="1" applyFill="1" applyBorder="1" applyAlignment="1">
      <alignment horizontal="center" vertical="center" wrapText="1"/>
    </xf>
    <xf numFmtId="2" fontId="276" fillId="5" borderId="180" xfId="0" applyNumberFormat="1" applyFont="1" applyFill="1" applyBorder="1" applyAlignment="1">
      <alignment shrinkToFit="1"/>
    </xf>
    <xf numFmtId="3" fontId="278" fillId="5" borderId="180" xfId="0" applyNumberFormat="1" applyFont="1" applyFill="1" applyBorder="1" applyAlignment="1">
      <alignment shrinkToFit="1"/>
    </xf>
    <xf numFmtId="3" fontId="278" fillId="5" borderId="181" xfId="0" applyNumberFormat="1" applyFont="1" applyFill="1" applyBorder="1" applyAlignment="1">
      <alignment shrinkToFit="1"/>
    </xf>
    <xf numFmtId="2" fontId="276" fillId="0" borderId="178" xfId="0" applyNumberFormat="1" applyFont="1" applyFill="1" applyBorder="1" applyAlignment="1">
      <alignment shrinkToFit="1"/>
    </xf>
    <xf numFmtId="3" fontId="276" fillId="0" borderId="178" xfId="0" applyNumberFormat="1" applyFont="1" applyFill="1" applyBorder="1" applyAlignment="1">
      <alignment shrinkToFit="1"/>
    </xf>
    <xf numFmtId="3" fontId="276" fillId="0" borderId="179" xfId="0" applyNumberFormat="1" applyFont="1" applyFill="1" applyBorder="1" applyAlignment="1">
      <alignment shrinkToFit="1"/>
    </xf>
    <xf numFmtId="0" fontId="277" fillId="0" borderId="178" xfId="0" applyFont="1" applyFill="1" applyBorder="1" applyAlignment="1">
      <alignment horizontal="left" vertical="top" wrapText="1"/>
    </xf>
    <xf numFmtId="1" fontId="276" fillId="0" borderId="178" xfId="0" applyNumberFormat="1" applyFont="1" applyFill="1" applyBorder="1" applyAlignment="1">
      <alignment shrinkToFit="1"/>
    </xf>
    <xf numFmtId="0" fontId="277" fillId="0" borderId="178" xfId="0" applyFont="1" applyFill="1" applyBorder="1" applyAlignment="1">
      <alignment wrapText="1"/>
    </xf>
    <xf numFmtId="0" fontId="277" fillId="0" borderId="179" xfId="0" applyFont="1" applyFill="1" applyBorder="1" applyAlignment="1">
      <alignment wrapText="1"/>
    </xf>
    <xf numFmtId="1" fontId="276" fillId="0" borderId="180" xfId="0" applyNumberFormat="1" applyFont="1" applyFill="1" applyBorder="1" applyAlignment="1">
      <alignment horizontal="center" vertical="top" shrinkToFit="1"/>
    </xf>
    <xf numFmtId="0" fontId="277" fillId="0" borderId="180" xfId="0" applyFont="1" applyFill="1" applyBorder="1" applyAlignment="1">
      <alignment horizontal="center" vertical="top" wrapText="1"/>
    </xf>
    <xf numFmtId="196" fontId="276" fillId="0" borderId="180" xfId="0" applyNumberFormat="1" applyFont="1" applyFill="1" applyBorder="1" applyAlignment="1">
      <alignment shrinkToFit="1"/>
    </xf>
    <xf numFmtId="3" fontId="278" fillId="0" borderId="180" xfId="0" applyNumberFormat="1" applyFont="1" applyFill="1" applyBorder="1" applyAlignment="1">
      <alignment shrinkToFit="1"/>
    </xf>
    <xf numFmtId="0" fontId="277" fillId="0" borderId="180" xfId="0" applyFont="1" applyFill="1" applyBorder="1" applyAlignment="1">
      <alignment horizontal="center" vertical="center" wrapText="1"/>
    </xf>
    <xf numFmtId="0" fontId="278" fillId="0" borderId="178" xfId="0" applyFont="1" applyFill="1" applyBorder="1" applyAlignment="1">
      <alignment horizontal="center" vertical="center" wrapText="1"/>
    </xf>
    <xf numFmtId="0" fontId="275" fillId="0" borderId="0" xfId="0" applyFont="1" applyFill="1" applyAlignment="1">
      <alignment horizontal="left" vertical="top"/>
    </xf>
    <xf numFmtId="197" fontId="275" fillId="0" borderId="0" xfId="0" applyNumberFormat="1" applyFont="1" applyFill="1" applyAlignment="1"/>
    <xf numFmtId="197" fontId="280" fillId="0" borderId="0" xfId="0" applyNumberFormat="1" applyFont="1" applyFill="1" applyAlignment="1"/>
    <xf numFmtId="196" fontId="276" fillId="5" borderId="178" xfId="0" applyNumberFormat="1" applyFont="1" applyFill="1" applyBorder="1" applyAlignment="1">
      <alignment shrinkToFit="1"/>
    </xf>
    <xf numFmtId="3" fontId="278" fillId="5" borderId="179" xfId="0" applyNumberFormat="1" applyFont="1" applyFill="1" applyBorder="1" applyAlignment="1">
      <alignment shrinkToFi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7" fillId="16" borderId="13" xfId="0" applyFont="1" applyFill="1" applyBorder="1" applyAlignment="1" applyProtection="1">
      <alignment horizontal="right" vertical="center"/>
    </xf>
    <xf numFmtId="1" fontId="276" fillId="5" borderId="178" xfId="0" applyNumberFormat="1" applyFont="1" applyFill="1" applyBorder="1" applyAlignment="1">
      <alignment shrinkToFit="1"/>
    </xf>
    <xf numFmtId="0" fontId="281" fillId="25" borderId="182" xfId="0" applyFont="1" applyFill="1" applyBorder="1" applyAlignment="1">
      <alignment vertical="center" wrapText="1"/>
    </xf>
    <xf numFmtId="0" fontId="0" fillId="0" borderId="182" xfId="0" applyBorder="1">
      <alignment vertical="center"/>
    </xf>
    <xf numFmtId="0" fontId="19" fillId="24" borderId="182" xfId="0" applyFont="1" applyFill="1" applyBorder="1" applyAlignment="1">
      <alignment vertical="center" wrapText="1"/>
    </xf>
    <xf numFmtId="31" fontId="19" fillId="24" borderId="182" xfId="0" applyNumberFormat="1" applyFont="1" applyFill="1" applyBorder="1" applyAlignment="1">
      <alignment vertical="center" wrapText="1"/>
    </xf>
    <xf numFmtId="9" fontId="19" fillId="24" borderId="182" xfId="0" applyNumberFormat="1" applyFont="1" applyFill="1" applyBorder="1" applyAlignment="1">
      <alignment vertical="center" wrapText="1"/>
    </xf>
    <xf numFmtId="0" fontId="0" fillId="0" borderId="182" xfId="0" applyFill="1" applyBorder="1">
      <alignment vertical="center"/>
    </xf>
    <xf numFmtId="0" fontId="19" fillId="5" borderId="182" xfId="0" applyFont="1" applyFill="1" applyBorder="1" applyAlignment="1">
      <alignment vertical="center" wrapText="1"/>
    </xf>
    <xf numFmtId="31" fontId="19" fillId="5" borderId="182" xfId="0" applyNumberFormat="1" applyFont="1" applyFill="1" applyBorder="1" applyAlignment="1">
      <alignment vertical="center" wrapText="1"/>
    </xf>
    <xf numFmtId="9" fontId="19" fillId="5" borderId="182" xfId="0" applyNumberFormat="1" applyFont="1" applyFill="1" applyBorder="1" applyAlignment="1">
      <alignment vertical="center" wrapText="1"/>
    </xf>
    <xf numFmtId="0" fontId="0" fillId="5" borderId="182" xfId="0" applyFill="1" applyBorder="1">
      <alignment vertical="center"/>
    </xf>
    <xf numFmtId="10" fontId="44" fillId="0"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10" fontId="4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0" fillId="5" borderId="0" xfId="0" applyFill="1">
      <alignment vertical="center"/>
    </xf>
    <xf numFmtId="0" fontId="19" fillId="0" borderId="182" xfId="0" applyFont="1" applyFill="1" applyBorder="1" applyAlignment="1">
      <alignment vertical="center" wrapText="1"/>
    </xf>
    <xf numFmtId="31" fontId="19" fillId="0" borderId="182" xfId="0" applyNumberFormat="1" applyFont="1" applyFill="1" applyBorder="1" applyAlignment="1">
      <alignment vertical="center" wrapText="1"/>
    </xf>
    <xf numFmtId="9" fontId="19" fillId="0" borderId="182" xfId="0" applyNumberFormat="1"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22" borderId="0" xfId="0" applyFont="1" applyFill="1" applyAlignment="1">
      <alignment horizontal="left" vertical="top"/>
    </xf>
    <xf numFmtId="0" fontId="272" fillId="22" borderId="0" xfId="0" applyFont="1" applyFill="1" applyAlignment="1">
      <alignment horizontal="left" vertical="top"/>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5" borderId="0" xfId="0" applyFon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估价对象为北京市房地产，为所有。根据《国有土地使用证》[]，估价对象（分摊）出让国有建设用地使用权面积为11305.41平方米，建筑面积为68805.62平方米。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估价对象为北京市房地产,为开发建设的，该项目尚在开发建设中。根据《国有土地使用证》[]，估价对象（分摊）出让国有建设用地使用权面积为11305.41平方米，规划建筑面积为68805.62平方米。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2023年3月6日</v>
      </c>
    </row>
    <row r="13" spans="1:2" s="1203" customFormat="1">
      <c r="A13" s="1201" t="s">
        <v>529</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240865</v>
      </c>
    </row>
    <row r="21" spans="1:2" s="1203" customFormat="1">
      <c r="A21" s="1201" t="s">
        <v>537</v>
      </c>
      <c r="B21" s="1202">
        <f ca="1">'预评函-2'!D7</f>
        <v>35007</v>
      </c>
    </row>
    <row r="22" spans="1:2" s="1203" customFormat="1">
      <c r="A22" s="1201" t="s">
        <v>538</v>
      </c>
      <c r="B22" s="1202" t="str">
        <f ca="1">'预评函-2'!D6</f>
        <v>贰拾肆亿零捌佰陆拾伍万元整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240865</v>
      </c>
    </row>
    <row r="31" spans="1:2" s="1203" customFormat="1">
      <c r="A31" s="1201" t="s">
        <v>576</v>
      </c>
      <c r="B31" s="1202">
        <f ca="1">'预评函-2'!D15</f>
        <v>35007</v>
      </c>
    </row>
    <row r="32" spans="1:2" s="1203" customFormat="1">
      <c r="A32" s="1201" t="s">
        <v>543</v>
      </c>
      <c r="B32" s="1202" t="str">
        <f ca="1">'预评函-2'!D14</f>
        <v>贰拾肆亿零捌佰陆拾伍万元整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68805.62</v>
      </c>
    </row>
    <row r="44" spans="1:2" s="1203" customFormat="1">
      <c r="A44" s="1201" t="s">
        <v>575</v>
      </c>
      <c r="B44" s="1202" t="str">
        <f>'预评函-3'!C2</f>
        <v>(分摊)土地面积</v>
      </c>
    </row>
    <row r="45" spans="1:2" s="1203" customFormat="1">
      <c r="A45" s="1201" t="s">
        <v>547</v>
      </c>
      <c r="B45" s="1202">
        <f>'预评函-3'!C4</f>
        <v>11305.41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D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3409</v>
      </c>
      <c r="C19" s="1547"/>
    </row>
    <row r="20" spans="1:3">
      <c r="A20" s="1546" t="s">
        <v>1048</v>
      </c>
      <c r="B20" s="1546" t="s">
        <v>3692</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385</v>
      </c>
      <c r="C54" s="1551" t="s">
        <v>583</v>
      </c>
    </row>
    <row r="55" spans="1:4">
      <c r="A55" s="3596"/>
      <c r="B55" s="1554" t="s">
        <v>386</v>
      </c>
      <c r="C55" s="1551" t="s">
        <v>584</v>
      </c>
    </row>
    <row r="56" spans="1:4">
      <c r="A56" s="3596"/>
      <c r="B56" s="1554" t="s">
        <v>387</v>
      </c>
      <c r="C56" s="1551" t="s">
        <v>588</v>
      </c>
    </row>
    <row r="57" spans="1:4">
      <c r="A57" s="35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6" sqref="A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97" t="s">
        <v>2583</v>
      </c>
      <c r="J2" s="3597"/>
      <c r="K2" s="3597"/>
      <c r="L2" s="3597"/>
      <c r="M2" s="3597"/>
      <c r="N2" s="3597"/>
      <c r="O2" s="3597"/>
      <c r="P2" s="3597"/>
      <c r="Q2" s="3597"/>
      <c r="R2" s="3597"/>
    </row>
    <row r="3" spans="1:18">
      <c r="A3" s="3020" t="s">
        <v>2504</v>
      </c>
      <c r="B3" s="3021">
        <f>项目基本情况!D3</f>
        <v>44991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51866</v>
      </c>
      <c r="C5" s="3023">
        <f>ROUNDDOWN(MIN((B5-B3)/365,A5),2)</f>
        <v>18.829999999999998</v>
      </c>
      <c r="D5" s="3025">
        <f>IF(ISERROR(ROUND(POWER(1+E5,A5-C5)*(POWER(1+E5,C5)-1)/(POWER(1+E5,A5)-1),3)),0,ROUND(POWER(1+E5,A5-C5)*(POWER(1+E5,C5)-1)/(POWER(1+E5,A5)-1),4))</f>
        <v>0.65959999999999996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45291</v>
      </c>
      <c r="C6" s="3023">
        <f>ROUNDDOWN(MIN((B6-B3)/365,A6),2)</f>
        <v>0.82</v>
      </c>
      <c r="D6" s="3025">
        <f>IF(ISERROR(ROUND(POWER(1+E6,A6-C6)*(POWER(1+E6,C6)-1)/(POWER(1+E6,A6)-1),3)),0,ROUND(POWER(1+E6,A6-C6)*(POWER(1+E6,C6)-1)/(POWER(1+E6,A6)-1),4))</f>
        <v>3.6799999999999999E-2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06" t="str">
        <f>IF(B10="北京市","北京市",C10)&amp;F10&amp;IF(结果表!G1="在建","出让国有建设用地使用权及在建建筑物",IF(结果表!G1="土地","出让国有建设用地使用权",))&amp;B9&amp;"预评估"</f>
        <v>北京市房地产抵押价值预评估</v>
      </c>
      <c r="C1" s="3607"/>
      <c r="D1" s="3607"/>
      <c r="E1" s="3607"/>
      <c r="F1" s="3607"/>
      <c r="G1" s="3607"/>
      <c r="H1" s="3607"/>
      <c r="I1" s="36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3701</v>
      </c>
      <c r="C4" s="2376">
        <f ca="1">SUMIF(注册房地产估价师,B4,估价师及机构信息!B3:B24)</f>
        <v>1120070131</v>
      </c>
      <c r="D4" s="2375" t="s">
        <v>3702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609"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610"/>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54347</v>
      </c>
      <c r="E13" s="856"/>
      <c r="F13" s="856">
        <v>57999</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25.63</v>
      </c>
      <c r="E15" s="2410" t="str">
        <f>IF(A13="出让",IF(E13="","",ROUNDDOWN(MIN((E13-$D$3)/365,E14),2)),E14)</f>
        <v/>
      </c>
      <c r="F15" s="2410">
        <f>IF(A13="出让",IF(F13="","",ROUNDDOWN(MIN((F13-$D$3)/365,F14),2)),F14)</f>
        <v>35.630000000000003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16"/>
      <c r="C16" s="3617"/>
      <c r="D16" s="3618"/>
      <c r="E16" s="2413" t="s">
        <v>2194</v>
      </c>
      <c r="F16" s="3619"/>
      <c r="G16" s="3620"/>
      <c r="H16" s="3620"/>
      <c r="I16" s="3621"/>
      <c r="J16" s="2439"/>
      <c r="K16" s="2617"/>
      <c r="L16" s="2451"/>
      <c r="M16" s="2451"/>
      <c r="N16" s="2509"/>
      <c r="O16" s="2451"/>
      <c r="P16" s="2509"/>
      <c r="Q16" s="2439"/>
      <c r="R16" s="2439"/>
    </row>
    <row r="17" spans="1:28">
      <c r="A17" s="313" t="s">
        <v>2195</v>
      </c>
      <c r="B17" s="302" t="s">
        <v>2196</v>
      </c>
      <c r="C17" s="8">
        <f>'数据-汇总表'!E3</f>
        <v>68805.62</v>
      </c>
      <c r="D17" s="2322" t="s">
        <v>2197</v>
      </c>
      <c r="E17" s="3622" t="s">
        <v>2198</v>
      </c>
      <c r="F17" s="3623"/>
      <c r="G17" s="3623"/>
      <c r="H17" s="3623"/>
      <c r="I17" s="36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11305.41</v>
      </c>
      <c r="D18" s="1092" t="s">
        <v>2201</v>
      </c>
      <c r="E18" s="3625" t="s">
        <v>2202</v>
      </c>
      <c r="F18" s="3626"/>
      <c r="G18" s="3626"/>
      <c r="H18" s="3626"/>
      <c r="I18" s="36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12" t="s">
        <v>2206</v>
      </c>
      <c r="C20" s="3613"/>
      <c r="D20" s="3614" t="s">
        <v>2207</v>
      </c>
      <c r="E20" s="3615"/>
      <c r="F20" s="2647" t="s">
        <v>1056</v>
      </c>
      <c r="G20" s="2664"/>
      <c r="H20" s="2664"/>
      <c r="I20" s="2664"/>
      <c r="J20" s="2439"/>
      <c r="K20" s="36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00"/>
      <c r="B30" s="302" t="s">
        <v>2218</v>
      </c>
      <c r="C30" s="3601"/>
      <c r="D30" s="3602"/>
      <c r="E30" s="2664"/>
      <c r="F30" s="2664"/>
      <c r="G30" s="2664"/>
      <c r="H30" s="2664"/>
      <c r="I30" s="2664"/>
      <c r="J30" s="2439"/>
      <c r="K30" s="2616"/>
      <c r="L30" s="2613"/>
      <c r="M30" s="2613"/>
      <c r="N30" s="2439"/>
      <c r="O30" s="2450"/>
      <c r="P30" s="2439"/>
      <c r="Q30" s="2439"/>
      <c r="R30" s="2439"/>
      <c r="S30" s="2439"/>
      <c r="T30" s="2439"/>
      <c r="U30" s="2439"/>
      <c r="V30" s="2439"/>
    </row>
    <row r="31" spans="1:28">
      <c r="A31" s="36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98" t="s">
        <v>2228</v>
      </c>
      <c r="T34" s="2428" t="str">
        <f>NUMBERSTRING(7-K34,1)&amp;"通"</f>
        <v>七通</v>
      </c>
      <c r="U34" s="2439"/>
      <c r="V34" s="2439"/>
    </row>
    <row r="35" spans="1:30">
      <c r="A35" s="2429"/>
      <c r="B35" s="3605" t="s">
        <v>2229</v>
      </c>
      <c r="C35" s="3605"/>
      <c r="D35" s="3605"/>
      <c r="E35" s="36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137</v>
      </c>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11305.41</v>
      </c>
      <c r="B3" s="11">
        <f>IF(C3="否",G5-AT5,G5)</f>
        <v>68805.62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68805.62</v>
      </c>
      <c r="H5" s="13">
        <f t="shared" ref="H5:AT5" si="0">SUM(H13:H656)</f>
        <v>68185.06</v>
      </c>
      <c r="I5" s="13">
        <f t="shared" si="0"/>
        <v>37408.559999999998</v>
      </c>
      <c r="J5" s="13">
        <f t="shared" si="0"/>
        <v>0</v>
      </c>
      <c r="K5" s="13">
        <f t="shared" si="0"/>
        <v>9383.2000000000007</v>
      </c>
      <c r="L5" s="13">
        <f t="shared" si="0"/>
        <v>0</v>
      </c>
      <c r="M5" s="13">
        <f t="shared" si="0"/>
        <v>21393.3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620.55999999999995</v>
      </c>
      <c r="AD5" s="13">
        <f t="shared" si="0"/>
        <v>0</v>
      </c>
      <c r="AE5" s="13">
        <f t="shared" si="0"/>
        <v>0</v>
      </c>
      <c r="AF5" s="13">
        <f t="shared" si="0"/>
        <v>0</v>
      </c>
      <c r="AG5" s="13">
        <f t="shared" si="0"/>
        <v>0</v>
      </c>
      <c r="AH5" s="13">
        <f t="shared" si="0"/>
        <v>0</v>
      </c>
      <c r="AI5" s="13">
        <f t="shared" si="0"/>
        <v>0</v>
      </c>
      <c r="AJ5" s="13">
        <f t="shared" si="0"/>
        <v>0</v>
      </c>
      <c r="AK5" s="13">
        <f t="shared" si="0"/>
        <v>0</v>
      </c>
      <c r="AL5" s="13">
        <f t="shared" si="0"/>
        <v>620.55999999999995</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68805.62</v>
      </c>
      <c r="BA5" s="15">
        <f t="shared" si="1"/>
        <v>68185.06</v>
      </c>
      <c r="BB5" s="15">
        <f t="shared" si="1"/>
        <v>37408.559999999998</v>
      </c>
      <c r="BC5" s="15">
        <f t="shared" si="1"/>
        <v>9383.2000000000007</v>
      </c>
      <c r="BD5" s="15">
        <f t="shared" si="1"/>
        <v>21393.3</v>
      </c>
      <c r="BE5" s="15">
        <f t="shared" si="1"/>
        <v>0</v>
      </c>
      <c r="BF5" s="15">
        <f t="shared" si="1"/>
        <v>0</v>
      </c>
      <c r="BG5" s="15">
        <f t="shared" si="1"/>
        <v>0</v>
      </c>
      <c r="BH5" s="15">
        <f t="shared" si="1"/>
        <v>0</v>
      </c>
      <c r="BI5" s="15">
        <f t="shared" si="1"/>
        <v>0</v>
      </c>
      <c r="BJ5" s="15">
        <f t="shared" si="1"/>
        <v>0</v>
      </c>
      <c r="BK5" s="15">
        <f t="shared" si="1"/>
        <v>0</v>
      </c>
      <c r="BL5" s="15">
        <f t="shared" si="1"/>
        <v>620.55999999999995</v>
      </c>
      <c r="BM5" s="15">
        <f t="shared" si="1"/>
        <v>0</v>
      </c>
      <c r="BN5" s="15">
        <f t="shared" si="1"/>
        <v>0</v>
      </c>
      <c r="BO5" s="15">
        <f t="shared" si="1"/>
        <v>0</v>
      </c>
      <c r="BP5" s="15">
        <f t="shared" si="1"/>
        <v>0</v>
      </c>
      <c r="BQ5" s="15">
        <f t="shared" si="1"/>
        <v>620.55999999999995</v>
      </c>
      <c r="BR5" s="15">
        <f t="shared" si="1"/>
        <v>0</v>
      </c>
      <c r="BS5" s="15">
        <f t="shared" si="1"/>
        <v>0</v>
      </c>
      <c r="BT5" s="16">
        <f t="shared" si="1"/>
        <v>0</v>
      </c>
    </row>
    <row r="6" spans="1:72" s="1589" customFormat="1" ht="12.75">
      <c r="A6" s="12" t="s">
        <v>1072</v>
      </c>
      <c r="B6" s="1586"/>
      <c r="C6" s="1586"/>
      <c r="D6" s="1587"/>
      <c r="E6" s="13">
        <f>H6+AC6+AT6</f>
        <v>11305.41</v>
      </c>
      <c r="F6" s="13" t="s">
        <v>0</v>
      </c>
      <c r="G6" s="13" t="s">
        <v>1</v>
      </c>
      <c r="H6" s="17">
        <f>SUMIF(I$12:AB$12,"总值",I6:AB6)</f>
        <v>11203.45</v>
      </c>
      <c r="I6" s="13">
        <f t="shared" ref="I6:AB6" si="2">ROUND($A$3*I5/$B$3,2)</f>
        <v>6146.58</v>
      </c>
      <c r="J6" s="13">
        <f t="shared" si="2"/>
        <v>0</v>
      </c>
      <c r="K6" s="13">
        <f t="shared" si="2"/>
        <v>1541.75</v>
      </c>
      <c r="L6" s="13">
        <f t="shared" si="2"/>
        <v>0</v>
      </c>
      <c r="M6" s="13">
        <f t="shared" si="2"/>
        <v>3515.12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101.96</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11305.41</v>
      </c>
      <c r="AZ6" s="13" t="s">
        <v>2</v>
      </c>
      <c r="BA6" s="13">
        <f>ROUND($AY$6*BA5/$AZ$5,2)</f>
        <v>11203.45</v>
      </c>
      <c r="BB6" s="13">
        <f>ROUND($AY$6*BB5/$AZ$5,2)</f>
        <v>6146.58</v>
      </c>
      <c r="BC6" s="13">
        <f t="shared" ref="BC6:BH6" si="4">ROUND($AY$6*BC5/$AZ$5,2)</f>
        <v>1541.75</v>
      </c>
      <c r="BD6" s="13">
        <f t="shared" si="4"/>
        <v>3515.12</v>
      </c>
      <c r="BE6" s="13">
        <f t="shared" si="4"/>
        <v>0</v>
      </c>
      <c r="BF6" s="13">
        <f t="shared" si="4"/>
        <v>0</v>
      </c>
      <c r="BG6" s="13">
        <f t="shared" si="4"/>
        <v>0</v>
      </c>
      <c r="BH6" s="13">
        <f t="shared" si="4"/>
        <v>0</v>
      </c>
      <c r="BI6" s="13">
        <f t="shared" ref="BI6:BT6" si="5">ROUND($AY$6*BI5/$AZ$5,2)</f>
        <v>0</v>
      </c>
      <c r="BJ6" s="13">
        <f t="shared" si="5"/>
        <v>0</v>
      </c>
      <c r="BK6" s="13">
        <f t="shared" si="5"/>
        <v>0</v>
      </c>
      <c r="BL6" s="13">
        <f t="shared" si="5"/>
        <v>101.96</v>
      </c>
      <c r="BM6" s="13">
        <f t="shared" si="5"/>
        <v>0</v>
      </c>
      <c r="BN6" s="13">
        <f t="shared" si="5"/>
        <v>0</v>
      </c>
      <c r="BO6" s="13">
        <f t="shared" si="5"/>
        <v>0</v>
      </c>
      <c r="BP6" s="13">
        <f t="shared" si="5"/>
        <v>0</v>
      </c>
      <c r="BQ6" s="13">
        <f t="shared" si="5"/>
        <v>101.96</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3383</v>
      </c>
      <c r="L9" s="809"/>
      <c r="M9" s="1603" t="s">
        <v>3383</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3340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11305.41</v>
      </c>
      <c r="F13" s="29"/>
      <c r="G13" s="30">
        <f>H13+AC13+AT13</f>
        <v>68805.62</v>
      </c>
      <c r="H13" s="17">
        <f>SUMIF(I$12:AB$12,"总值",I13:AB13)</f>
        <v>68185.06</v>
      </c>
      <c r="I13" s="1626">
        <v>37408.559999999998</v>
      </c>
      <c r="J13" s="1626"/>
      <c r="K13" s="1626">
        <v>9383.2000000000007</v>
      </c>
      <c r="L13" s="1626"/>
      <c r="M13" s="1626">
        <f>30776.5-K13</f>
        <v>21393.3</v>
      </c>
      <c r="N13" s="1626"/>
      <c r="O13" s="1626"/>
      <c r="P13" s="1626"/>
      <c r="Q13" s="1626"/>
      <c r="R13" s="1626"/>
      <c r="S13" s="1626"/>
      <c r="T13" s="1626"/>
      <c r="U13" s="1626"/>
      <c r="V13" s="1626"/>
      <c r="W13" s="1626"/>
      <c r="X13" s="1626"/>
      <c r="Y13" s="1626"/>
      <c r="Z13" s="1626"/>
      <c r="AA13" s="1626"/>
      <c r="AB13" s="1626"/>
      <c r="AC13" s="13">
        <f>SUMIF(AD$12:AS$12,"总值",AD13:AS13)</f>
        <v>620.55999999999995</v>
      </c>
      <c r="AD13" s="1627"/>
      <c r="AE13" s="1627"/>
      <c r="AF13" s="1627"/>
      <c r="AG13" s="1627"/>
      <c r="AH13" s="1627"/>
      <c r="AI13" s="1627"/>
      <c r="AJ13" s="1627"/>
      <c r="AK13" s="1627"/>
      <c r="AL13" s="1627">
        <v>620.55999999999995</v>
      </c>
      <c r="AM13" s="1627"/>
      <c r="AN13" s="1627"/>
      <c r="AO13" s="1627"/>
      <c r="AP13" s="1627"/>
      <c r="AQ13" s="1627"/>
      <c r="AR13" s="1627"/>
      <c r="AS13" s="1627"/>
      <c r="AT13" s="1628"/>
      <c r="AU13" s="1629"/>
      <c r="AV13" s="8">
        <f t="shared" ref="AV13:AX17" si="6">A13</f>
        <v>0</v>
      </c>
      <c r="AW13" s="8">
        <f t="shared" si="6"/>
        <v>0</v>
      </c>
      <c r="AX13" s="8">
        <f t="shared" si="6"/>
        <v>0</v>
      </c>
      <c r="AY13" s="1349">
        <f>ROUND($AY$6*AZ13/$AZ$5,2)</f>
        <v>11305.41</v>
      </c>
      <c r="AZ13" s="13">
        <f>BA13+BL13</f>
        <v>68805.62</v>
      </c>
      <c r="BA13" s="13">
        <f>SUM(BB13:BK13)</f>
        <v>68185.06</v>
      </c>
      <c r="BB13" s="13">
        <f>IF($D13="是",I13-J13,0)</f>
        <v>37408.559999999998</v>
      </c>
      <c r="BC13" s="13">
        <f>IF($D13="是",K13-L13,0)</f>
        <v>9383.2000000000007</v>
      </c>
      <c r="BD13" s="13">
        <f>IF($D13="是",M13-N13,0)</f>
        <v>21393.3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620.55999999999995</v>
      </c>
      <c r="BM13" s="13">
        <f>IF($D13="是",AD13-AE13,0)</f>
        <v>0</v>
      </c>
      <c r="BN13" s="13">
        <f>IF($D13="是",AF13-AG13,0)</f>
        <v>0</v>
      </c>
      <c r="BO13" s="13">
        <f>IF($D13="是",AH13-AI13,0)</f>
        <v>0</v>
      </c>
      <c r="BP13" s="13">
        <f>IF($D13="是",AJ13-AK13,0)</f>
        <v>0</v>
      </c>
      <c r="BQ13" s="13">
        <f>IF($D13="是",AL13-AM13,0)</f>
        <v>620.55999999999995</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10" zoomScale="85" zoomScaleNormal="100" zoomScaleSheetLayoutView="85" workbookViewId="0">
      <selection activeCell="F39" sqref="F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37" t="s">
        <v>1131</v>
      </c>
      <c r="B2" s="3637"/>
      <c r="C2" s="3637"/>
      <c r="D2" s="796" t="s">
        <v>1107</v>
      </c>
      <c r="E2" s="1639" t="s">
        <v>1108</v>
      </c>
      <c r="F2" s="2659"/>
      <c r="G2" s="2650"/>
      <c r="H2" s="2651"/>
      <c r="I2" s="2325" t="s">
        <v>1132</v>
      </c>
      <c r="J2" s="2659"/>
      <c r="K2" s="2659"/>
      <c r="L2" s="2659"/>
      <c r="M2" s="2659"/>
      <c r="N2" s="2661"/>
      <c r="O2" s="2659"/>
      <c r="P2" s="2659"/>
    </row>
    <row r="3" spans="1:16" ht="15.75" thickBot="1">
      <c r="A3" s="3638" t="s">
        <v>1105</v>
      </c>
      <c r="B3" s="3638"/>
      <c r="C3" s="3638"/>
      <c r="D3" s="43">
        <f>'数据-基础表'!AY6</f>
        <v>11305.41</v>
      </c>
      <c r="E3" s="43">
        <f>'数据-基础表'!AZ5</f>
        <v>68805.62</v>
      </c>
      <c r="F3" s="2659"/>
      <c r="G3" s="1145"/>
      <c r="H3" s="1026" t="s">
        <v>1106</v>
      </c>
      <c r="I3" s="855">
        <f>ROUND('数据-基础表'!B3/'数据-基础表'!A3,2)</f>
        <v>6.09</v>
      </c>
      <c r="J3" s="2659"/>
      <c r="K3" s="2659"/>
      <c r="L3" s="2659"/>
      <c r="M3" s="2659"/>
      <c r="N3" s="2661"/>
      <c r="O3" s="2659"/>
      <c r="P3" s="2659"/>
    </row>
    <row r="4" spans="1:16" ht="15">
      <c r="A4" s="3639"/>
      <c r="B4" s="3640"/>
      <c r="C4" s="3641"/>
      <c r="D4" s="1641" t="s">
        <v>1107</v>
      </c>
      <c r="E4" s="1642" t="s">
        <v>1108</v>
      </c>
      <c r="F4" s="2659"/>
      <c r="G4" s="2652" t="s">
        <v>1133</v>
      </c>
      <c r="H4" s="1026" t="s">
        <v>1113</v>
      </c>
      <c r="I4" s="855">
        <f>ROUND(SUMIF('数据-基础表'!I9:AS9,"地上",'数据-基础表'!I5:AS5)/'数据-基础表'!A3,2)</f>
        <v>3.36</v>
      </c>
      <c r="J4" s="2659"/>
      <c r="K4" s="2659"/>
      <c r="L4" s="2659"/>
      <c r="M4" s="2659"/>
      <c r="N4" s="2661"/>
      <c r="O4" s="2659"/>
      <c r="P4" s="2659"/>
    </row>
    <row r="5" spans="1:16">
      <c r="A5" s="44" t="s">
        <v>1109</v>
      </c>
      <c r="B5" s="3642" t="s">
        <v>1110</v>
      </c>
      <c r="C5" s="3642"/>
      <c r="D5" s="45">
        <f>ROUND($D$3*E5/$E$3,2)</f>
        <v>0</v>
      </c>
      <c r="E5" s="46">
        <f>SUMIF('数据-基础表'!$11:$11,"住宅",'数据-基础表'!$5:$5)</f>
        <v>0</v>
      </c>
      <c r="F5" s="2659"/>
      <c r="G5" s="1145"/>
      <c r="H5" s="1026" t="s">
        <v>1106</v>
      </c>
      <c r="I5" s="855">
        <f>ROUND(E31/D31,2)</f>
        <v>6.09</v>
      </c>
      <c r="J5" s="2659"/>
      <c r="K5" s="2659"/>
      <c r="L5" s="2659"/>
      <c r="M5" s="2659"/>
      <c r="N5" s="2659"/>
      <c r="O5" s="2659"/>
      <c r="P5" s="2659"/>
    </row>
    <row r="6" spans="1:16" ht="15" thickBot="1">
      <c r="A6" s="1644"/>
      <c r="B6" s="3642" t="s">
        <v>1111</v>
      </c>
      <c r="C6" s="3642"/>
      <c r="D6" s="45">
        <f>ROUND($D$3*E6/$E$3,2)</f>
        <v>11305.41</v>
      </c>
      <c r="E6" s="46">
        <f>E3-E5</f>
        <v>68805.62</v>
      </c>
      <c r="F6" s="2659"/>
      <c r="G6" s="2653" t="s">
        <v>1112</v>
      </c>
      <c r="H6" s="1146" t="s">
        <v>1113</v>
      </c>
      <c r="I6" s="2654">
        <f>ROUND(F31/D31,2)</f>
        <v>3.36</v>
      </c>
      <c r="J6" s="2659"/>
      <c r="K6" s="2659"/>
      <c r="L6" s="2659"/>
      <c r="M6" s="2659"/>
      <c r="N6" s="2659"/>
      <c r="O6" s="2659"/>
      <c r="P6" s="2659"/>
    </row>
    <row r="7" spans="1:16" ht="15.75" thickBot="1">
      <c r="A7" s="3634"/>
      <c r="B7" s="3635"/>
      <c r="C7" s="36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6146.58</v>
      </c>
      <c r="E8" s="48">
        <f>SUMIF('数据-基础表'!BB10:BK10,"地上",'数据-基础表'!BB5:BK5)</f>
        <v>37408.559999999998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1541.75</v>
      </c>
      <c r="E10" s="48">
        <f>SUMPRODUCT(('数据-基础表'!BB10:BK10="地下")*('数据-基础表'!BB11:BK11="商业")*('数据-基础表'!BB5:BK5))</f>
        <v>9383.2000000000007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3515.12</v>
      </c>
      <c r="E13" s="48">
        <f>SUMPRODUCT(('数据-基础表'!BB10:BK10="地下")*('数据-基础表'!BB11:BK11="车库")*('数据-基础表'!BB5:BK5))</f>
        <v>21393.3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11203.45</v>
      </c>
      <c r="E16" s="50">
        <f>SUM(E8:E15)</f>
        <v>68185.06</v>
      </c>
      <c r="F16" s="2659"/>
      <c r="G16" s="2660"/>
      <c r="H16" s="1648" t="s">
        <v>1135</v>
      </c>
      <c r="I16" s="1649"/>
      <c r="J16" s="1139"/>
      <c r="K16" s="3631" t="s">
        <v>1135</v>
      </c>
      <c r="L16" s="3632"/>
      <c r="M16" s="3632"/>
      <c r="N16" s="3632"/>
      <c r="O16" s="3632"/>
      <c r="P16" s="3633"/>
    </row>
    <row r="17" spans="1:19" ht="15">
      <c r="A17" s="1650" t="s">
        <v>1136</v>
      </c>
      <c r="B17" s="1651" t="s">
        <v>1137</v>
      </c>
      <c r="C17" s="1652" t="s">
        <v>1138</v>
      </c>
      <c r="D17" s="1653" t="s">
        <v>1126</v>
      </c>
      <c r="E17" s="1654" t="s">
        <v>1127</v>
      </c>
      <c r="F17" s="1655"/>
      <c r="G17" s="1656"/>
      <c r="H17" s="1657" t="s">
        <v>1139</v>
      </c>
      <c r="I17" s="1658" t="s">
        <v>1124</v>
      </c>
      <c r="J17" s="1139"/>
      <c r="K17" s="3628" t="s">
        <v>1140</v>
      </c>
      <c r="L17" s="3629"/>
      <c r="M17" s="3630"/>
      <c r="N17" s="3628" t="s">
        <v>1141</v>
      </c>
      <c r="O17" s="3629"/>
      <c r="P17" s="36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3687</v>
      </c>
      <c r="D19" s="45">
        <f>ROUND($D$3*E19/$E$3,2)</f>
        <v>5150.32</v>
      </c>
      <c r="E19" s="53">
        <f t="shared" ref="E19:E26" si="1">SUM(F19:G19)</f>
        <v>31345.27</v>
      </c>
      <c r="F19" s="2795">
        <v>25345.27</v>
      </c>
      <c r="G19" s="2796">
        <v>6000</v>
      </c>
      <c r="H19" s="670">
        <f>ROUND($D$3*I19/$E$3,2)</f>
        <v>46.87</v>
      </c>
      <c r="I19" s="48">
        <f t="shared" ref="I19:I26" si="2">IF($I$17="自定义",P19,M19)</f>
        <v>285.27999999999997</v>
      </c>
      <c r="J19" s="1139"/>
      <c r="K19" s="1138">
        <f t="shared" ref="K19:K26" si="3">ROUND(E$28*E19/E$27,2)</f>
        <v>285.27999999999997</v>
      </c>
      <c r="L19" s="1026">
        <f t="shared" ref="L19:L26" si="4">ROUND(IF(COUNTIF(C19,"*住宅*")&gt;0,E$29*E19/E$32,0),2)</f>
        <v>0</v>
      </c>
      <c r="M19" s="1150">
        <f>K19+L19</f>
        <v>285.27999999999997</v>
      </c>
      <c r="N19" s="1668"/>
      <c r="O19" s="1669"/>
      <c r="P19" s="1150">
        <f>N19+O19</f>
        <v>0</v>
      </c>
      <c r="R19" s="1026">
        <f t="shared" ref="R19:S26" si="5">D19+H19</f>
        <v>5197.1899999999996</v>
      </c>
      <c r="S19" s="1027">
        <f t="shared" si="5"/>
        <v>31630.55</v>
      </c>
    </row>
    <row r="20" spans="1:19">
      <c r="A20" s="1670"/>
      <c r="B20" s="47" t="s">
        <v>1153</v>
      </c>
      <c r="C20" s="3417" t="s">
        <v>3689</v>
      </c>
      <c r="D20" s="45">
        <f t="shared" ref="D20:D26" si="6">ROUND($D$3*E20/$E$3,2)</f>
        <v>2538</v>
      </c>
      <c r="E20" s="53">
        <f t="shared" si="1"/>
        <v>15446.489999999998</v>
      </c>
      <c r="F20" s="2795">
        <f>'数据-基础表'!I13-'数据-汇总表'!F19</f>
        <v>12063.289999999997</v>
      </c>
      <c r="G20" s="2796">
        <f>'数据-基础表'!K13-'数据-汇总表'!G19</f>
        <v>3383.2000000000007</v>
      </c>
      <c r="H20" s="670">
        <f t="shared" ref="H20:H26" si="7">ROUND($D$3*I20/$E$3,2)</f>
        <v>23.1</v>
      </c>
      <c r="I20" s="48">
        <f t="shared" si="2"/>
        <v>140.58000000000001</v>
      </c>
      <c r="J20" s="1139"/>
      <c r="K20" s="1138">
        <f t="shared" si="3"/>
        <v>140.58000000000001</v>
      </c>
      <c r="L20" s="1026">
        <f t="shared" si="4"/>
        <v>0</v>
      </c>
      <c r="M20" s="1150">
        <f t="shared" ref="M20:M26" si="8">K20+L20</f>
        <v>140.58000000000001</v>
      </c>
      <c r="N20" s="1668"/>
      <c r="O20" s="1669"/>
      <c r="P20" s="1150">
        <f t="shared" ref="P20:P26" si="9">N20+O20</f>
        <v>0</v>
      </c>
      <c r="R20" s="1026">
        <f t="shared" si="5"/>
        <v>2561.1</v>
      </c>
      <c r="S20" s="1027">
        <f t="shared" si="5"/>
        <v>15587.069999999998</v>
      </c>
    </row>
    <row r="21" spans="1:19">
      <c r="A21" s="1670"/>
      <c r="B21" s="47" t="s">
        <v>1153</v>
      </c>
      <c r="C21" s="3417" t="s">
        <v>3688</v>
      </c>
      <c r="D21" s="45">
        <f t="shared" si="6"/>
        <v>3515.12</v>
      </c>
      <c r="E21" s="53">
        <f t="shared" si="1"/>
        <v>21393.3</v>
      </c>
      <c r="F21" s="2795"/>
      <c r="G21" s="2796">
        <f>'数据-基础表'!M13</f>
        <v>21393.3</v>
      </c>
      <c r="H21" s="670">
        <f t="shared" si="7"/>
        <v>31.99</v>
      </c>
      <c r="I21" s="48">
        <f t="shared" si="2"/>
        <v>194.7</v>
      </c>
      <c r="J21" s="1139"/>
      <c r="K21" s="1138">
        <f t="shared" si="3"/>
        <v>194.7</v>
      </c>
      <c r="L21" s="1026">
        <f t="shared" si="4"/>
        <v>0</v>
      </c>
      <c r="M21" s="1150">
        <f t="shared" si="8"/>
        <v>194.7</v>
      </c>
      <c r="N21" s="1668"/>
      <c r="O21" s="1669"/>
      <c r="P21" s="1150">
        <f t="shared" si="9"/>
        <v>0</v>
      </c>
      <c r="R21" s="1026">
        <f t="shared" si="5"/>
        <v>3547.1099999999997</v>
      </c>
      <c r="S21" s="1027">
        <f t="shared" si="5"/>
        <v>21588</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29.25" thickBot="1">
      <c r="A27" s="1670"/>
      <c r="B27" s="45"/>
      <c r="C27" s="1673" t="s">
        <v>1154</v>
      </c>
      <c r="D27" s="1140">
        <f>SUM(D19:D26)</f>
        <v>11203.439999999999</v>
      </c>
      <c r="E27" s="1141">
        <f>IF(SUM(E19:E26)='数据-基础表'!BA5,SUM(E19:E26),IF(F27="地上面积有误","面积有误","地下面积有误"))</f>
        <v>68185.06</v>
      </c>
      <c r="F27" s="1140">
        <f>IF(SUM(F19:F26)=E8,SUM(F19:F26),"地上面积有误")</f>
        <v>37408.559999999998</v>
      </c>
      <c r="G27" s="1142">
        <f>SUM(G19:G26)</f>
        <v>30776.5</v>
      </c>
      <c r="H27" s="1143">
        <f>SUM(H19:H26)</f>
        <v>101.96</v>
      </c>
      <c r="I27" s="1144">
        <f>SUM(I19:I26)</f>
        <v>620.55999999999995</v>
      </c>
      <c r="J27" s="1139"/>
      <c r="K27" s="1147">
        <f>SUM(K19:K26)</f>
        <v>620.55999999999995</v>
      </c>
      <c r="L27" s="1148">
        <f>SUM(L19:L26)</f>
        <v>0</v>
      </c>
      <c r="M27" s="1151">
        <f>SUM(M19:M26)</f>
        <v>620.55999999999995</v>
      </c>
      <c r="N27" s="1147">
        <f t="shared" ref="N27:O27" si="10">SUM(N19:N26)</f>
        <v>0</v>
      </c>
      <c r="O27" s="1148">
        <f t="shared" si="10"/>
        <v>0</v>
      </c>
      <c r="P27" s="1149">
        <f>SUM(P19:P26)</f>
        <v>0</v>
      </c>
      <c r="R27" s="1028" t="str">
        <f>IF(SUM(R19:R26)=$D$3,SUM(R19:R26),SUM(R19:R26)&amp;"误差"&amp;ROUND(SUM(R19:R26)-$D$3,2))</f>
        <v>11305.4误差-0.01</v>
      </c>
      <c r="S27" s="1026">
        <f>IF(SUM(S19:S26)=$E$3,SUM(S19:S26),SUM(S19:S26)&amp;"误差"&amp;ROUND(SUM(S19:S26)-E3,2))</f>
        <v>68805.62</v>
      </c>
    </row>
    <row r="28" spans="1:19">
      <c r="A28" s="1670"/>
      <c r="B28" s="47" t="s">
        <v>1155</v>
      </c>
      <c r="C28" s="1038" t="s">
        <v>1156</v>
      </c>
      <c r="D28" s="45">
        <f>ROUND($D$3*E28/$E$3,2)</f>
        <v>101.96</v>
      </c>
      <c r="E28" s="53">
        <f>SUM(F28:G28)</f>
        <v>620.55999999999995</v>
      </c>
      <c r="F28" s="56">
        <f>'数据-基础表'!BQ5+'数据-基础表'!BS5</f>
        <v>620.55999999999995</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101.96</v>
      </c>
      <c r="E30" s="1140">
        <f>SUM(E28:E29)</f>
        <v>620.55999999999995</v>
      </c>
      <c r="F30" s="1140">
        <f>SUM(F28:F29)</f>
        <v>620.55999999999995</v>
      </c>
      <c r="G30" s="1142">
        <f>SUM(G28:G29)</f>
        <v>0</v>
      </c>
      <c r="H30" s="2659"/>
      <c r="I30" s="2659"/>
      <c r="J30" s="2659"/>
      <c r="K30" s="2659"/>
      <c r="L30" s="2659"/>
      <c r="M30" s="2659"/>
      <c r="N30" s="2659"/>
      <c r="O30" s="2659"/>
      <c r="P30" s="2659"/>
    </row>
    <row r="31" spans="1:19" ht="15.75" thickBot="1">
      <c r="A31" s="1676"/>
      <c r="B31" s="1677"/>
      <c r="C31" s="835" t="s">
        <v>1158</v>
      </c>
      <c r="D31" s="676">
        <f>D27+D30</f>
        <v>11305.399999999998</v>
      </c>
      <c r="E31" s="676">
        <f>E27+E30</f>
        <v>68805.62</v>
      </c>
      <c r="F31" s="677">
        <f>F27+F30</f>
        <v>38029.119999999995</v>
      </c>
      <c r="G31" s="678">
        <f>G27+G30</f>
        <v>30776.5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G21/416</f>
        <v>51.426201923076924</v>
      </c>
    </row>
    <row r="36" spans="4:7">
      <c r="G36" s="1638">
        <f>G31/E31</f>
        <v>0.44729631096994699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5"/>
  <sheetViews>
    <sheetView topLeftCell="A16" zoomScale="85" zoomScaleNormal="85" workbookViewId="0">
      <selection activeCell="J43" sqref="J43"/>
    </sheetView>
  </sheetViews>
  <sheetFormatPr defaultColWidth="9.5" defaultRowHeight="10.5"/>
  <cols>
    <col min="1" max="1" width="5.125" style="3473" customWidth="1"/>
    <col min="2" max="2" width="8.5" style="3473" customWidth="1"/>
    <col min="3" max="3" width="6.125" style="3473" customWidth="1"/>
    <col min="4" max="4" width="9.75" style="3473" customWidth="1"/>
    <col min="5" max="5" width="6.75" style="3473" customWidth="1"/>
    <col min="6" max="6" width="9.5" style="3473"/>
    <col min="7" max="7" width="7.875" style="3473" customWidth="1"/>
    <col min="8" max="8" width="9.125" style="3473" customWidth="1"/>
    <col min="9" max="9" width="14.125" style="3473" customWidth="1"/>
    <col min="10" max="10" width="20" style="3473" customWidth="1"/>
    <col min="11" max="11" width="18.625" style="3473" customWidth="1"/>
    <col min="12" max="15" width="9.5" style="3473"/>
    <col min="16" max="16" width="13.5" style="3473" customWidth="1"/>
    <col min="17" max="16384" width="9.5" style="3473"/>
  </cols>
  <sheetData>
    <row r="1" spans="1:11" ht="11.25">
      <c r="A1" s="3643" t="s">
        <v>3427</v>
      </c>
      <c r="B1" s="3644"/>
      <c r="C1" s="3644"/>
      <c r="D1" s="3644"/>
      <c r="E1" s="3644"/>
      <c r="F1" s="3644"/>
      <c r="G1" s="3644"/>
      <c r="H1" s="3644"/>
    </row>
    <row r="2" spans="1:11" ht="31.5">
      <c r="A2" s="3474" t="s">
        <v>3428</v>
      </c>
      <c r="B2" s="3474" t="s">
        <v>3429</v>
      </c>
      <c r="C2" s="3474" t="s">
        <v>3430</v>
      </c>
      <c r="D2" s="3475" t="s">
        <v>3431</v>
      </c>
      <c r="E2" s="3474" t="s">
        <v>3432</v>
      </c>
      <c r="F2" s="3476" t="s">
        <v>3433</v>
      </c>
      <c r="G2" s="3476" t="s">
        <v>3434</v>
      </c>
      <c r="H2" s="3477" t="s">
        <v>3435</v>
      </c>
      <c r="I2" s="3478" t="s">
        <v>3436</v>
      </c>
      <c r="J2" s="3475" t="s">
        <v>3437</v>
      </c>
      <c r="K2" s="3475" t="s">
        <v>3438</v>
      </c>
    </row>
    <row r="3" spans="1:11" ht="11.25">
      <c r="A3" s="3479">
        <v>1</v>
      </c>
      <c r="B3" s="3480" t="s">
        <v>3439</v>
      </c>
      <c r="C3" s="3480" t="s">
        <v>21</v>
      </c>
      <c r="D3" s="3480" t="s">
        <v>3440</v>
      </c>
      <c r="E3" s="3480" t="s">
        <v>3441</v>
      </c>
      <c r="F3" s="3481">
        <v>37.1</v>
      </c>
      <c r="G3" s="3482">
        <v>109000</v>
      </c>
      <c r="H3" s="3483">
        <v>33940</v>
      </c>
      <c r="I3" s="3484" t="s">
        <v>3442</v>
      </c>
      <c r="J3" s="3484" t="s">
        <v>3443</v>
      </c>
      <c r="K3" s="3484" t="s">
        <v>3444</v>
      </c>
    </row>
    <row r="4" spans="1:11" ht="11.25">
      <c r="A4" s="3485">
        <v>2</v>
      </c>
      <c r="B4" s="3486" t="s">
        <v>3439</v>
      </c>
      <c r="C4" s="3486" t="s">
        <v>3</v>
      </c>
      <c r="D4" s="3486" t="s">
        <v>3445</v>
      </c>
      <c r="E4" s="3486" t="s">
        <v>3446</v>
      </c>
      <c r="F4" s="3487">
        <v>28</v>
      </c>
      <c r="G4" s="3488">
        <v>114200</v>
      </c>
      <c r="H4" s="3489">
        <v>24518</v>
      </c>
      <c r="I4" s="3490" t="s">
        <v>3442</v>
      </c>
      <c r="J4" s="3490" t="s">
        <v>3447</v>
      </c>
      <c r="K4" s="3490" t="s">
        <v>3448</v>
      </c>
    </row>
    <row r="5" spans="1:11" s="3507" customFormat="1" ht="21">
      <c r="A5" s="3500">
        <v>3</v>
      </c>
      <c r="B5" s="3501" t="s">
        <v>3439</v>
      </c>
      <c r="C5" s="3501" t="s">
        <v>3449</v>
      </c>
      <c r="D5" s="3502" t="s">
        <v>3450</v>
      </c>
      <c r="E5" s="3501" t="s">
        <v>3451</v>
      </c>
      <c r="F5" s="3513">
        <v>20.48</v>
      </c>
      <c r="G5" s="3514">
        <v>37923</v>
      </c>
      <c r="H5" s="3515">
        <v>54004</v>
      </c>
      <c r="I5" s="3506" t="s">
        <v>3442</v>
      </c>
      <c r="J5" s="3506" t="s">
        <v>3452</v>
      </c>
      <c r="K5" s="3506" t="s">
        <v>3453</v>
      </c>
    </row>
    <row r="6" spans="1:11" s="3507" customFormat="1" ht="22.5">
      <c r="A6" s="3500">
        <v>4</v>
      </c>
      <c r="B6" s="3501" t="s">
        <v>3439</v>
      </c>
      <c r="C6" s="3501" t="s">
        <v>3454</v>
      </c>
      <c r="D6" s="3516" t="s">
        <v>3455</v>
      </c>
      <c r="E6" s="3501" t="s">
        <v>3456</v>
      </c>
      <c r="F6" s="3517">
        <v>13</v>
      </c>
      <c r="G6" s="3514">
        <v>48000</v>
      </c>
      <c r="H6" s="3515">
        <v>27083</v>
      </c>
      <c r="I6" s="3506" t="s">
        <v>3457</v>
      </c>
      <c r="J6" s="3506" t="s">
        <v>3458</v>
      </c>
      <c r="K6" s="3506" t="s">
        <v>3459</v>
      </c>
    </row>
    <row r="7" spans="1:11" s="3507" customFormat="1" ht="22.5">
      <c r="A7" s="3500">
        <v>5</v>
      </c>
      <c r="B7" s="3501" t="s">
        <v>3439</v>
      </c>
      <c r="C7" s="3501" t="s">
        <v>21</v>
      </c>
      <c r="D7" s="3501" t="s">
        <v>3460</v>
      </c>
      <c r="E7" s="3501" t="s">
        <v>3461</v>
      </c>
      <c r="F7" s="3513">
        <v>10.84</v>
      </c>
      <c r="G7" s="3514">
        <v>24252</v>
      </c>
      <c r="H7" s="3505">
        <v>44697</v>
      </c>
      <c r="I7" s="3506" t="s">
        <v>3457</v>
      </c>
      <c r="J7" s="3506" t="s">
        <v>3462</v>
      </c>
      <c r="K7" s="3506" t="s">
        <v>3463</v>
      </c>
    </row>
    <row r="8" spans="1:11" s="3507" customFormat="1" ht="11.25">
      <c r="A8" s="3500">
        <v>6</v>
      </c>
      <c r="B8" s="3501" t="s">
        <v>3464</v>
      </c>
      <c r="C8" s="3501" t="s">
        <v>21</v>
      </c>
      <c r="D8" s="3502" t="s">
        <v>3587</v>
      </c>
      <c r="E8" s="3501" t="s">
        <v>3446</v>
      </c>
      <c r="F8" s="3503">
        <v>26.5</v>
      </c>
      <c r="G8" s="3514">
        <v>35940</v>
      </c>
      <c r="H8" s="3515">
        <v>73734</v>
      </c>
      <c r="I8" s="3506" t="s">
        <v>3442</v>
      </c>
      <c r="J8" s="3506" t="s">
        <v>3465</v>
      </c>
      <c r="K8" s="3506" t="s">
        <v>3466</v>
      </c>
    </row>
    <row r="9" spans="1:11" s="3498" customFormat="1" ht="33.75">
      <c r="A9" s="3491">
        <v>7</v>
      </c>
      <c r="B9" s="3492" t="s">
        <v>3464</v>
      </c>
      <c r="C9" s="3492" t="s">
        <v>21</v>
      </c>
      <c r="D9" s="3492" t="s">
        <v>3467</v>
      </c>
      <c r="E9" s="3492" t="s">
        <v>3451</v>
      </c>
      <c r="F9" s="3536">
        <v>24</v>
      </c>
      <c r="G9" s="3495">
        <v>52838</v>
      </c>
      <c r="H9" s="3496">
        <v>56777</v>
      </c>
      <c r="I9" s="3497" t="s">
        <v>3442</v>
      </c>
      <c r="J9" s="3497" t="s">
        <v>3468</v>
      </c>
      <c r="K9" s="3497" t="s">
        <v>3469</v>
      </c>
    </row>
    <row r="10" spans="1:11" s="3507" customFormat="1" ht="33.75">
      <c r="A10" s="3500">
        <v>8</v>
      </c>
      <c r="B10" s="3501" t="s">
        <v>3464</v>
      </c>
      <c r="C10" s="3501" t="s">
        <v>3470</v>
      </c>
      <c r="D10" s="3501" t="s">
        <v>3471</v>
      </c>
      <c r="E10" s="3501" t="s">
        <v>3446</v>
      </c>
      <c r="F10" s="3513">
        <v>25.64</v>
      </c>
      <c r="G10" s="3518"/>
      <c r="H10" s="3519"/>
      <c r="I10" s="3506" t="s">
        <v>3442</v>
      </c>
      <c r="J10" s="3506" t="s">
        <v>3472</v>
      </c>
      <c r="K10" s="3506" t="s">
        <v>3473</v>
      </c>
    </row>
    <row r="11" spans="1:11" s="3507" customFormat="1" ht="11.25">
      <c r="A11" s="3500">
        <v>9</v>
      </c>
      <c r="B11" s="3501" t="s">
        <v>3474</v>
      </c>
      <c r="C11" s="3501" t="s">
        <v>21</v>
      </c>
      <c r="D11" s="3502" t="s">
        <v>3588</v>
      </c>
      <c r="E11" s="3501" t="s">
        <v>3446</v>
      </c>
      <c r="F11" s="3503">
        <v>8.5</v>
      </c>
      <c r="G11" s="3504">
        <v>15776</v>
      </c>
      <c r="H11" s="3505">
        <v>53879</v>
      </c>
      <c r="I11" s="3506" t="s">
        <v>3442</v>
      </c>
      <c r="J11" s="3506" t="s">
        <v>3475</v>
      </c>
      <c r="K11" s="3506" t="s">
        <v>3476</v>
      </c>
    </row>
    <row r="12" spans="1:11" s="3498" customFormat="1" ht="21">
      <c r="A12" s="3491">
        <v>10</v>
      </c>
      <c r="B12" s="3492" t="s">
        <v>3474</v>
      </c>
      <c r="C12" s="3492" t="s">
        <v>21</v>
      </c>
      <c r="D12" s="3493" t="s">
        <v>3477</v>
      </c>
      <c r="E12" s="3492" t="s">
        <v>3478</v>
      </c>
      <c r="F12" s="3494">
        <v>15.05</v>
      </c>
      <c r="G12" s="3499">
        <v>24205</v>
      </c>
      <c r="H12" s="3496">
        <v>62177</v>
      </c>
      <c r="I12" s="3497" t="s">
        <v>3457</v>
      </c>
      <c r="J12" s="3497" t="s">
        <v>3479</v>
      </c>
      <c r="K12" s="3497" t="s">
        <v>3480</v>
      </c>
    </row>
    <row r="13" spans="1:11" s="3507" customFormat="1" ht="11.25">
      <c r="A13" s="3500">
        <v>11</v>
      </c>
      <c r="B13" s="3501" t="s">
        <v>3474</v>
      </c>
      <c r="C13" s="3501" t="s">
        <v>21</v>
      </c>
      <c r="D13" s="3501" t="s">
        <v>3481</v>
      </c>
      <c r="E13" s="3501" t="s">
        <v>3451</v>
      </c>
      <c r="F13" s="3513">
        <v>3.66</v>
      </c>
      <c r="G13" s="3504">
        <v>6938</v>
      </c>
      <c r="H13" s="3505">
        <v>52757</v>
      </c>
      <c r="I13" s="3506" t="s">
        <v>3442</v>
      </c>
      <c r="J13" s="3506" t="s">
        <v>3482</v>
      </c>
      <c r="K13" s="3506" t="s">
        <v>3483</v>
      </c>
    </row>
    <row r="14" spans="1:11" s="3507" customFormat="1" ht="11.25">
      <c r="A14" s="3500">
        <v>12</v>
      </c>
      <c r="B14" s="3501" t="s">
        <v>3484</v>
      </c>
      <c r="C14" s="3501" t="s">
        <v>3454</v>
      </c>
      <c r="D14" s="3501" t="s">
        <v>3485</v>
      </c>
      <c r="E14" s="3501" t="s">
        <v>3446</v>
      </c>
      <c r="F14" s="3517">
        <v>6</v>
      </c>
      <c r="G14" s="3504">
        <v>15000</v>
      </c>
      <c r="H14" s="3505">
        <v>40000</v>
      </c>
      <c r="I14" s="3506" t="s">
        <v>3442</v>
      </c>
      <c r="J14" s="3506" t="s">
        <v>3486</v>
      </c>
      <c r="K14" s="3506" t="s">
        <v>3487</v>
      </c>
    </row>
    <row r="15" spans="1:11" s="3507" customFormat="1" ht="11.25">
      <c r="A15" s="3500">
        <v>13</v>
      </c>
      <c r="B15" s="3501" t="s">
        <v>3484</v>
      </c>
      <c r="C15" s="3501" t="s">
        <v>21</v>
      </c>
      <c r="D15" s="3501" t="s">
        <v>3488</v>
      </c>
      <c r="E15" s="3501" t="s">
        <v>3456</v>
      </c>
      <c r="F15" s="3513">
        <v>16.739999999999998</v>
      </c>
      <c r="G15" s="3504">
        <v>28829</v>
      </c>
      <c r="H15" s="3505">
        <v>58077</v>
      </c>
      <c r="I15" s="3506" t="s">
        <v>3457</v>
      </c>
      <c r="J15" s="3506" t="s">
        <v>3489</v>
      </c>
      <c r="K15" s="3506" t="s">
        <v>3490</v>
      </c>
    </row>
    <row r="16" spans="1:11" s="3507" customFormat="1" ht="11.25">
      <c r="A16" s="3500">
        <v>14</v>
      </c>
      <c r="B16" s="3501" t="s">
        <v>3484</v>
      </c>
      <c r="C16" s="3501" t="s">
        <v>3454</v>
      </c>
      <c r="D16" s="3501" t="s">
        <v>3491</v>
      </c>
      <c r="E16" s="3501" t="s">
        <v>3441</v>
      </c>
      <c r="F16" s="3503">
        <v>7.2</v>
      </c>
      <c r="G16" s="3504">
        <v>41900</v>
      </c>
      <c r="H16" s="3505">
        <v>17184</v>
      </c>
      <c r="I16" s="3506" t="s">
        <v>3457</v>
      </c>
      <c r="J16" s="3506" t="s">
        <v>3492</v>
      </c>
      <c r="K16" s="3506" t="s">
        <v>3493</v>
      </c>
    </row>
    <row r="17" spans="1:11" s="3507" customFormat="1" ht="11.25">
      <c r="A17" s="3500">
        <v>15</v>
      </c>
      <c r="B17" s="3501" t="s">
        <v>3494</v>
      </c>
      <c r="C17" s="3501" t="s">
        <v>21</v>
      </c>
      <c r="D17" s="3501" t="s">
        <v>3495</v>
      </c>
      <c r="E17" s="3501" t="s">
        <v>3446</v>
      </c>
      <c r="F17" s="3513">
        <v>5.61</v>
      </c>
      <c r="G17" s="3504">
        <v>11645</v>
      </c>
      <c r="H17" s="3505">
        <v>48158</v>
      </c>
      <c r="I17" s="3506" t="s">
        <v>3457</v>
      </c>
      <c r="J17" s="3506" t="s">
        <v>3496</v>
      </c>
      <c r="K17" s="3506" t="s">
        <v>3497</v>
      </c>
    </row>
    <row r="18" spans="1:11" s="3507" customFormat="1" ht="11.25">
      <c r="A18" s="3520">
        <v>16</v>
      </c>
      <c r="B18" s="3521" t="s">
        <v>3494</v>
      </c>
      <c r="C18" s="3521" t="s">
        <v>21</v>
      </c>
      <c r="D18" s="3521" t="s">
        <v>3586</v>
      </c>
      <c r="E18" s="3521" t="s">
        <v>3451</v>
      </c>
      <c r="F18" s="3522">
        <v>90.6</v>
      </c>
      <c r="G18" s="3523">
        <v>107627</v>
      </c>
      <c r="H18" s="3505">
        <v>84180</v>
      </c>
      <c r="I18" s="3524" t="s">
        <v>3442</v>
      </c>
      <c r="J18" s="3524" t="s">
        <v>3498</v>
      </c>
      <c r="K18" s="3524" t="s">
        <v>3499</v>
      </c>
    </row>
    <row r="19" spans="1:11" s="3507" customFormat="1" ht="11.25">
      <c r="A19" s="3500">
        <v>17</v>
      </c>
      <c r="B19" s="3501" t="s">
        <v>3494</v>
      </c>
      <c r="C19" s="3501" t="s">
        <v>3470</v>
      </c>
      <c r="D19" s="3501" t="s">
        <v>3500</v>
      </c>
      <c r="E19" s="3501" t="s">
        <v>3461</v>
      </c>
      <c r="F19" s="3517">
        <v>40</v>
      </c>
      <c r="G19" s="3504">
        <v>100030</v>
      </c>
      <c r="H19" s="3505">
        <v>40000</v>
      </c>
      <c r="I19" s="3506" t="s">
        <v>3501</v>
      </c>
      <c r="J19" s="3506" t="s">
        <v>3502</v>
      </c>
      <c r="K19" s="3506" t="s">
        <v>3503</v>
      </c>
    </row>
    <row r="20" spans="1:11" s="3498" customFormat="1" ht="21">
      <c r="A20" s="3491">
        <v>18</v>
      </c>
      <c r="B20" s="3492" t="s">
        <v>3504</v>
      </c>
      <c r="C20" s="3492" t="s">
        <v>3505</v>
      </c>
      <c r="D20" s="3493" t="s">
        <v>3551</v>
      </c>
      <c r="E20" s="3492" t="s">
        <v>3478</v>
      </c>
      <c r="F20" s="3529">
        <v>43.3</v>
      </c>
      <c r="G20" s="3499">
        <v>110996</v>
      </c>
      <c r="H20" s="3530">
        <v>55732</v>
      </c>
      <c r="I20" s="3497" t="s">
        <v>3506</v>
      </c>
      <c r="J20" s="3497" t="s">
        <v>3507</v>
      </c>
      <c r="K20" s="3497" t="s">
        <v>3508</v>
      </c>
    </row>
    <row r="21" spans="1:11" s="3507" customFormat="1" ht="11.25">
      <c r="A21" s="3500">
        <v>19</v>
      </c>
      <c r="B21" s="3501" t="s">
        <v>3509</v>
      </c>
      <c r="C21" s="3501" t="s">
        <v>3470</v>
      </c>
      <c r="D21" s="3501" t="s">
        <v>3510</v>
      </c>
      <c r="E21" s="3501" t="s">
        <v>3451</v>
      </c>
      <c r="F21" s="3513">
        <v>16.45</v>
      </c>
      <c r="G21" s="3504">
        <v>41197</v>
      </c>
      <c r="H21" s="3505">
        <v>39930</v>
      </c>
      <c r="I21" s="3506" t="s">
        <v>3457</v>
      </c>
      <c r="J21" s="3506" t="s">
        <v>3511</v>
      </c>
      <c r="K21" s="3525" t="s">
        <v>3512</v>
      </c>
    </row>
    <row r="22" spans="1:11" s="3507" customFormat="1" ht="11.25">
      <c r="A22" s="3500">
        <v>20</v>
      </c>
      <c r="B22" s="3501" t="s">
        <v>3509</v>
      </c>
      <c r="C22" s="3501" t="s">
        <v>21</v>
      </c>
      <c r="D22" s="3501" t="s">
        <v>3513</v>
      </c>
      <c r="E22" s="3501" t="s">
        <v>3514</v>
      </c>
      <c r="F22" s="3513">
        <v>20</v>
      </c>
      <c r="G22" s="3504">
        <v>49000</v>
      </c>
      <c r="H22" s="3505">
        <v>40816</v>
      </c>
      <c r="I22" s="3506" t="s">
        <v>3457</v>
      </c>
      <c r="J22" s="3506" t="s">
        <v>3515</v>
      </c>
      <c r="K22" s="3506" t="s">
        <v>3516</v>
      </c>
    </row>
    <row r="23" spans="1:11" s="3507" customFormat="1" ht="22.5">
      <c r="A23" s="3500">
        <v>21</v>
      </c>
      <c r="B23" s="3501" t="s">
        <v>3509</v>
      </c>
      <c r="C23" s="3516" t="s">
        <v>3517</v>
      </c>
      <c r="D23" s="3501" t="s">
        <v>3518</v>
      </c>
      <c r="E23" s="3501" t="s">
        <v>3519</v>
      </c>
      <c r="F23" s="3513">
        <v>6.55</v>
      </c>
      <c r="G23" s="3504">
        <v>37002</v>
      </c>
      <c r="H23" s="3505">
        <v>17702</v>
      </c>
      <c r="I23" s="3506" t="s">
        <v>3442</v>
      </c>
      <c r="J23" s="3506" t="s">
        <v>3520</v>
      </c>
      <c r="K23" s="3506" t="s">
        <v>3521</v>
      </c>
    </row>
    <row r="24" spans="1:11" s="3507" customFormat="1" ht="22.5">
      <c r="A24" s="3500">
        <v>22</v>
      </c>
      <c r="B24" s="3501" t="s">
        <v>3509</v>
      </c>
      <c r="C24" s="3501" t="s">
        <v>21</v>
      </c>
      <c r="D24" s="3501" t="s">
        <v>3522</v>
      </c>
      <c r="E24" s="3501" t="s">
        <v>3519</v>
      </c>
      <c r="F24" s="3513">
        <v>8.67</v>
      </c>
      <c r="G24" s="3504">
        <v>38464</v>
      </c>
      <c r="H24" s="3505">
        <v>22547</v>
      </c>
      <c r="I24" s="3506" t="s">
        <v>3457</v>
      </c>
      <c r="J24" s="3506" t="s">
        <v>3523</v>
      </c>
      <c r="K24" s="3506" t="s">
        <v>3524</v>
      </c>
    </row>
    <row r="25" spans="1:11" s="3507" customFormat="1" ht="11.25">
      <c r="A25" s="3500">
        <v>23</v>
      </c>
      <c r="B25" s="3501" t="s">
        <v>3509</v>
      </c>
      <c r="C25" s="3501" t="s">
        <v>21</v>
      </c>
      <c r="D25" s="3501" t="s">
        <v>3525</v>
      </c>
      <c r="E25" s="3501" t="s">
        <v>3526</v>
      </c>
      <c r="F25" s="3513">
        <v>8.75</v>
      </c>
      <c r="G25" s="3504">
        <v>45240</v>
      </c>
      <c r="H25" s="3505">
        <v>19343</v>
      </c>
      <c r="I25" s="3506" t="s">
        <v>3457</v>
      </c>
      <c r="J25" s="3506" t="s">
        <v>3527</v>
      </c>
      <c r="K25" s="3506" t="s">
        <v>3528</v>
      </c>
    </row>
    <row r="26" spans="1:11" s="3507" customFormat="1" ht="11.25">
      <c r="A26" s="3500">
        <v>24</v>
      </c>
      <c r="B26" s="3501" t="s">
        <v>3509</v>
      </c>
      <c r="C26" s="3501" t="s">
        <v>21</v>
      </c>
      <c r="D26" s="3501" t="s">
        <v>3585</v>
      </c>
      <c r="E26" s="3501" t="s">
        <v>3441</v>
      </c>
      <c r="F26" s="3513">
        <v>2.97</v>
      </c>
      <c r="G26" s="3504">
        <v>3507</v>
      </c>
      <c r="H26" s="3505">
        <v>84688</v>
      </c>
      <c r="I26" s="3506" t="s">
        <v>3457</v>
      </c>
      <c r="J26" s="3506" t="s">
        <v>3529</v>
      </c>
      <c r="K26" s="3506" t="s">
        <v>3530</v>
      </c>
    </row>
    <row r="27" spans="1:11" s="3507" customFormat="1" ht="22.5">
      <c r="A27" s="3500">
        <v>25</v>
      </c>
      <c r="B27" s="3501" t="s">
        <v>3531</v>
      </c>
      <c r="C27" s="3501" t="s">
        <v>21</v>
      </c>
      <c r="D27" s="3501" t="s">
        <v>3532</v>
      </c>
      <c r="E27" s="3501" t="s">
        <v>3441</v>
      </c>
      <c r="F27" s="3513">
        <v>16.440000000000001</v>
      </c>
      <c r="G27" s="3504">
        <v>66158</v>
      </c>
      <c r="H27" s="3505">
        <v>24847</v>
      </c>
      <c r="I27" s="3506" t="s">
        <v>3457</v>
      </c>
      <c r="J27" s="3506" t="s">
        <v>3533</v>
      </c>
      <c r="K27" s="3506" t="s">
        <v>3534</v>
      </c>
    </row>
    <row r="28" spans="1:11" s="3507" customFormat="1" ht="11.25">
      <c r="A28" s="3500">
        <v>26</v>
      </c>
      <c r="B28" s="3501" t="s">
        <v>3531</v>
      </c>
      <c r="C28" s="3501" t="s">
        <v>21</v>
      </c>
      <c r="D28" s="3501" t="s">
        <v>3535</v>
      </c>
      <c r="E28" s="3501" t="s">
        <v>3446</v>
      </c>
      <c r="F28" s="3513">
        <v>3.08</v>
      </c>
      <c r="G28" s="3504">
        <v>11951</v>
      </c>
      <c r="H28" s="3505">
        <v>25751</v>
      </c>
      <c r="I28" s="3506" t="s">
        <v>3457</v>
      </c>
      <c r="J28" s="3506" t="s">
        <v>3536</v>
      </c>
      <c r="K28" s="3506" t="s">
        <v>3537</v>
      </c>
    </row>
    <row r="29" spans="1:11" s="3507" customFormat="1" ht="22.5">
      <c r="A29" s="3500">
        <v>27</v>
      </c>
      <c r="B29" s="3501" t="s">
        <v>3538</v>
      </c>
      <c r="C29" s="3501" t="s">
        <v>3</v>
      </c>
      <c r="D29" s="3501" t="s">
        <v>3539</v>
      </c>
      <c r="E29" s="3501" t="s">
        <v>3514</v>
      </c>
      <c r="F29" s="3513">
        <v>1.7</v>
      </c>
      <c r="G29" s="3504">
        <v>5382</v>
      </c>
      <c r="H29" s="3505">
        <v>31587</v>
      </c>
      <c r="I29" s="3506" t="s">
        <v>3457</v>
      </c>
      <c r="J29" s="3506" t="s">
        <v>3540</v>
      </c>
      <c r="K29" s="3506" t="s">
        <v>3541</v>
      </c>
    </row>
    <row r="30" spans="1:11" s="3507" customFormat="1" ht="33.75">
      <c r="A30" s="3500">
        <v>28</v>
      </c>
      <c r="B30" s="3501" t="s">
        <v>3538</v>
      </c>
      <c r="C30" s="3501" t="s">
        <v>3</v>
      </c>
      <c r="D30" s="3516" t="s">
        <v>3542</v>
      </c>
      <c r="E30" s="3501" t="s">
        <v>3543</v>
      </c>
      <c r="F30" s="3513">
        <v>10.5</v>
      </c>
      <c r="G30" s="3504">
        <v>9671</v>
      </c>
      <c r="H30" s="3505">
        <v>108567</v>
      </c>
      <c r="I30" s="3506" t="s">
        <v>3442</v>
      </c>
      <c r="J30" s="3506" t="s">
        <v>3544</v>
      </c>
      <c r="K30" s="3506" t="s">
        <v>3545</v>
      </c>
    </row>
    <row r="31" spans="1:11" s="3498" customFormat="1" ht="21.75">
      <c r="A31" s="3508">
        <v>29</v>
      </c>
      <c r="B31" s="3509" t="s">
        <v>3538</v>
      </c>
      <c r="C31" s="3509" t="s">
        <v>21</v>
      </c>
      <c r="D31" s="3509" t="s">
        <v>3546</v>
      </c>
      <c r="E31" s="3509" t="s">
        <v>3547</v>
      </c>
      <c r="F31" s="3510">
        <v>15.75</v>
      </c>
      <c r="G31" s="3511">
        <v>27765</v>
      </c>
      <c r="H31" s="3512">
        <v>56726</v>
      </c>
      <c r="I31" s="3509" t="s">
        <v>3442</v>
      </c>
      <c r="J31" s="3509" t="s">
        <v>3548</v>
      </c>
      <c r="K31" s="3509" t="s">
        <v>3549</v>
      </c>
    </row>
    <row r="32" spans="1:11" s="3507" customFormat="1" ht="11.25">
      <c r="A32" s="3526"/>
      <c r="B32" s="3526"/>
      <c r="C32" s="3526"/>
      <c r="D32" s="3526"/>
      <c r="E32" s="3526"/>
      <c r="F32" s="3527">
        <f>SUM(F3:F31)</f>
        <v>533.08000000000004</v>
      </c>
      <c r="G32" s="3528">
        <f>SUM(G3:G31)</f>
        <v>1220436</v>
      </c>
      <c r="H32" s="3527">
        <f>F32*10000/G32</f>
        <v>4.367947192642629</v>
      </c>
      <c r="I32" s="3526"/>
      <c r="J32" s="3526"/>
      <c r="K32" s="3526"/>
    </row>
    <row r="34" spans="1:23" s="3538" customFormat="1" ht="48">
      <c r="A34" s="3537" t="s">
        <v>3591</v>
      </c>
      <c r="B34" s="3537" t="s">
        <v>3592</v>
      </c>
      <c r="C34" s="3537" t="s">
        <v>3593</v>
      </c>
      <c r="D34" s="3537" t="s">
        <v>3594</v>
      </c>
      <c r="E34" s="3537" t="s">
        <v>3595</v>
      </c>
      <c r="F34" s="3537" t="s">
        <v>3437</v>
      </c>
      <c r="G34" s="3537" t="s">
        <v>672</v>
      </c>
      <c r="H34" s="3537" t="s">
        <v>3596</v>
      </c>
      <c r="I34" s="3537" t="s">
        <v>3597</v>
      </c>
      <c r="J34" s="3537" t="s">
        <v>3598</v>
      </c>
      <c r="K34" s="3537" t="s">
        <v>3599</v>
      </c>
      <c r="L34" s="3537" t="s">
        <v>3600</v>
      </c>
      <c r="M34" s="3537" t="s">
        <v>3601</v>
      </c>
      <c r="N34" s="3537" t="s">
        <v>3602</v>
      </c>
      <c r="O34" s="3537" t="s">
        <v>3603</v>
      </c>
      <c r="P34" s="3537" t="s">
        <v>3604</v>
      </c>
      <c r="Q34" s="3537" t="s">
        <v>3605</v>
      </c>
      <c r="R34" s="3537" t="s">
        <v>3606</v>
      </c>
      <c r="S34" s="3537" t="s">
        <v>3607</v>
      </c>
      <c r="T34" s="3537" t="s">
        <v>3608</v>
      </c>
      <c r="U34" s="3537" t="s">
        <v>3609</v>
      </c>
      <c r="V34" s="3537" t="s">
        <v>3610</v>
      </c>
      <c r="W34" s="3537" t="s">
        <v>3611</v>
      </c>
    </row>
    <row r="35" spans="1:23" s="3538" customFormat="1" ht="60" customHeight="1">
      <c r="A35" s="3539">
        <v>0</v>
      </c>
      <c r="B35" s="3539" t="s">
        <v>3612</v>
      </c>
      <c r="C35" s="3539" t="s">
        <v>3613</v>
      </c>
      <c r="D35" s="3539" t="s">
        <v>3451</v>
      </c>
      <c r="E35" s="3539" t="s">
        <v>3614</v>
      </c>
      <c r="F35" s="3539" t="s">
        <v>3615</v>
      </c>
      <c r="G35" s="3539" t="s">
        <v>673</v>
      </c>
      <c r="H35" s="3539"/>
      <c r="I35" s="3539">
        <v>1834.56</v>
      </c>
      <c r="J35" s="3539">
        <v>1834.56</v>
      </c>
      <c r="K35" s="3539"/>
      <c r="L35" s="3539">
        <v>11059.343999999999</v>
      </c>
      <c r="M35" s="3539">
        <v>60283</v>
      </c>
      <c r="N35" s="3539">
        <v>60283</v>
      </c>
      <c r="O35" s="3539" t="s">
        <v>3616</v>
      </c>
      <c r="P35" s="3540">
        <v>44205</v>
      </c>
      <c r="Q35" s="3539" t="s">
        <v>3617</v>
      </c>
      <c r="R35" s="3539" t="s">
        <v>3618</v>
      </c>
      <c r="S35" s="3539">
        <v>12841.92</v>
      </c>
      <c r="T35" s="3539"/>
      <c r="U35" s="3539"/>
      <c r="V35" s="3541">
        <v>0.86</v>
      </c>
      <c r="W35" s="3539" t="s">
        <v>3619</v>
      </c>
    </row>
    <row r="36" spans="1:23" s="3538" customFormat="1" ht="69" customHeight="1">
      <c r="A36" s="3539">
        <v>16</v>
      </c>
      <c r="B36" s="3539" t="s">
        <v>3678</v>
      </c>
      <c r="C36" s="3539" t="s">
        <v>3620</v>
      </c>
      <c r="D36" s="3539" t="s">
        <v>3446</v>
      </c>
      <c r="E36" s="3539" t="s">
        <v>3621</v>
      </c>
      <c r="F36" s="3539" t="s">
        <v>3622</v>
      </c>
      <c r="G36" s="3539" t="s">
        <v>3623</v>
      </c>
      <c r="H36" s="3539"/>
      <c r="I36" s="3539">
        <v>14263.2</v>
      </c>
      <c r="J36" s="3539">
        <v>12079.89</v>
      </c>
      <c r="K36" s="3539">
        <v>2183.31</v>
      </c>
      <c r="L36" s="3539">
        <v>99736</v>
      </c>
      <c r="M36" s="3539">
        <v>69925</v>
      </c>
      <c r="N36" s="3539">
        <v>82564</v>
      </c>
      <c r="O36" s="3539" t="s">
        <v>3624</v>
      </c>
      <c r="P36" s="3540">
        <v>44224</v>
      </c>
      <c r="Q36" s="3539" t="s">
        <v>3625</v>
      </c>
      <c r="R36" s="3539" t="s">
        <v>3626</v>
      </c>
      <c r="S36" s="3539"/>
      <c r="T36" s="3539"/>
      <c r="U36" s="3539"/>
      <c r="V36" s="3541"/>
      <c r="W36" s="3539"/>
    </row>
    <row r="37" spans="1:23" s="3542" customFormat="1" ht="69" customHeight="1">
      <c r="A37" s="3553">
        <v>36</v>
      </c>
      <c r="B37" s="3553" t="s">
        <v>3680</v>
      </c>
      <c r="C37" s="3553" t="s">
        <v>3627</v>
      </c>
      <c r="D37" s="3553" t="s">
        <v>3451</v>
      </c>
      <c r="E37" s="3553" t="s">
        <v>3628</v>
      </c>
      <c r="F37" s="3553" t="s">
        <v>3629</v>
      </c>
      <c r="G37" s="3553" t="s">
        <v>21</v>
      </c>
      <c r="H37" s="3553"/>
      <c r="I37" s="3553">
        <v>107627.08</v>
      </c>
      <c r="J37" s="3553">
        <v>107627.08</v>
      </c>
      <c r="K37" s="3553"/>
      <c r="L37" s="3553">
        <v>906000</v>
      </c>
      <c r="M37" s="3553">
        <v>84180</v>
      </c>
      <c r="N37" s="3553">
        <v>84180</v>
      </c>
      <c r="O37" s="3553" t="s">
        <v>3630</v>
      </c>
      <c r="P37" s="3554">
        <v>44348</v>
      </c>
      <c r="Q37" s="3553" t="s">
        <v>3631</v>
      </c>
      <c r="R37" s="3553" t="s">
        <v>3632</v>
      </c>
      <c r="S37" s="3553"/>
      <c r="T37" s="3553"/>
      <c r="U37" s="3553"/>
      <c r="V37" s="3555"/>
      <c r="W37" s="3553"/>
    </row>
    <row r="38" spans="1:23" s="3543" customFormat="1" ht="67.5" customHeight="1">
      <c r="A38" s="3543">
        <v>44</v>
      </c>
      <c r="B38" s="3543" t="s">
        <v>3553</v>
      </c>
      <c r="C38" s="3543" t="s">
        <v>3633</v>
      </c>
      <c r="D38" s="3543" t="s">
        <v>3547</v>
      </c>
      <c r="E38" s="3543" t="s">
        <v>3634</v>
      </c>
      <c r="F38" s="3543" t="s">
        <v>3635</v>
      </c>
      <c r="G38" s="3543" t="s">
        <v>3559</v>
      </c>
      <c r="I38" s="3543">
        <v>38000</v>
      </c>
      <c r="J38" s="3543">
        <v>26467.47</v>
      </c>
      <c r="K38" s="3543">
        <v>11532.53</v>
      </c>
      <c r="L38" s="3543">
        <v>157500</v>
      </c>
      <c r="M38" s="3543">
        <v>41447</v>
      </c>
      <c r="N38" s="3543">
        <v>59507</v>
      </c>
      <c r="O38" s="3543" t="s">
        <v>43</v>
      </c>
      <c r="P38" s="3543" t="s">
        <v>3636</v>
      </c>
      <c r="Q38" s="3543" t="s">
        <v>3637</v>
      </c>
      <c r="R38" s="3543" t="s">
        <v>3638</v>
      </c>
      <c r="T38" s="3543">
        <v>0</v>
      </c>
      <c r="V38" s="3543" t="e">
        <v>#DIV/0!</v>
      </c>
    </row>
    <row r="39" spans="1:23" s="3538" customFormat="1" ht="48">
      <c r="A39" s="3539">
        <v>45</v>
      </c>
      <c r="B39" s="3539" t="s">
        <v>3639</v>
      </c>
      <c r="C39" s="3539" t="s">
        <v>3640</v>
      </c>
      <c r="D39" s="3539" t="s">
        <v>3547</v>
      </c>
      <c r="E39" s="3539" t="s">
        <v>3635</v>
      </c>
      <c r="F39" s="3539" t="s">
        <v>3641</v>
      </c>
      <c r="G39" s="3539" t="s">
        <v>21</v>
      </c>
      <c r="H39" s="3539"/>
      <c r="I39" s="3539">
        <v>15941</v>
      </c>
      <c r="J39" s="3539">
        <v>15941</v>
      </c>
      <c r="K39" s="3539"/>
      <c r="L39" s="3539">
        <v>152300</v>
      </c>
      <c r="M39" s="3539">
        <v>95540</v>
      </c>
      <c r="N39" s="3539">
        <v>95540</v>
      </c>
      <c r="O39" s="3539" t="s">
        <v>3642</v>
      </c>
      <c r="P39" s="3540" t="s">
        <v>3643</v>
      </c>
      <c r="Q39" s="3539" t="s">
        <v>3644</v>
      </c>
      <c r="R39" s="3539"/>
      <c r="S39" s="3539"/>
      <c r="T39" s="3539">
        <v>0</v>
      </c>
      <c r="U39" s="3539"/>
      <c r="V39" s="3541" t="e">
        <v>#DIV/0!</v>
      </c>
      <c r="W39" s="3539"/>
    </row>
    <row r="40" spans="1:23" s="3546" customFormat="1" ht="108">
      <c r="A40" s="3543">
        <v>71</v>
      </c>
      <c r="B40" s="3543" t="s">
        <v>3679</v>
      </c>
      <c r="C40" s="3543" t="s">
        <v>3645</v>
      </c>
      <c r="D40" s="3543" t="s">
        <v>3451</v>
      </c>
      <c r="E40" s="3543" t="s">
        <v>3646</v>
      </c>
      <c r="F40" s="3543" t="s">
        <v>3647</v>
      </c>
      <c r="G40" s="3543" t="s">
        <v>673</v>
      </c>
      <c r="H40" s="3543"/>
      <c r="I40" s="3543">
        <v>7405.99</v>
      </c>
      <c r="J40" s="3543">
        <v>5665.98</v>
      </c>
      <c r="K40" s="3543">
        <v>1740.01</v>
      </c>
      <c r="L40" s="3543">
        <v>36838</v>
      </c>
      <c r="M40" s="3543">
        <v>49741</v>
      </c>
      <c r="N40" s="3543">
        <v>65016</v>
      </c>
      <c r="O40" s="3543" t="s">
        <v>43</v>
      </c>
      <c r="P40" s="3544">
        <v>44559</v>
      </c>
      <c r="Q40" s="3543" t="s">
        <v>3648</v>
      </c>
      <c r="R40" s="3543" t="s">
        <v>3632</v>
      </c>
      <c r="S40" s="3543"/>
      <c r="T40" s="3543">
        <v>0</v>
      </c>
      <c r="U40" s="3543"/>
      <c r="V40" s="3545" t="e">
        <v>#DIV/0!</v>
      </c>
      <c r="W40" s="3543"/>
    </row>
    <row r="41" spans="1:23" s="3553" customFormat="1" ht="99" customHeight="1">
      <c r="A41" s="3553">
        <v>78</v>
      </c>
      <c r="B41" s="3553" t="s">
        <v>3649</v>
      </c>
      <c r="C41" s="3553" t="s">
        <v>3650</v>
      </c>
      <c r="D41" s="3553" t="s">
        <v>3451</v>
      </c>
      <c r="E41" s="3553" t="s">
        <v>3651</v>
      </c>
      <c r="F41" s="3553" t="s">
        <v>3652</v>
      </c>
      <c r="G41" s="3553" t="s">
        <v>3583</v>
      </c>
      <c r="H41" s="3553">
        <v>10142.94</v>
      </c>
      <c r="I41" s="3553">
        <v>39145.39</v>
      </c>
      <c r="J41" s="3553">
        <v>33000</v>
      </c>
      <c r="L41" s="3553">
        <v>250000</v>
      </c>
      <c r="M41" s="3553">
        <v>63864</v>
      </c>
      <c r="N41" s="3553">
        <v>75758</v>
      </c>
      <c r="O41" s="3553" t="s">
        <v>3653</v>
      </c>
      <c r="P41" s="3553" t="s">
        <v>3654</v>
      </c>
      <c r="Q41" s="3553" t="s">
        <v>3655</v>
      </c>
      <c r="R41" s="3553" t="s">
        <v>3656</v>
      </c>
      <c r="U41" s="3553" t="s">
        <v>3657</v>
      </c>
    </row>
    <row r="42" spans="1:23" s="3539" customFormat="1" ht="99" customHeight="1">
      <c r="A42" s="3539">
        <v>80</v>
      </c>
      <c r="B42" s="3539" t="s">
        <v>3658</v>
      </c>
      <c r="C42" s="3539" t="s">
        <v>3659</v>
      </c>
      <c r="D42" s="3539" t="s">
        <v>3478</v>
      </c>
      <c r="E42" s="3539" t="s">
        <v>3660</v>
      </c>
      <c r="F42" s="3539" t="s">
        <v>3661</v>
      </c>
      <c r="G42" s="3539" t="s">
        <v>673</v>
      </c>
      <c r="I42" s="3539">
        <v>365.83</v>
      </c>
      <c r="J42" s="3539">
        <v>365.83</v>
      </c>
      <c r="L42" s="3539">
        <v>2603.1</v>
      </c>
      <c r="M42" s="3539">
        <v>71156</v>
      </c>
      <c r="N42" s="3539">
        <v>71156</v>
      </c>
      <c r="O42" s="3539" t="s">
        <v>43</v>
      </c>
      <c r="P42" s="3539">
        <v>43980</v>
      </c>
      <c r="Q42" s="3539" t="s">
        <v>3662</v>
      </c>
      <c r="R42" s="3539" t="s">
        <v>3663</v>
      </c>
      <c r="T42" s="3539">
        <v>0</v>
      </c>
      <c r="V42" s="3539" t="e">
        <v>#DIV/0!</v>
      </c>
    </row>
    <row r="43" spans="1:23" s="3543" customFormat="1" ht="99" customHeight="1">
      <c r="A43" s="3543">
        <v>98</v>
      </c>
      <c r="B43" s="3543" t="s">
        <v>3550</v>
      </c>
      <c r="C43" s="3543" t="s">
        <v>3664</v>
      </c>
      <c r="D43" s="3543" t="s">
        <v>3478</v>
      </c>
      <c r="E43" s="3543" t="s">
        <v>3646</v>
      </c>
      <c r="F43" s="3543" t="s">
        <v>3507</v>
      </c>
      <c r="G43" s="3543" t="s">
        <v>3559</v>
      </c>
      <c r="I43" s="3543">
        <v>138490</v>
      </c>
      <c r="J43" s="3543">
        <v>104336.17</v>
      </c>
      <c r="K43" s="3543">
        <v>34153.83</v>
      </c>
      <c r="L43" s="3543">
        <v>618571.42859999998</v>
      </c>
      <c r="M43" s="3543">
        <v>44665</v>
      </c>
      <c r="N43" s="3543">
        <v>59286</v>
      </c>
      <c r="O43" s="3543" t="s">
        <v>3665</v>
      </c>
      <c r="P43" s="3543">
        <v>44348</v>
      </c>
      <c r="Q43" s="3543" t="s">
        <v>3666</v>
      </c>
      <c r="R43" s="3543" t="s">
        <v>3667</v>
      </c>
      <c r="T43" s="3543">
        <v>0</v>
      </c>
      <c r="U43" s="3543" t="s">
        <v>3657</v>
      </c>
      <c r="V43" s="3543" t="e">
        <v>#DIV/0!</v>
      </c>
    </row>
    <row r="44" spans="1:23" s="3539" customFormat="1" ht="99" customHeight="1">
      <c r="A44" s="3539">
        <v>102</v>
      </c>
      <c r="B44" s="3539" t="s">
        <v>3668</v>
      </c>
      <c r="C44" s="3539" t="s">
        <v>3669</v>
      </c>
      <c r="D44" s="3539" t="s">
        <v>3451</v>
      </c>
      <c r="E44" s="3539" t="s">
        <v>3646</v>
      </c>
      <c r="F44" s="3539" t="s">
        <v>3670</v>
      </c>
      <c r="G44" s="3539" t="s">
        <v>21</v>
      </c>
      <c r="I44" s="3539">
        <v>52838</v>
      </c>
      <c r="J44" s="3539">
        <v>52838</v>
      </c>
      <c r="L44" s="3539">
        <v>300000</v>
      </c>
      <c r="M44" s="3539">
        <v>56777</v>
      </c>
      <c r="N44" s="3539">
        <v>56777</v>
      </c>
      <c r="O44" s="3539" t="s">
        <v>3671</v>
      </c>
      <c r="P44" s="3539">
        <v>44228</v>
      </c>
      <c r="Q44" s="3539" t="s">
        <v>3672</v>
      </c>
      <c r="R44" s="3539" t="s">
        <v>3673</v>
      </c>
      <c r="T44" s="3539">
        <v>0</v>
      </c>
      <c r="U44" s="3539" t="s">
        <v>3657</v>
      </c>
      <c r="V44" s="3539" t="e">
        <v>#DIV/0!</v>
      </c>
    </row>
    <row r="45" spans="1:23" s="3538" customFormat="1" ht="120">
      <c r="A45" s="3539">
        <v>101</v>
      </c>
      <c r="B45" s="3539" t="s">
        <v>3552</v>
      </c>
      <c r="C45" s="3539" t="s">
        <v>3674</v>
      </c>
      <c r="D45" s="3539" t="s">
        <v>3478</v>
      </c>
      <c r="E45" s="3539" t="s">
        <v>3675</v>
      </c>
      <c r="F45" s="3539" t="s">
        <v>3479</v>
      </c>
      <c r="G45" s="3539" t="s">
        <v>673</v>
      </c>
      <c r="H45" s="3539"/>
      <c r="I45" s="3539">
        <v>32414.42</v>
      </c>
      <c r="J45" s="3539">
        <v>24206.3</v>
      </c>
      <c r="K45" s="3539">
        <v>8208.1200000000008</v>
      </c>
      <c r="L45" s="3539">
        <v>105000</v>
      </c>
      <c r="M45" s="3539">
        <v>32393</v>
      </c>
      <c r="N45" s="3539">
        <v>43377</v>
      </c>
      <c r="O45" s="3539" t="s">
        <v>3480</v>
      </c>
      <c r="P45" s="3540">
        <v>44256</v>
      </c>
      <c r="Q45" s="3539" t="s">
        <v>3676</v>
      </c>
      <c r="R45" s="3539" t="s">
        <v>3677</v>
      </c>
      <c r="S45" s="3539"/>
      <c r="T45" s="3539">
        <v>0</v>
      </c>
      <c r="U45" s="3539"/>
      <c r="V45" s="3541" t="e">
        <v>#DIV/0!</v>
      </c>
      <c r="W45" s="3539"/>
    </row>
  </sheetData>
  <mergeCells count="1">
    <mergeCell ref="A1:H1"/>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8"/>
  <sheetViews>
    <sheetView topLeftCell="A31" workbookViewId="0">
      <selection activeCell="E30" sqref="E30"/>
    </sheetView>
  </sheetViews>
  <sheetFormatPr defaultRowHeight="13.5"/>
  <cols>
    <col min="1" max="1" width="14.125" customWidth="1"/>
    <col min="6" max="6" width="11.625" bestFit="1" customWidth="1"/>
    <col min="9" max="9" width="9.5" bestFit="1" customWidth="1"/>
    <col min="10" max="10" width="10.625" customWidth="1"/>
    <col min="11" max="11" width="12.5" customWidth="1"/>
  </cols>
  <sheetData>
    <row r="1" spans="1:11">
      <c r="A1" s="3472" t="s">
        <v>3422</v>
      </c>
      <c r="C1" s="3472" t="s">
        <v>3418</v>
      </c>
      <c r="D1" s="3472" t="s">
        <v>3419</v>
      </c>
      <c r="J1" s="3472"/>
    </row>
    <row r="2" spans="1:11">
      <c r="B2" s="3472" t="s">
        <v>3417</v>
      </c>
      <c r="C2">
        <v>25345.27</v>
      </c>
      <c r="D2">
        <v>4.7</v>
      </c>
      <c r="E2">
        <f>D2*C2</f>
        <v>119122.769</v>
      </c>
      <c r="J2" s="3472" t="s">
        <v>3424</v>
      </c>
      <c r="K2" s="3472" t="s">
        <v>3425</v>
      </c>
    </row>
    <row r="3" spans="1:11">
      <c r="B3" s="3472" t="s">
        <v>3421</v>
      </c>
      <c r="C3">
        <f>8582.61+3548.6</f>
        <v>12131.210000000001</v>
      </c>
      <c r="D3">
        <v>6.2</v>
      </c>
      <c r="E3">
        <f>D3*C3</f>
        <v>75213.502000000008</v>
      </c>
      <c r="J3">
        <v>-4</v>
      </c>
      <c r="K3">
        <f>9933.46-7075.11</f>
        <v>2858.3499999999995</v>
      </c>
    </row>
    <row r="4" spans="1:11">
      <c r="C4">
        <f>SUM(C2:C3)</f>
        <v>37476.480000000003</v>
      </c>
      <c r="D4">
        <f>E4/C4</f>
        <v>5.1855529388032169</v>
      </c>
      <c r="E4">
        <f>SUM(E2:E3)</f>
        <v>194336.27100000001</v>
      </c>
      <c r="J4">
        <v>-3</v>
      </c>
      <c r="K4">
        <v>8927.2999999999993</v>
      </c>
    </row>
    <row r="5" spans="1:11">
      <c r="J5">
        <v>-2</v>
      </c>
      <c r="K5">
        <v>9607.65</v>
      </c>
    </row>
    <row r="6" spans="1:11">
      <c r="A6" s="3472"/>
      <c r="C6" s="3472" t="s">
        <v>3418</v>
      </c>
      <c r="J6">
        <v>-1</v>
      </c>
      <c r="K6">
        <v>9383.2000000000007</v>
      </c>
    </row>
    <row r="7" spans="1:11">
      <c r="A7" s="3472" t="s">
        <v>3681</v>
      </c>
      <c r="B7" s="3472" t="s">
        <v>3682</v>
      </c>
      <c r="C7">
        <v>25345.27</v>
      </c>
      <c r="D7">
        <v>4.7</v>
      </c>
      <c r="E7">
        <f>D7*C7</f>
        <v>119122.769</v>
      </c>
      <c r="J7">
        <v>1</v>
      </c>
      <c r="K7">
        <f>3538.82-47.38</f>
        <v>3491.44</v>
      </c>
    </row>
    <row r="8" spans="1:11">
      <c r="B8" s="3472" t="s">
        <v>3683</v>
      </c>
      <c r="C8">
        <v>6000</v>
      </c>
      <c r="D8">
        <v>2.7</v>
      </c>
      <c r="E8">
        <f>D8*C8</f>
        <v>16200.000000000002</v>
      </c>
      <c r="J8">
        <v>2</v>
      </c>
      <c r="K8">
        <v>3328.97</v>
      </c>
    </row>
    <row r="9" spans="1:11">
      <c r="C9">
        <f>SUM(C7:C8)</f>
        <v>31345.27</v>
      </c>
      <c r="D9">
        <f>E9/C9</f>
        <v>4.317167119632404</v>
      </c>
      <c r="E9">
        <f>SUM(E7:E8)</f>
        <v>135322.769</v>
      </c>
      <c r="J9">
        <v>3</v>
      </c>
      <c r="K9">
        <v>4308.8599999999997</v>
      </c>
    </row>
    <row r="10" spans="1:11">
      <c r="J10">
        <v>4</v>
      </c>
      <c r="K10">
        <v>4362.0600000000004</v>
      </c>
    </row>
    <row r="11" spans="1:11">
      <c r="A11" s="3472" t="s">
        <v>3684</v>
      </c>
      <c r="B11" s="3472" t="s">
        <v>3422</v>
      </c>
      <c r="C11">
        <f>8582.61+3548.6</f>
        <v>12131.210000000001</v>
      </c>
      <c r="D11">
        <v>6.2</v>
      </c>
      <c r="E11">
        <f>D11*C11</f>
        <v>75213.502000000008</v>
      </c>
      <c r="J11">
        <v>5</v>
      </c>
      <c r="K11">
        <v>3971.16</v>
      </c>
    </row>
    <row r="12" spans="1:11">
      <c r="A12" s="3472" t="s">
        <v>3695</v>
      </c>
      <c r="B12" s="3472" t="s">
        <v>3685</v>
      </c>
      <c r="C12">
        <v>1156</v>
      </c>
      <c r="D12">
        <v>2.4</v>
      </c>
      <c r="E12">
        <f t="shared" ref="E12:E13" si="0">D12*C12</f>
        <v>2774.4</v>
      </c>
      <c r="J12">
        <v>6</v>
      </c>
      <c r="K12">
        <v>3971.16</v>
      </c>
    </row>
    <row r="13" spans="1:11">
      <c r="B13" s="3472" t="s">
        <v>3686</v>
      </c>
      <c r="C13">
        <v>184</v>
      </c>
      <c r="D13">
        <v>2.7</v>
      </c>
      <c r="E13">
        <f t="shared" si="0"/>
        <v>496.8</v>
      </c>
      <c r="J13">
        <v>7</v>
      </c>
      <c r="K13">
        <v>3185.77</v>
      </c>
    </row>
    <row r="14" spans="1:11">
      <c r="C14">
        <f>SUM(C11:C13)</f>
        <v>13471.210000000001</v>
      </c>
      <c r="D14">
        <f>E14/C14</f>
        <v>5.8261063408557954</v>
      </c>
      <c r="E14">
        <f>SUM(E11:E13)</f>
        <v>78484.702000000005</v>
      </c>
      <c r="J14">
        <v>8</v>
      </c>
      <c r="K14">
        <v>3185.77</v>
      </c>
    </row>
    <row r="15" spans="1:11">
      <c r="J15">
        <v>9</v>
      </c>
      <c r="K15">
        <v>2711.97</v>
      </c>
    </row>
    <row r="16" spans="1:11">
      <c r="A16" s="3472" t="s">
        <v>3696</v>
      </c>
      <c r="B16" s="3472" t="s">
        <v>3422</v>
      </c>
      <c r="C16">
        <f>8582.61+3548.6</f>
        <v>12131.210000000001</v>
      </c>
      <c r="D16">
        <v>8</v>
      </c>
      <c r="E16">
        <f>D16*C16</f>
        <v>97049.680000000008</v>
      </c>
      <c r="J16">
        <v>10</v>
      </c>
      <c r="K16">
        <v>2445.6999999999998</v>
      </c>
    </row>
    <row r="17" spans="1:11">
      <c r="B17" s="3472" t="s">
        <v>3685</v>
      </c>
      <c r="C17">
        <v>1156</v>
      </c>
      <c r="D17">
        <v>3</v>
      </c>
      <c r="E17">
        <f t="shared" ref="E17:E18" si="1">D17*C17</f>
        <v>3468</v>
      </c>
      <c r="J17">
        <v>11</v>
      </c>
      <c r="K17">
        <v>2445.6999999999998</v>
      </c>
    </row>
    <row r="18" spans="1:11">
      <c r="B18" s="3472" t="s">
        <v>3686</v>
      </c>
      <c r="C18">
        <v>184</v>
      </c>
      <c r="D18">
        <v>3</v>
      </c>
      <c r="E18">
        <f t="shared" si="1"/>
        <v>552</v>
      </c>
      <c r="J18" s="3472" t="s">
        <v>3426</v>
      </c>
      <c r="K18">
        <v>620.55999999999995</v>
      </c>
    </row>
    <row r="19" spans="1:11">
      <c r="C19">
        <f>SUM(C16:C18)</f>
        <v>13471.210000000001</v>
      </c>
      <c r="D19">
        <f>E19/C19</f>
        <v>7.5026430439433431</v>
      </c>
      <c r="E19">
        <f>SUM(E16:E18)</f>
        <v>101069.68000000001</v>
      </c>
      <c r="K19">
        <f>SUM(K3:K18)</f>
        <v>68805.619999999981</v>
      </c>
    </row>
    <row r="22" spans="1:11">
      <c r="A22" s="3472" t="s">
        <v>3700</v>
      </c>
      <c r="B22" s="3472" t="s">
        <v>3422</v>
      </c>
      <c r="C22">
        <f>'数据-汇总表'!F20</f>
        <v>12063.289999999997</v>
      </c>
    </row>
    <row r="23" spans="1:11">
      <c r="B23" s="3472" t="s">
        <v>3423</v>
      </c>
      <c r="C23">
        <f>'数据-汇总表'!G20</f>
        <v>3383.2000000000007</v>
      </c>
    </row>
    <row r="24" spans="1:11">
      <c r="C24">
        <f>SUM(C22:C23)</f>
        <v>15446.489999999998</v>
      </c>
      <c r="D24" s="3552">
        <f>E19/C24</f>
        <v>6.5432133772785939</v>
      </c>
    </row>
    <row r="26" spans="1:11">
      <c r="D26" s="3472" t="s">
        <v>3744</v>
      </c>
      <c r="E26" s="3472" t="s">
        <v>3746</v>
      </c>
      <c r="F26" s="3472" t="s">
        <v>3745</v>
      </c>
    </row>
    <row r="27" spans="1:11">
      <c r="A27" s="3472" t="s">
        <v>3703</v>
      </c>
      <c r="B27" s="3899" t="s">
        <v>3704</v>
      </c>
      <c r="C27" s="3899" t="s">
        <v>3724</v>
      </c>
      <c r="D27" s="3552">
        <v>25345.27</v>
      </c>
      <c r="E27" s="3552">
        <f>4.7+0.5</f>
        <v>5.2</v>
      </c>
      <c r="F27" s="3552">
        <f>E27*D27*365</f>
        <v>48105322.460000001</v>
      </c>
      <c r="I27">
        <v>0.5</v>
      </c>
      <c r="J27">
        <f>I27*D27*365</f>
        <v>4625511.7750000004</v>
      </c>
    </row>
    <row r="28" spans="1:11">
      <c r="A28" s="3472"/>
      <c r="B28" s="3899"/>
      <c r="C28" s="3899"/>
      <c r="D28" s="3552">
        <v>6000</v>
      </c>
      <c r="E28" s="3552">
        <f>2.7+0.3</f>
        <v>3</v>
      </c>
      <c r="F28" s="3552">
        <f>E28*D28*365</f>
        <v>6570000</v>
      </c>
      <c r="I28">
        <v>0.3</v>
      </c>
      <c r="J28">
        <f>I28*D28*365</f>
        <v>657000</v>
      </c>
    </row>
    <row r="29" spans="1:11">
      <c r="A29" s="3472"/>
      <c r="B29" s="3899"/>
      <c r="C29" s="3899"/>
      <c r="D29" s="3552">
        <f>SUM(D27:D28)</f>
        <v>31345.27</v>
      </c>
      <c r="E29" s="3552">
        <f>ROUND(F29/D29/365,2)</f>
        <v>4.78</v>
      </c>
      <c r="F29" s="3552">
        <f>SUM(F27:F28)</f>
        <v>54675322.460000001</v>
      </c>
      <c r="J29">
        <f>SUM(J27:J28)</f>
        <v>5282511.7750000004</v>
      </c>
    </row>
    <row r="30" spans="1:11">
      <c r="B30" s="3472" t="s">
        <v>3705</v>
      </c>
      <c r="C30" s="3472" t="s">
        <v>3725</v>
      </c>
      <c r="E30">
        <f>E29</f>
        <v>4.78</v>
      </c>
      <c r="F30">
        <f>F29</f>
        <v>54675322.460000001</v>
      </c>
    </row>
    <row r="31" spans="1:11">
      <c r="B31" s="3472" t="s">
        <v>3706</v>
      </c>
      <c r="C31" s="3472" t="s">
        <v>3726</v>
      </c>
      <c r="E31">
        <f>E29</f>
        <v>4.78</v>
      </c>
      <c r="F31">
        <f>F29</f>
        <v>54675322.460000001</v>
      </c>
    </row>
    <row r="32" spans="1:11">
      <c r="B32" s="3472" t="s">
        <v>3707</v>
      </c>
      <c r="C32" s="3472" t="s">
        <v>3727</v>
      </c>
      <c r="E32">
        <f>E29</f>
        <v>4.78</v>
      </c>
      <c r="F32">
        <f>F29</f>
        <v>54675322.460000001</v>
      </c>
    </row>
    <row r="33" spans="1:6">
      <c r="B33" s="3472" t="s">
        <v>3708</v>
      </c>
      <c r="C33" s="3472" t="s">
        <v>3728</v>
      </c>
      <c r="E33">
        <f>E29</f>
        <v>4.78</v>
      </c>
      <c r="F33">
        <f>F29</f>
        <v>54675322.460000001</v>
      </c>
    </row>
    <row r="34" spans="1:6">
      <c r="A34" s="3899" t="s">
        <v>3747</v>
      </c>
      <c r="B34" s="3899" t="s">
        <v>3709</v>
      </c>
      <c r="C34" s="3899" t="s">
        <v>3729</v>
      </c>
      <c r="D34" s="3552"/>
      <c r="E34" s="3552">
        <f>ROUND(E27*(1+8%),2)</f>
        <v>5.62</v>
      </c>
      <c r="F34" s="3552">
        <f>E34*D27*365</f>
        <v>51990752.351000004</v>
      </c>
    </row>
    <row r="35" spans="1:6">
      <c r="A35" s="3552"/>
      <c r="B35" s="3899"/>
      <c r="C35" s="3899"/>
      <c r="D35" s="3552"/>
      <c r="E35" s="3552">
        <f>ROUND(E28*(1+8%),2)</f>
        <v>3.24</v>
      </c>
      <c r="F35" s="3552">
        <f>E35*D28*365</f>
        <v>7095600</v>
      </c>
    </row>
    <row r="36" spans="1:6">
      <c r="A36" s="3552"/>
      <c r="B36" s="3899"/>
      <c r="C36" s="3899"/>
      <c r="D36" s="3552"/>
      <c r="E36" s="3552">
        <f>ROUND(F36/365/D29,2)</f>
        <v>5.16</v>
      </c>
      <c r="F36" s="3552">
        <f>SUM(F34:F35)</f>
        <v>59086352.351000004</v>
      </c>
    </row>
    <row r="37" spans="1:6">
      <c r="B37" s="3472" t="s">
        <v>3710</v>
      </c>
      <c r="C37" s="3472" t="s">
        <v>3730</v>
      </c>
      <c r="E37">
        <f>E36</f>
        <v>5.16</v>
      </c>
      <c r="F37">
        <f>F36</f>
        <v>59086352.351000004</v>
      </c>
    </row>
    <row r="38" spans="1:6">
      <c r="B38" s="3472" t="s">
        <v>3711</v>
      </c>
      <c r="C38" s="3472" t="s">
        <v>3731</v>
      </c>
      <c r="E38">
        <f>E36</f>
        <v>5.16</v>
      </c>
      <c r="F38">
        <f>F36</f>
        <v>59086352.351000004</v>
      </c>
    </row>
    <row r="39" spans="1:6">
      <c r="B39" s="3472" t="s">
        <v>3712</v>
      </c>
      <c r="C39" s="3472" t="s">
        <v>3732</v>
      </c>
      <c r="E39">
        <f>E36</f>
        <v>5.16</v>
      </c>
      <c r="F39">
        <f>F36</f>
        <v>59086352.351000004</v>
      </c>
    </row>
    <row r="40" spans="1:6">
      <c r="B40" s="3472" t="s">
        <v>3713</v>
      </c>
      <c r="C40" s="3472" t="s">
        <v>3733</v>
      </c>
      <c r="E40">
        <f>E36</f>
        <v>5.16</v>
      </c>
      <c r="F40">
        <f>F36</f>
        <v>59086352.351000004</v>
      </c>
    </row>
    <row r="41" spans="1:6">
      <c r="A41" s="3899" t="s">
        <v>3747</v>
      </c>
      <c r="B41" s="3899" t="s">
        <v>3714</v>
      </c>
      <c r="C41" s="3899" t="s">
        <v>3734</v>
      </c>
      <c r="D41" s="3552"/>
      <c r="E41" s="3552">
        <f>ROUND(E34*(1+8%),2)</f>
        <v>6.07</v>
      </c>
      <c r="F41" s="3552">
        <f>E41*D27*365</f>
        <v>56153712.948500007</v>
      </c>
    </row>
    <row r="42" spans="1:6">
      <c r="A42" s="3899"/>
      <c r="B42" s="3899"/>
      <c r="C42" s="3899"/>
      <c r="D42" s="3552"/>
      <c r="E42" s="3552">
        <f>ROUND(E35*(1+8%),2)</f>
        <v>3.5</v>
      </c>
      <c r="F42" s="3552">
        <f>E42*D28*365</f>
        <v>7665000</v>
      </c>
    </row>
    <row r="43" spans="1:6">
      <c r="A43" s="3899"/>
      <c r="B43" s="3899"/>
      <c r="C43" s="3899"/>
      <c r="D43" s="3552"/>
      <c r="E43" s="3552">
        <f>ROUND(F43/365/D29,2)</f>
        <v>5.58</v>
      </c>
      <c r="F43" s="3552">
        <f>SUM(F41:F42)</f>
        <v>63818712.948500007</v>
      </c>
    </row>
    <row r="44" spans="1:6">
      <c r="B44" s="3472" t="s">
        <v>3715</v>
      </c>
      <c r="C44" s="3472" t="s">
        <v>3735</v>
      </c>
      <c r="E44">
        <f>E43</f>
        <v>5.58</v>
      </c>
      <c r="F44">
        <f>F43</f>
        <v>63818712.948500007</v>
      </c>
    </row>
    <row r="45" spans="1:6">
      <c r="B45" s="3472" t="s">
        <v>3716</v>
      </c>
      <c r="C45" s="3472" t="s">
        <v>3736</v>
      </c>
      <c r="E45">
        <f>E43</f>
        <v>5.58</v>
      </c>
      <c r="F45">
        <f>F43</f>
        <v>63818712.948500007</v>
      </c>
    </row>
    <row r="46" spans="1:6">
      <c r="B46" s="3472" t="s">
        <v>3717</v>
      </c>
      <c r="C46" s="3472" t="s">
        <v>3737</v>
      </c>
      <c r="E46">
        <f>E43</f>
        <v>5.58</v>
      </c>
      <c r="F46">
        <f>F43</f>
        <v>63818712.948500007</v>
      </c>
    </row>
    <row r="47" spans="1:6">
      <c r="B47" s="3472" t="s">
        <v>3718</v>
      </c>
      <c r="C47" s="3472" t="s">
        <v>3738</v>
      </c>
      <c r="E47">
        <f>E43</f>
        <v>5.58</v>
      </c>
      <c r="F47">
        <f>F43</f>
        <v>63818712.948500007</v>
      </c>
    </row>
    <row r="48" spans="1:6">
      <c r="A48" s="3899" t="s">
        <v>3747</v>
      </c>
      <c r="B48" s="3899" t="s">
        <v>3719</v>
      </c>
      <c r="C48" s="3899" t="s">
        <v>3739</v>
      </c>
      <c r="D48" s="3552"/>
      <c r="E48" s="3552">
        <f>ROUND(E41*(1+8%),2)</f>
        <v>6.56</v>
      </c>
      <c r="F48" s="3552">
        <f>E48*D27*365</f>
        <v>60686714.487999998</v>
      </c>
    </row>
    <row r="49" spans="1:6">
      <c r="A49" s="3899"/>
      <c r="B49" s="3899"/>
      <c r="C49" s="3899"/>
      <c r="D49" s="3552"/>
      <c r="E49" s="3552">
        <f>ROUND(E42*(1+8%),2)</f>
        <v>3.78</v>
      </c>
      <c r="F49" s="3552">
        <f>E49*D28*365</f>
        <v>8278200</v>
      </c>
    </row>
    <row r="50" spans="1:6">
      <c r="A50" s="3899"/>
      <c r="B50" s="3899"/>
      <c r="C50" s="3899"/>
      <c r="D50" s="3552"/>
      <c r="E50" s="3552">
        <f>ROUND(F50/365/D29,2)</f>
        <v>6.03</v>
      </c>
      <c r="F50" s="3552">
        <f>SUM(F48:F49)</f>
        <v>68964914.488000005</v>
      </c>
    </row>
    <row r="51" spans="1:6">
      <c r="B51" s="3472" t="s">
        <v>3720</v>
      </c>
      <c r="C51" s="3472" t="s">
        <v>3740</v>
      </c>
      <c r="E51">
        <f>E50</f>
        <v>6.03</v>
      </c>
      <c r="F51">
        <f>F50</f>
        <v>68964914.488000005</v>
      </c>
    </row>
    <row r="52" spans="1:6">
      <c r="B52" s="3472" t="s">
        <v>3721</v>
      </c>
      <c r="C52" s="3472" t="s">
        <v>3741</v>
      </c>
      <c r="E52">
        <f>E50</f>
        <v>6.03</v>
      </c>
      <c r="F52">
        <f>F50</f>
        <v>68964914.488000005</v>
      </c>
    </row>
    <row r="53" spans="1:6">
      <c r="B53" s="3472" t="s">
        <v>3722</v>
      </c>
      <c r="C53" s="3472" t="s">
        <v>3742</v>
      </c>
      <c r="E53">
        <f>E50</f>
        <v>6.03</v>
      </c>
      <c r="F53">
        <f>F50</f>
        <v>68964914.488000005</v>
      </c>
    </row>
    <row r="54" spans="1:6">
      <c r="B54" s="3472" t="s">
        <v>3723</v>
      </c>
      <c r="C54" s="3472" t="s">
        <v>3743</v>
      </c>
      <c r="E54">
        <f>E50</f>
        <v>6.03</v>
      </c>
      <c r="F54">
        <f>F50</f>
        <v>68964914.488000005</v>
      </c>
    </row>
    <row r="56" spans="1:6">
      <c r="A56" s="3472" t="s">
        <v>3748</v>
      </c>
      <c r="C56" s="3472" t="s">
        <v>3749</v>
      </c>
      <c r="F56">
        <f>F30*0.83</f>
        <v>45380517.641800001</v>
      </c>
    </row>
    <row r="57" spans="1:6">
      <c r="A57" s="3472"/>
      <c r="C57" s="3472" t="s">
        <v>3750</v>
      </c>
      <c r="F57">
        <f>F31+F32+F33+F36+F37+F38+F39+F40+F43+F44+F45+F46+F47+F50+F51+F52+F53+F54</f>
        <v>1123375866.3175004</v>
      </c>
    </row>
    <row r="58" spans="1:6">
      <c r="E58">
        <f>ROUND(F58/365/D29/18.83,2)</f>
        <v>5.43</v>
      </c>
      <c r="F58">
        <f>SUM(F56:F57)</f>
        <v>1168756383.9593003</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和睦家</v>
      </c>
      <c r="B6" s="1713" t="str">
        <f>IF(A6=0,"","经营性")</f>
        <v>经营性</v>
      </c>
      <c r="C6" s="1714" t="s">
        <v>673</v>
      </c>
      <c r="D6" s="858">
        <f>SUMIF(项目基本情况!C$12:I$12,C6,项目基本情况!C$14:I$14)</f>
        <v>40</v>
      </c>
      <c r="E6" s="857">
        <f>IF(B6="","",SUMIF(项目基本情况!C$12:I$12,C6,项目基本情况!C$13:I$13))</f>
        <v>54347</v>
      </c>
      <c r="F6" s="64">
        <f>SUMIF(项目基本情况!C$12:I$12,C6,项目基本情况!C$15:I$15)</f>
        <v>25.63</v>
      </c>
      <c r="G6" s="65">
        <f>IF(ISERROR(ROUND(POWER(1+H6,D6-F6)*(POWER(1+H6,F6)-1)/(POWER(1+H6,D6)-1),3)),0,ROUND(POWER(1+H6,D6-F6)*(POWER(1+H6,F6)-1)/(POWER(1+H6,D6)-1),3))</f>
        <v>0.83199999999999996</v>
      </c>
      <c r="H6" s="732">
        <v>0.05</v>
      </c>
      <c r="I6" s="732">
        <v>5.5E-2</v>
      </c>
      <c r="J6" s="66">
        <v>7.4999999999999997E-2</v>
      </c>
      <c r="K6" s="1030">
        <f>SUMIF('数据-汇总表'!C$19:C$33,A6,'数据-汇总表'!E$19:E$33)</f>
        <v>31345.27</v>
      </c>
      <c r="L6" s="733">
        <v>4000</v>
      </c>
      <c r="M6" s="67">
        <f t="shared" ref="M6:M14" si="0">ROUND(K6*L6/10000,0)</f>
        <v>12538</v>
      </c>
      <c r="N6" s="731">
        <f>ROUND((1-(2023-2011)/60+85%)/2,2)</f>
        <v>0.83</v>
      </c>
      <c r="O6" s="67" t="str">
        <f>IF($N$5="成新度","——",ROUND(M6*N6,0))</f>
        <v>——</v>
      </c>
      <c r="P6" s="68" t="str">
        <f>IF($N$5="成新度","——",M6-O6)</f>
        <v>——</v>
      </c>
      <c r="Q6" s="734">
        <v>0.2</v>
      </c>
      <c r="R6" s="69">
        <f ca="1">SUMIF('数据-汇总表'!C$19:C$33,A6,'数据-汇总表'!R$19:R$27)</f>
        <v>5197.1899999999996</v>
      </c>
      <c r="S6" s="51">
        <f>IF('数据-汇总表'!$I$17="按面积比例",SUMIF('数据-汇总表'!C$19:C$33,A6,'数据-汇总表'!K$19:K$33),SUMIF('数据-汇总表'!C$19:C$33,A6,'数据-汇总表'!N$19:N$33))</f>
        <v>285.27999999999997</v>
      </c>
      <c r="T6" s="1172">
        <f>ROUND($L$14*S6/10000,0)</f>
        <v>100</v>
      </c>
      <c r="U6" s="3428">
        <v>5.4</v>
      </c>
      <c r="V6" s="70">
        <v>0</v>
      </c>
      <c r="W6" s="70">
        <v>0</v>
      </c>
      <c r="X6" s="1040"/>
      <c r="Y6" s="71">
        <f>N6</f>
        <v>0.83</v>
      </c>
      <c r="Z6" s="72">
        <f>ROUND(6.5*(1+AA6)^AF6,2)</f>
        <v>10.35</v>
      </c>
      <c r="AA6" s="66">
        <v>2.5000000000000001E-2</v>
      </c>
      <c r="AB6" s="66">
        <v>0.05</v>
      </c>
      <c r="AC6" s="1040"/>
      <c r="AD6" s="73">
        <v>0.65</v>
      </c>
      <c r="AE6" s="1041">
        <f ca="1">IF(AN6="",0,SUMIF(INDIRECT("'"&amp;AN6&amp;"'"&amp;"!E:E"),$AE$5,INDIRECT("'"&amp;AN6&amp;"'"&amp;"!F:F")))</f>
        <v>25.63</v>
      </c>
      <c r="AF6" s="1348">
        <f>常用公式!C5</f>
        <v>18.829999999999998</v>
      </c>
      <c r="AG6" s="138">
        <f ca="1">IF(AF6="",0,AE6-AF6)</f>
        <v>6.8000000000000007</v>
      </c>
      <c r="AH6" s="74"/>
      <c r="AI6" s="76">
        <v>365</v>
      </c>
      <c r="AJ6" s="77"/>
      <c r="AK6" s="78">
        <v>3.0000000000000001E-3</v>
      </c>
      <c r="AL6" s="79">
        <v>1E-3</v>
      </c>
      <c r="AM6" s="80">
        <v>5.0000000000000001E-3</v>
      </c>
      <c r="AN6" s="1715" t="s">
        <v>3404</v>
      </c>
      <c r="AO6" s="52">
        <f ca="1">SUMIF(INDIRECT("'"&amp;AN6&amp;"'"&amp;"!A:A"),"总价",INDIRECT("'"&amp;AN6&amp;"'"&amp;"!B:B"))</f>
        <v>78647</v>
      </c>
      <c r="AP6" s="1716">
        <f>IF(C6="住宅",K6*L6,0)</f>
        <v>0</v>
      </c>
      <c r="AQ6" s="52">
        <f>ROUND($L$14*$N$14*S6/10000,0)</f>
        <v>83</v>
      </c>
      <c r="AR6" s="52">
        <f>ROUND($L$14*(1-$N$14)*S6/10000,0)</f>
        <v>17</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昆仑万维</v>
      </c>
      <c r="B7" s="1713" t="str">
        <f t="shared" ref="B7:B13" si="1">IF(A7=0,"","经营性")</f>
        <v>经营性</v>
      </c>
      <c r="C7" s="1714" t="s">
        <v>673</v>
      </c>
      <c r="D7" s="858">
        <f>SUMIF(项目基本情况!C$12:I$12,C7,项目基本情况!C$14:I$14)</f>
        <v>40</v>
      </c>
      <c r="E7" s="857">
        <f>IF(B7="","",SUMIF(项目基本情况!C$12:I$12,C7,项目基本情况!C$13:I$13))</f>
        <v>54347</v>
      </c>
      <c r="F7" s="64">
        <f>SUMIF(项目基本情况!C$12:I$12,C7,项目基本情况!C$15:I$15)</f>
        <v>25.63</v>
      </c>
      <c r="G7" s="65">
        <f t="shared" ref="G7:G11" si="2">IF(ISERROR(ROUND(POWER(1+H7,D7-F7)*(POWER(1+H7,F7)-1)/(POWER(1+H7,D7)-1),3)),0,ROUND(POWER(1+H7,D7-F7)*(POWER(1+H7,F7)-1)/(POWER(1+H7,D7)-1),3))</f>
        <v>0.83199999999999996</v>
      </c>
      <c r="H7" s="732">
        <v>0.05</v>
      </c>
      <c r="I7" s="732">
        <v>5.5E-2</v>
      </c>
      <c r="J7" s="66">
        <v>7.4999999999999997E-2</v>
      </c>
      <c r="K7" s="1030">
        <f>SUMIF('数据-汇总表'!C$19:C$33,A7,'数据-汇总表'!E$19:E$33)</f>
        <v>15446.489999999998</v>
      </c>
      <c r="L7" s="733">
        <f>L6</f>
        <v>4000</v>
      </c>
      <c r="M7" s="67">
        <f t="shared" si="0"/>
        <v>6179</v>
      </c>
      <c r="N7" s="731">
        <f>N6</f>
        <v>0.83</v>
      </c>
      <c r="O7" s="67" t="str">
        <f t="shared" ref="O7:O14" si="3">IF($N$5="成新度","——",ROUND(M7*N7,0))</f>
        <v>——</v>
      </c>
      <c r="P7" s="68" t="str">
        <f t="shared" ref="P7:P14" si="4">IF($N$5="成新度","——",M7-O7)</f>
        <v>——</v>
      </c>
      <c r="Q7" s="734">
        <f>Q6</f>
        <v>0.2</v>
      </c>
      <c r="R7" s="69">
        <f ca="1">SUMIF('数据-汇总表'!C$19:C$33,A7,'数据-汇总表'!R$19:R$27)</f>
        <v>2561.1</v>
      </c>
      <c r="S7" s="51">
        <f>IF('数据-汇总表'!$I$17="按面积比例",SUMIF('数据-汇总表'!C$19:C$33,A7,'数据-汇总表'!K$19:K$33),SUMIF('数据-汇总表'!C$19:C$33,A7,'数据-汇总表'!N$19:N$33))</f>
        <v>140.58000000000001</v>
      </c>
      <c r="T7" s="1172">
        <f t="shared" ref="T7:T13" si="5">ROUND($L$14*S7/10000,0)</f>
        <v>49</v>
      </c>
      <c r="U7" s="3428">
        <v>6.5</v>
      </c>
      <c r="V7" s="70">
        <v>2.5000000000000001E-2</v>
      </c>
      <c r="W7" s="70">
        <v>0.05</v>
      </c>
      <c r="X7" s="1040"/>
      <c r="Y7" s="71">
        <f>N7</f>
        <v>0.83</v>
      </c>
      <c r="Z7" s="72"/>
      <c r="AA7" s="66"/>
      <c r="AB7" s="66"/>
      <c r="AC7" s="1040"/>
      <c r="AD7" s="73"/>
      <c r="AE7" s="1041">
        <f t="shared" ref="AE7:AE13" ca="1" si="6">IF(AN7="",0,SUMIF(INDIRECT("'"&amp;AN7&amp;"'"&amp;"!E:E"),$AE$5,INDIRECT("'"&amp;AN7&amp;"'"&amp;"!F:F")))</f>
        <v>25.63</v>
      </c>
      <c r="AF7" s="1348"/>
      <c r="AG7" s="138">
        <f t="shared" ref="AG7:AG13" si="7">IF(AF7="",0,AE7-AF7)</f>
        <v>0</v>
      </c>
      <c r="AH7" s="74"/>
      <c r="AI7" s="76">
        <v>365</v>
      </c>
      <c r="AJ7" s="77"/>
      <c r="AK7" s="78">
        <v>3.0000000000000001E-3</v>
      </c>
      <c r="AL7" s="79">
        <f>AL6</f>
        <v>1E-3</v>
      </c>
      <c r="AM7" s="80">
        <v>5.0000000000000001E-3</v>
      </c>
      <c r="AN7" s="1715" t="s">
        <v>3691</v>
      </c>
      <c r="AO7" s="52">
        <f t="shared" ref="AO7:AO13" ca="1" si="8">SUMIF(INDIRECT("'"&amp;AN7&amp;"'"&amp;"!A:A"),"总价",INDIRECT("'"&amp;AN7&amp;"'"&amp;"!B:B"))</f>
        <v>50150</v>
      </c>
      <c r="AP7" s="1716">
        <f t="shared" ref="AP7:AP13" si="9">IF(C7="住宅",K7*L7,0)</f>
        <v>0</v>
      </c>
      <c r="AQ7" s="52">
        <f t="shared" ref="AQ7:AQ13" si="10">ROUND($L$14*$N$14*S7/10000,0)</f>
        <v>41</v>
      </c>
      <c r="AR7" s="52">
        <f t="shared" ref="AR7:AR13" si="11">ROUND($L$14*(1-$N$14)*S7/10000,0)</f>
        <v>8</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3340</v>
      </c>
      <c r="D8" s="858">
        <f>SUMIF(项目基本情况!C$12:I$12,C8,项目基本情况!C$14:I$14)</f>
        <v>50</v>
      </c>
      <c r="E8" s="857">
        <f>IF(B8="","",SUMIF(项目基本情况!C$12:I$12,C8,项目基本情况!C$13:I$13))</f>
        <v>57999</v>
      </c>
      <c r="F8" s="64">
        <f>SUMIF(项目基本情况!C$12:I$12,C8,项目基本情况!C$15:I$15)</f>
        <v>35.630000000000003</v>
      </c>
      <c r="G8" s="65">
        <f t="shared" si="2"/>
        <v>0.89</v>
      </c>
      <c r="H8" s="732">
        <v>4.4999999999999998E-2</v>
      </c>
      <c r="I8" s="732">
        <v>0.05</v>
      </c>
      <c r="J8" s="66">
        <v>7.4999999999999997E-2</v>
      </c>
      <c r="K8" s="1030">
        <f>SUMIF('数据-汇总表'!C$19:C$33,A8,'数据-汇总表'!E$19:E$33)</f>
        <v>21393.3</v>
      </c>
      <c r="L8" s="733">
        <v>3500</v>
      </c>
      <c r="M8" s="67">
        <f>ROUND(K8*L8/10000,0)</f>
        <v>7488</v>
      </c>
      <c r="N8" s="731">
        <f>N6</f>
        <v>0.83</v>
      </c>
      <c r="O8" s="67" t="str">
        <f t="shared" si="3"/>
        <v>——</v>
      </c>
      <c r="P8" s="68" t="str">
        <f t="shared" si="4"/>
        <v>——</v>
      </c>
      <c r="Q8" s="734">
        <v>0.1</v>
      </c>
      <c r="R8" s="69">
        <f ca="1">SUMIF('数据-汇总表'!C$19:C$33,A8,'数据-汇总表'!R$19:R$27)</f>
        <v>3547.1099999999997</v>
      </c>
      <c r="S8" s="51">
        <f>IF('数据-汇总表'!$I$17="按面积比例",SUMIF('数据-汇总表'!C$19:C$33,A8,'数据-汇总表'!K$19:K$33),SUMIF('数据-汇总表'!C$19:C$33,A8,'数据-汇总表'!N$19:N$33))</f>
        <v>194.7</v>
      </c>
      <c r="T8" s="1172">
        <f t="shared" si="5"/>
        <v>68</v>
      </c>
      <c r="U8" s="3429">
        <f>ROUND(1200*356/AH8,0)</f>
        <v>1027</v>
      </c>
      <c r="V8" s="735">
        <v>0</v>
      </c>
      <c r="W8" s="735">
        <v>0</v>
      </c>
      <c r="X8" s="1040"/>
      <c r="Y8" s="71">
        <f>N8</f>
        <v>0.83</v>
      </c>
      <c r="Z8" s="72">
        <v>1800</v>
      </c>
      <c r="AA8" s="66">
        <v>2.5000000000000001E-2</v>
      </c>
      <c r="AB8" s="66">
        <v>0.1</v>
      </c>
      <c r="AC8" s="1040"/>
      <c r="AD8" s="73">
        <f>AD6</f>
        <v>0.65</v>
      </c>
      <c r="AE8" s="1041">
        <f t="shared" ca="1" si="6"/>
        <v>35.630000000000003</v>
      </c>
      <c r="AF8" s="1348">
        <f>AF6</f>
        <v>18.829999999999998</v>
      </c>
      <c r="AG8" s="138">
        <f t="shared" ca="1" si="7"/>
        <v>16.800000000000004</v>
      </c>
      <c r="AH8" s="736">
        <v>416</v>
      </c>
      <c r="AI8" s="76">
        <v>12</v>
      </c>
      <c r="AJ8" s="77"/>
      <c r="AK8" s="737">
        <v>3.0000000000000001E-3</v>
      </c>
      <c r="AL8" s="738">
        <f>AL6</f>
        <v>1E-3</v>
      </c>
      <c r="AM8" s="739">
        <v>5.0000000000000001E-3</v>
      </c>
      <c r="AN8" s="1715" t="s">
        <v>3408</v>
      </c>
      <c r="AO8" s="52">
        <f t="shared" ca="1" si="8"/>
        <v>8060</v>
      </c>
      <c r="AP8" s="1716">
        <f t="shared" si="9"/>
        <v>0</v>
      </c>
      <c r="AQ8" s="52">
        <f t="shared" si="10"/>
        <v>57</v>
      </c>
      <c r="AR8" s="52">
        <f t="shared" si="11"/>
        <v>12</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620.55999999999995</v>
      </c>
      <c r="L14" s="82">
        <v>3500</v>
      </c>
      <c r="M14" s="67">
        <f t="shared" si="0"/>
        <v>217</v>
      </c>
      <c r="N14" s="83">
        <f>N6</f>
        <v>0.83</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v>
      </c>
      <c r="H16" s="90">
        <f>ROUND(SUMPRODUCT(H6:H13,K6:K13)/SUMPRODUCT((H6:H13&gt;0)*(K6:K13)),3)</f>
        <v>4.8000000000000001E-2</v>
      </c>
      <c r="I16" s="91"/>
      <c r="J16" s="91"/>
      <c r="K16" s="92">
        <f>SUM(K6:K15)</f>
        <v>68805.62</v>
      </c>
      <c r="L16" s="93">
        <f>ROUND(M16*10000/SUM(K6:K14),0)</f>
        <v>3840</v>
      </c>
      <c r="M16" s="93">
        <f>SUM(M6:M14)</f>
        <v>26422</v>
      </c>
      <c r="N16" s="94">
        <f>ROUND(SUMPRODUCT(M6:M14,N6:N14)/M16,3)</f>
        <v>0.83</v>
      </c>
      <c r="O16" s="93">
        <f>SUM(O6:O14)</f>
        <v>0</v>
      </c>
      <c r="P16" s="93">
        <f>SUM(P6:P14)</f>
        <v>0</v>
      </c>
      <c r="Q16" s="95">
        <f>ROUND(SUMPRODUCT(Q6:Q13,K6:K13)/SUMPRODUCT((Q6:Q13&gt;0)*(K6:K13)),2)</f>
        <v>0.17</v>
      </c>
      <c r="R16" s="1034">
        <f ca="1">SUM(R6:R13)</f>
        <v>11305.399999999998</v>
      </c>
      <c r="S16" s="96">
        <f>SUM(S6:S13)</f>
        <v>620.55999999999995</v>
      </c>
      <c r="T16" s="97">
        <f>IF(SUMIF(T6:T13,"&lt;9E307")=M14,SUMIF(T6:T13,"&lt;9E307"),"有误，请检查")</f>
        <v>217</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f>ROUND(1200*(1+AA8)^AF8,2)</f>
        <v>1910.34</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45" t="s">
        <v>2286</v>
      </c>
      <c r="B1" s="3646"/>
      <c r="C1" s="3646"/>
      <c r="D1" s="3646"/>
      <c r="E1" s="3646"/>
      <c r="F1" s="3646"/>
      <c r="G1" s="36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68805.62</v>
      </c>
      <c r="C1" s="2686"/>
      <c r="D1" s="2686"/>
      <c r="E1" s="2686"/>
      <c r="F1" s="2686"/>
      <c r="G1" s="2687"/>
      <c r="H1" s="2688"/>
      <c r="I1" s="2688"/>
      <c r="J1" s="2688"/>
      <c r="K1" s="2688"/>
    </row>
    <row r="2" spans="1:11" ht="16.5">
      <c r="A2" s="2512" t="s">
        <v>653</v>
      </c>
      <c r="B2" s="2512">
        <f>SUM(C14:C23)</f>
        <v>11305.41</v>
      </c>
      <c r="C2" s="2686"/>
      <c r="D2" s="2686"/>
      <c r="E2" s="2686"/>
      <c r="F2" s="2686"/>
      <c r="G2" s="2687"/>
      <c r="H2" s="2688"/>
      <c r="I2" s="2688"/>
      <c r="J2" s="2688"/>
      <c r="K2" s="2688"/>
    </row>
    <row r="3" spans="1:11" ht="16.5">
      <c r="A3" s="2512" t="s">
        <v>662</v>
      </c>
      <c r="B3" s="2514">
        <f>项目基本情况!D3</f>
        <v>44991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240865</v>
      </c>
      <c r="C5" s="2512">
        <f ca="1">IF(B5=D14,结果表!H102,ROUND(B5*10000/$B$1,0))</f>
        <v>35007</v>
      </c>
      <c r="D5" s="2512">
        <f ca="1">ROUND(B5*10000/$B$2,0)</f>
        <v>213053</v>
      </c>
      <c r="E5" s="2686"/>
      <c r="F5" s="2687"/>
      <c r="G5" s="2687"/>
      <c r="H5" s="2688"/>
      <c r="I5" s="2688"/>
      <c r="J5" s="2688"/>
      <c r="K5" s="2688"/>
    </row>
    <row r="6" spans="1:11" ht="16.5">
      <c r="A6" s="2512" t="s">
        <v>656</v>
      </c>
      <c r="B6" s="2512">
        <f ca="1">SUM(G14:G23)</f>
        <v>240865</v>
      </c>
      <c r="C6" s="2512">
        <f ca="1">IF(B6=G14,结果表!H108,ROUND(B6*10000/$B$1,0))</f>
        <v>35007</v>
      </c>
      <c r="D6" s="2512">
        <f ca="1">ROUND(B6*10000/$B$2,0)</f>
        <v>213053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68805.62</v>
      </c>
      <c r="C14" s="2518">
        <f>结果表!C118</f>
        <v>11305.41</v>
      </c>
      <c r="D14" s="2518">
        <f ca="1">结果表!H118</f>
        <v>240865</v>
      </c>
      <c r="E14" s="2518">
        <f ca="1">ROUND(D14*10000/B14,0)</f>
        <v>35007</v>
      </c>
      <c r="F14" s="2518">
        <f ca="1">ROUND(D14*10000/C14,0)</f>
        <v>213053</v>
      </c>
      <c r="G14" s="2518">
        <f ca="1">D14</f>
        <v>240865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6" t="str">
        <f>项目基本情况!B1</f>
        <v>北京市房地产抵押价值预评估</v>
      </c>
      <c r="C37" s="3556"/>
      <c r="D37" s="3556"/>
      <c r="E37" s="3556"/>
      <c r="F37" s="3556"/>
      <c r="G37" s="3556"/>
      <c r="H37" s="3556"/>
      <c r="I37" s="35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3" sqref="F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3698</v>
      </c>
      <c r="H1" s="1750" t="str">
        <f>IF(G1="现房","——","估价对象范围")</f>
        <v>——</v>
      </c>
      <c r="I1" s="1751" t="s">
        <v>3699</v>
      </c>
    </row>
    <row r="2" spans="1:12" ht="21.75" customHeight="1" thickBot="1">
      <c r="A2" s="3681" t="str">
        <f>项目基本情况!S2</f>
        <v>北京市房地产</v>
      </c>
      <c r="B2" s="3682"/>
      <c r="C2" s="3682"/>
      <c r="D2" s="3682"/>
      <c r="E2" s="3682"/>
      <c r="F2" s="3682"/>
      <c r="G2" s="3682"/>
      <c r="H2" s="3682"/>
      <c r="I2" s="3683"/>
    </row>
    <row r="3" spans="1:12" ht="12.75">
      <c r="A3" s="3685" t="s">
        <v>1264</v>
      </c>
      <c r="B3" s="3686"/>
      <c r="C3" s="3686"/>
      <c r="D3" s="3686"/>
      <c r="E3" s="3686"/>
      <c r="F3" s="3686"/>
      <c r="G3" s="3686"/>
      <c r="H3" s="3686"/>
      <c r="I3" s="3686"/>
    </row>
    <row r="4" spans="1:12" ht="14.25">
      <c r="A4" s="1754" t="s">
        <v>1265</v>
      </c>
      <c r="B4" s="1755" t="s">
        <v>1266</v>
      </c>
      <c r="C4" s="1756" t="s">
        <v>3415</v>
      </c>
      <c r="D4" s="1756" t="s">
        <v>3410</v>
      </c>
      <c r="E4" s="3687" t="s">
        <v>1267</v>
      </c>
      <c r="F4" s="3688"/>
      <c r="G4" s="3688"/>
      <c r="H4" s="3688"/>
      <c r="I4" s="36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1" t="s">
        <v>1268</v>
      </c>
      <c r="B5" s="3648">
        <v>25</v>
      </c>
      <c r="C5" s="3664"/>
      <c r="D5" s="3684"/>
      <c r="E5" s="131" t="s">
        <v>1269</v>
      </c>
      <c r="F5" s="1757"/>
      <c r="G5" s="1757"/>
      <c r="H5" s="1757"/>
      <c r="I5" s="1373"/>
    </row>
    <row r="6" spans="1:12" ht="12.75">
      <c r="A6" s="3661"/>
      <c r="B6" s="3648"/>
      <c r="C6" s="3665"/>
      <c r="D6" s="3684"/>
      <c r="E6" s="131" t="s">
        <v>1270</v>
      </c>
      <c r="F6" s="1757"/>
      <c r="G6" s="1757"/>
      <c r="H6" s="1757"/>
      <c r="I6" s="1373"/>
    </row>
    <row r="7" spans="1:12" ht="12.75">
      <c r="A7" s="3661"/>
      <c r="B7" s="3648"/>
      <c r="C7" s="3666"/>
      <c r="D7" s="3684"/>
      <c r="E7" s="131" t="s">
        <v>1271</v>
      </c>
      <c r="F7" s="1757"/>
      <c r="G7" s="1757"/>
      <c r="H7" s="1757"/>
      <c r="I7" s="1373"/>
    </row>
    <row r="8" spans="1:12" ht="12.75">
      <c r="A8" s="3661" t="s">
        <v>1272</v>
      </c>
      <c r="B8" s="3648">
        <v>15</v>
      </c>
      <c r="C8" s="3664"/>
      <c r="D8" s="3684"/>
      <c r="E8" s="131" t="s">
        <v>1273</v>
      </c>
      <c r="F8" s="1757"/>
      <c r="G8" s="1757"/>
      <c r="H8" s="1757"/>
      <c r="I8" s="1373"/>
    </row>
    <row r="9" spans="1:12" ht="12.75">
      <c r="A9" s="3661"/>
      <c r="B9" s="3648"/>
      <c r="C9" s="3666"/>
      <c r="D9" s="3684"/>
      <c r="E9" s="131" t="s">
        <v>1274</v>
      </c>
      <c r="F9" s="1757"/>
      <c r="G9" s="1757"/>
      <c r="H9" s="1757"/>
      <c r="I9" s="1373"/>
    </row>
    <row r="10" spans="1:12" ht="12.75">
      <c r="A10" s="3661" t="s">
        <v>1275</v>
      </c>
      <c r="B10" s="3648">
        <v>15</v>
      </c>
      <c r="C10" s="3664"/>
      <c r="D10" s="3684"/>
      <c r="E10" s="131" t="s">
        <v>1276</v>
      </c>
      <c r="F10" s="1757"/>
      <c r="G10" s="1757"/>
      <c r="H10" s="1757"/>
      <c r="I10" s="1373"/>
    </row>
    <row r="11" spans="1:12" ht="12.75">
      <c r="A11" s="3661"/>
      <c r="B11" s="3648"/>
      <c r="C11" s="3666"/>
      <c r="D11" s="3684"/>
      <c r="E11" s="131" t="s">
        <v>1277</v>
      </c>
      <c r="F11" s="1757"/>
      <c r="G11" s="1757"/>
      <c r="H11" s="1757"/>
      <c r="I11" s="1373"/>
    </row>
    <row r="12" spans="1:12" ht="12.75">
      <c r="A12" s="3661" t="s">
        <v>1278</v>
      </c>
      <c r="B12" s="3648">
        <v>15</v>
      </c>
      <c r="C12" s="3664"/>
      <c r="D12" s="3684"/>
      <c r="E12" s="131" t="s">
        <v>1279</v>
      </c>
      <c r="F12" s="1757"/>
      <c r="G12" s="1757"/>
      <c r="H12" s="1757"/>
      <c r="I12" s="1373"/>
    </row>
    <row r="13" spans="1:12" ht="12.75">
      <c r="A13" s="3661"/>
      <c r="B13" s="3648"/>
      <c r="C13" s="3666"/>
      <c r="D13" s="3684"/>
      <c r="E13" s="131" t="s">
        <v>1280</v>
      </c>
      <c r="F13" s="1757"/>
      <c r="G13" s="1757"/>
      <c r="H13" s="1757"/>
      <c r="I13" s="1373"/>
    </row>
    <row r="14" spans="1:12" ht="12.75">
      <c r="A14" s="3661" t="s">
        <v>1281</v>
      </c>
      <c r="B14" s="3648">
        <v>30</v>
      </c>
      <c r="C14" s="3664">
        <v>7</v>
      </c>
      <c r="D14" s="3684">
        <v>3</v>
      </c>
      <c r="E14" s="131" t="s">
        <v>1282</v>
      </c>
      <c r="F14" s="1757"/>
      <c r="G14" s="1757"/>
      <c r="H14" s="1757"/>
      <c r="I14" s="1373"/>
    </row>
    <row r="15" spans="1:12" ht="12.75">
      <c r="A15" s="3661"/>
      <c r="B15" s="3648"/>
      <c r="C15" s="3665"/>
      <c r="D15" s="3684"/>
      <c r="E15" s="131" t="s">
        <v>1283</v>
      </c>
      <c r="F15" s="1757"/>
      <c r="G15" s="1757"/>
      <c r="H15" s="1757"/>
      <c r="I15" s="1373"/>
    </row>
    <row r="16" spans="1:12" ht="12.75">
      <c r="A16" s="3661"/>
      <c r="B16" s="3648"/>
      <c r="C16" s="3666"/>
      <c r="D16" s="368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71" t="s">
        <v>2131</v>
      </c>
      <c r="F18" s="3672"/>
      <c r="G18" s="3672"/>
      <c r="H18" s="3672"/>
      <c r="I18" s="3672"/>
      <c r="K18" s="302" t="s">
        <v>1289</v>
      </c>
      <c r="L18" s="302">
        <f>IF(C1="",'数据-汇总表'!E3,SUMIF(项目类型,C1,'数据-汇总表'!E17:E26)+SUMIF(项目类型,C1,'数据-汇总表'!I17:I26))</f>
        <v>68805.62</v>
      </c>
      <c r="M18" s="302">
        <f>IF(C1="",'数据-汇总表'!E3,SUMIF(项目类型,C1,'数据-汇总表'!E17:E26))</f>
        <v>68805.62</v>
      </c>
    </row>
    <row r="19" spans="1:36" ht="15">
      <c r="A19" s="1761" t="s">
        <v>1290</v>
      </c>
      <c r="B19" s="1762" t="s">
        <v>1291</v>
      </c>
      <c r="C19" s="134">
        <f ca="1">SUMIF(INDIRECT("'"&amp;C4&amp;"'"&amp;"!A:A"),结果表!B19,INDIRECT("'"&amp;C4&amp;"'"&amp;"!B:B"))</f>
        <v>285440</v>
      </c>
      <c r="D19" s="135">
        <f ca="1">SUMIF(INDIRECT("'"&amp;D4&amp;"'"&amp;"!A:A"),结果表!B19,INDIRECT("'"&amp;D4&amp;"'"&amp;"!B:B"))</f>
        <v>136857</v>
      </c>
      <c r="E19" s="1761" t="s">
        <v>1292</v>
      </c>
      <c r="F19" s="1762" t="s">
        <v>1291</v>
      </c>
      <c r="G19" s="136">
        <f ca="1">ROUND(C19*$C$18+D19*$D$18,0)</f>
        <v>240865</v>
      </c>
      <c r="H19" s="1763" t="s">
        <v>1293</v>
      </c>
      <c r="I19" s="129"/>
      <c r="K19" s="302" t="s">
        <v>1294</v>
      </c>
      <c r="L19" s="302">
        <f>IF(C1="",'数据-汇总表'!D3,SUMIF(项目类型,C1,'数据-汇总表'!D17:D26)+SUMIF(项目类型,C1,'数据-汇总表'!H17:H27))</f>
        <v>11305.41</v>
      </c>
      <c r="M19" s="302">
        <f>IF(C1="",'数据-汇总表'!D3,SUMIF(项目类型,C1,'数据-汇总表'!D17:D26))</f>
        <v>11305.41</v>
      </c>
    </row>
    <row r="20" spans="1:36" ht="15">
      <c r="A20" s="1764"/>
      <c r="B20" s="1026" t="s">
        <v>1295</v>
      </c>
      <c r="C20" s="137">
        <f ca="1">SUMIF(INDIRECT("'"&amp;C4&amp;"'"&amp;"!A:A"),结果表!B20,INDIRECT("'"&amp;C4&amp;"'"&amp;"!B:B"))</f>
        <v>41485</v>
      </c>
      <c r="D20" s="138">
        <f ca="1">SUMIF(INDIRECT("'"&amp;D4&amp;"'"&amp;"!A:A"),结果表!B20,INDIRECT("'"&amp;D4&amp;"'"&amp;"!B:B"))</f>
        <v>19890</v>
      </c>
      <c r="E20" s="1764"/>
      <c r="F20" s="1026" t="s">
        <v>1295</v>
      </c>
      <c r="G20" s="139">
        <f ca="1">ROUND(C20*$C$18+D20*$D$18,0)</f>
        <v>35007</v>
      </c>
      <c r="H20" s="808" t="s">
        <v>1296</v>
      </c>
      <c r="I20" s="129"/>
    </row>
    <row r="21" spans="1:36" ht="15" customHeight="1" thickBot="1">
      <c r="A21" s="828"/>
      <c r="B21" s="1765" t="s">
        <v>1297</v>
      </c>
      <c r="C21" s="719">
        <f ca="1">ROUND(C19*10000/L19,0)</f>
        <v>252481</v>
      </c>
      <c r="D21" s="720">
        <f ca="1">ROUND(D19*10000/L19,0)</f>
        <v>121054</v>
      </c>
      <c r="E21" s="828"/>
      <c r="F21" s="1765" t="s">
        <v>1297</v>
      </c>
      <c r="G21" s="140">
        <f ca="1">ROUND(G19*10000/L19,0)</f>
        <v>213053</v>
      </c>
      <c r="H21" s="1766" t="s">
        <v>1296</v>
      </c>
      <c r="I21" s="129"/>
    </row>
    <row r="22" spans="1:36" ht="15" thickBot="1">
      <c r="A22" s="1688" t="s">
        <v>1298</v>
      </c>
      <c r="B22" s="1767"/>
      <c r="C22" s="1768"/>
      <c r="D22" s="721">
        <f ca="1">IF(C19&lt;D19,D19/C19-1,C19/D19-1)</f>
        <v>1.0856806739881772</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6.3336990180156691</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240865</v>
      </c>
      <c r="D32" s="1775" t="s">
        <v>3590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75" t="s">
        <v>1312</v>
      </c>
      <c r="B36" s="1787" t="s">
        <v>1313</v>
      </c>
      <c r="C36" s="145"/>
      <c r="D36" s="1788"/>
      <c r="E36" s="1789"/>
      <c r="F36" s="1790"/>
      <c r="G36" s="129"/>
      <c r="H36" s="129"/>
      <c r="I36" s="129"/>
    </row>
    <row r="37" spans="1:15" ht="15.75" thickBot="1">
      <c r="A37" s="3676"/>
      <c r="B37" s="1674" t="s">
        <v>1314</v>
      </c>
      <c r="C37" s="147"/>
      <c r="D37" s="1139"/>
      <c r="E37" s="1139"/>
      <c r="F37" s="1790"/>
      <c r="G37" s="129"/>
      <c r="H37" s="129"/>
      <c r="I37" s="129"/>
    </row>
    <row r="38" spans="1:15" ht="15.75" thickBot="1">
      <c r="A38" s="36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f ca="1">ROUND(H101*F45,0)</f>
        <v>240865</v>
      </c>
      <c r="E45" s="156" t="s">
        <v>1327</v>
      </c>
      <c r="F45" s="157">
        <v>1</v>
      </c>
      <c r="G45" s="158" t="s">
        <v>1328</v>
      </c>
      <c r="H45" s="129"/>
      <c r="I45" s="129"/>
      <c r="J45" s="3730" t="s">
        <v>1329</v>
      </c>
      <c r="K45" s="3730"/>
      <c r="L45" s="3730"/>
      <c r="M45" s="3730"/>
      <c r="N45" s="3730"/>
      <c r="O45" s="3730"/>
    </row>
    <row r="46" spans="1:15" ht="14.25" customHeight="1">
      <c r="A46" s="3649" t="s">
        <v>1330</v>
      </c>
      <c r="B46" s="3650"/>
      <c r="C46" s="3650"/>
      <c r="D46" s="3650"/>
      <c r="E46" s="3650"/>
      <c r="F46" s="3650"/>
      <c r="G46" s="3651"/>
      <c r="H46" s="1806"/>
      <c r="I46" s="159"/>
      <c r="J46" s="2523">
        <v>1</v>
      </c>
      <c r="K46" s="3711" t="s">
        <v>1331</v>
      </c>
      <c r="L46" s="3711"/>
      <c r="M46" s="3731"/>
      <c r="N46" s="3731"/>
      <c r="O46" s="3731"/>
    </row>
    <row r="47" spans="1:15" ht="12" customHeight="1">
      <c r="A47" s="160" t="s">
        <v>1332</v>
      </c>
      <c r="B47" s="161"/>
      <c r="C47" s="162"/>
      <c r="D47" s="1087" t="s">
        <v>1333</v>
      </c>
      <c r="E47" s="302" t="s">
        <v>1334</v>
      </c>
      <c r="F47" s="163" t="s">
        <v>1335</v>
      </c>
      <c r="G47" s="2546" t="s">
        <v>1336</v>
      </c>
      <c r="H47" s="2547"/>
      <c r="I47" s="159"/>
      <c r="J47" s="2523">
        <v>2</v>
      </c>
      <c r="K47" s="3711" t="s">
        <v>1337</v>
      </c>
      <c r="L47" s="3711"/>
      <c r="M47" s="3732">
        <f>'数据-取费表'!B2</f>
        <v>44991</v>
      </c>
      <c r="N47" s="3732"/>
      <c r="O47" s="3732"/>
    </row>
    <row r="48" spans="1:15" ht="25.5">
      <c r="A48" s="3680" t="s">
        <v>1338</v>
      </c>
      <c r="B48" s="3663"/>
      <c r="C48" s="366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11" t="s">
        <v>1340</v>
      </c>
      <c r="L48" s="3711"/>
      <c r="M48" s="3733">
        <f ca="1">H101</f>
        <v>240865</v>
      </c>
      <c r="N48" s="3733"/>
      <c r="O48" s="3733"/>
    </row>
    <row r="49" spans="1:35" ht="25.5" customHeight="1">
      <c r="A49" s="2333" t="s">
        <v>1341</v>
      </c>
      <c r="B49" s="3647" t="s">
        <v>1342</v>
      </c>
      <c r="C49" s="3647"/>
      <c r="D49" s="1590">
        <v>0</v>
      </c>
      <c r="E49" s="324" t="s">
        <v>1343</v>
      </c>
      <c r="F49" s="2424" t="s">
        <v>28</v>
      </c>
      <c r="G49" s="3717"/>
      <c r="H49" s="2310" t="s">
        <v>2134</v>
      </c>
      <c r="I49" s="2311"/>
      <c r="J49" s="2523">
        <v>4</v>
      </c>
      <c r="K49" s="3711" t="str">
        <f>IF(项目基本情况!E8="房地产抵押价值","房地产抵押价值","抵押担保权已注销时的房地产抵押价值")</f>
        <v>房地产抵押价值</v>
      </c>
      <c r="L49" s="3711"/>
      <c r="M49" s="3733">
        <f ca="1">IF(项目基本情况!E8="房地产抵押价值",H107,H109)</f>
        <v>240865</v>
      </c>
      <c r="N49" s="3733"/>
      <c r="O49" s="3733"/>
    </row>
    <row r="50" spans="1:35" ht="25.5" customHeight="1">
      <c r="A50" s="2551"/>
      <c r="B50" s="3647" t="s">
        <v>1344</v>
      </c>
      <c r="C50" s="3647"/>
      <c r="D50" s="2552"/>
      <c r="E50" s="332"/>
      <c r="F50" s="2424"/>
      <c r="G50" s="3718"/>
      <c r="H50" s="2312" t="s">
        <v>2135</v>
      </c>
      <c r="I50" s="2311"/>
      <c r="J50" s="3730" t="s">
        <v>1345</v>
      </c>
      <c r="K50" s="3730"/>
      <c r="L50" s="3730"/>
      <c r="M50" s="3730"/>
      <c r="N50" s="3730"/>
      <c r="O50" s="3730"/>
    </row>
    <row r="51" spans="1:35" ht="20.45" customHeight="1">
      <c r="A51" s="2553"/>
      <c r="B51" s="3647" t="s">
        <v>1346</v>
      </c>
      <c r="C51" s="3647"/>
      <c r="D51" s="1087"/>
      <c r="E51" s="327"/>
      <c r="F51" s="2424"/>
      <c r="G51" s="3719"/>
      <c r="H51" s="2312" t="s">
        <v>2136</v>
      </c>
      <c r="I51" s="2311"/>
      <c r="J51" s="2524" t="s">
        <v>1347</v>
      </c>
      <c r="K51" s="3711" t="s">
        <v>1348</v>
      </c>
      <c r="L51" s="3711"/>
      <c r="M51" s="2524" t="s">
        <v>1349</v>
      </c>
      <c r="N51" s="2524" t="s">
        <v>1350</v>
      </c>
      <c r="O51" s="2524" t="s">
        <v>1351</v>
      </c>
    </row>
    <row r="52" spans="1:35" ht="24" customHeight="1">
      <c r="A52" s="2335" t="s">
        <v>1352</v>
      </c>
      <c r="B52" s="3647" t="s">
        <v>1353</v>
      </c>
      <c r="C52" s="3647"/>
      <c r="D52" s="1087">
        <f ca="1">ROUND(D45*'数据-取费表'!B41/(1+'数据-取费表'!C42),0)</f>
        <v>12846</v>
      </c>
      <c r="E52" s="2334" t="s">
        <v>1354</v>
      </c>
      <c r="F52" s="2554">
        <f>'数据-取费表'!B41</f>
        <v>5.6000000000000001E-2</v>
      </c>
      <c r="G52" s="2555"/>
      <c r="H52" s="2544"/>
      <c r="I52" s="1807"/>
      <c r="J52" s="2523">
        <v>1</v>
      </c>
      <c r="K52" s="3712" t="s">
        <v>1355</v>
      </c>
      <c r="L52" s="3712"/>
      <c r="M52" s="2525" t="b">
        <f>D48</f>
        <v>0</v>
      </c>
      <c r="N52" s="2523" t="str">
        <f>E48</f>
        <v>销售额×税（费）率</v>
      </c>
      <c r="O52" s="2526">
        <f>F48</f>
        <v>5.6000000000000001E-2</v>
      </c>
    </row>
    <row r="53" spans="1:35" ht="12" customHeight="1">
      <c r="A53" s="2335" t="s">
        <v>1356</v>
      </c>
      <c r="B53" s="3673" t="s">
        <v>2291</v>
      </c>
      <c r="C53" s="3674"/>
      <c r="D53" s="1087">
        <f ca="1">ROUND(D45*'数据-取费表'!B41/(1+'数据-取费表'!C42),0)</f>
        <v>12846</v>
      </c>
      <c r="E53" s="2334" t="s">
        <v>1354</v>
      </c>
      <c r="F53" s="2554">
        <f>'数据-取费表'!B41</f>
        <v>5.6000000000000001E-2</v>
      </c>
      <c r="G53" s="2555"/>
      <c r="H53" s="2544"/>
      <c r="I53" s="1807"/>
      <c r="J53" s="2523">
        <v>2</v>
      </c>
      <c r="K53" s="3712" t="s">
        <v>1357</v>
      </c>
      <c r="L53" s="3712"/>
      <c r="M53" s="2525">
        <f t="shared" ref="M53:O54" ca="1" si="0">D55</f>
        <v>120</v>
      </c>
      <c r="N53" s="2523" t="str">
        <f t="shared" si="0"/>
        <v>销售额×税（费）率</v>
      </c>
      <c r="O53" s="2526" t="str">
        <f t="shared" si="0"/>
        <v>免征</v>
      </c>
    </row>
    <row r="54" spans="1:35" ht="12" customHeight="1">
      <c r="A54" s="2335" t="s">
        <v>1358</v>
      </c>
      <c r="B54" s="3673" t="s">
        <v>2292</v>
      </c>
      <c r="C54" s="3674"/>
      <c r="D54" s="1087">
        <f ca="1">C68</f>
        <v>12846</v>
      </c>
      <c r="E54" s="327" t="s">
        <v>1359</v>
      </c>
      <c r="F54" s="2554">
        <f>'数据-取费表'!B41</f>
        <v>5.6000000000000001E-2</v>
      </c>
      <c r="G54" s="2555"/>
      <c r="H54" s="2556"/>
      <c r="I54" s="1807"/>
      <c r="J54" s="2523">
        <v>3</v>
      </c>
      <c r="K54" s="3712" t="s">
        <v>1360</v>
      </c>
      <c r="L54" s="3712"/>
      <c r="M54" s="2525">
        <f t="shared" ca="1" si="0"/>
        <v>136330</v>
      </c>
      <c r="N54" s="2523" t="str">
        <f t="shared" si="0"/>
        <v>增值额×税（费）率</v>
      </c>
      <c r="O54" s="2527" t="str">
        <f t="shared" si="0"/>
        <v>免征</v>
      </c>
    </row>
    <row r="55" spans="1:35" ht="24" customHeight="1">
      <c r="A55" s="3662" t="s">
        <v>1361</v>
      </c>
      <c r="B55" s="3663"/>
      <c r="C55" s="3663"/>
      <c r="D55" s="2324">
        <f ca="1">IF(H55="个人住宅",0,ROUND(D45*I55,0))</f>
        <v>120</v>
      </c>
      <c r="E55" s="2334" t="s">
        <v>1362</v>
      </c>
      <c r="F55" s="2554" t="str">
        <f>IF(H55="正常",I55,"免征")</f>
        <v>免征</v>
      </c>
      <c r="G55" s="2555"/>
      <c r="H55" s="2550"/>
      <c r="I55" s="165">
        <f>'数据-取费表'!B49</f>
        <v>5.0000000000000001E-4</v>
      </c>
      <c r="J55" s="2523">
        <f>IF(H59="非个人房产","",4)</f>
        <v>4</v>
      </c>
      <c r="K55" s="3712" t="str">
        <f>IF(H59="非个人房产","——","个人所得税")</f>
        <v>个人所得税</v>
      </c>
      <c r="L55" s="3712"/>
      <c r="M55" s="2528">
        <f ca="1">D59</f>
        <v>2294</v>
      </c>
      <c r="N55" s="2040" t="str">
        <f>E59</f>
        <v>差额计税</v>
      </c>
      <c r="O55" s="2529">
        <f>F59</f>
        <v>0.01</v>
      </c>
    </row>
    <row r="56" spans="1:35" ht="24.75">
      <c r="A56" s="3662" t="s">
        <v>1363</v>
      </c>
      <c r="B56" s="3663"/>
      <c r="C56" s="3663"/>
      <c r="D56" s="2324">
        <f ca="1">IF(H56="个人住宅",D57,D58)</f>
        <v>136330</v>
      </c>
      <c r="E56" s="2334" t="s">
        <v>1364</v>
      </c>
      <c r="F56" s="2554" t="str">
        <f>IF(H56="正常",F58,"免征")</f>
        <v>免征</v>
      </c>
      <c r="G56" s="2557" t="s">
        <v>1365</v>
      </c>
      <c r="H56" s="2558"/>
      <c r="I56" s="1808"/>
      <c r="J56" s="2523" t="str">
        <f>IF(项目基本情况!K6="上海银行",IF(J55="",4,J55+1),"")</f>
        <v/>
      </c>
      <c r="K56" s="3735" t="str">
        <f>IF(项目基本情况!K6="上海银行","其他处置费用","")</f>
        <v/>
      </c>
      <c r="L56" s="3736"/>
      <c r="M56" s="2525" t="str">
        <f>IF(项目基本情况!K6="上海银行",M69,"")</f>
        <v/>
      </c>
      <c r="N56" s="3735" t="str">
        <f>IF(项目基本情况!K6="上海银行","包含处置中涉及的律师、诉讼、拍卖、评估等费用","")</f>
        <v/>
      </c>
      <c r="O56" s="3738"/>
    </row>
    <row r="57" spans="1:35" ht="12.75">
      <c r="A57" s="2335" t="s">
        <v>1341</v>
      </c>
      <c r="B57" s="3673" t="s">
        <v>1366</v>
      </c>
      <c r="C57" s="3674"/>
      <c r="D57" s="1590">
        <v>0</v>
      </c>
      <c r="E57" s="324" t="s">
        <v>1343</v>
      </c>
      <c r="F57" s="302"/>
      <c r="G57" s="2555"/>
      <c r="H57" s="2559"/>
      <c r="I57" s="1808"/>
      <c r="J57" s="3712">
        <f>IF(AND(J55="",J56=""),4,IF(项目基本情况!K6="上海银行",结果表!J56+1,结果表!J55+1))</f>
        <v>5</v>
      </c>
      <c r="K57" s="3712" t="s">
        <v>1367</v>
      </c>
      <c r="L57" s="2530" t="s">
        <v>1368</v>
      </c>
      <c r="M57" s="2531"/>
      <c r="N57" s="2532">
        <f ca="1">SUMIF(M52:M56,"&lt;9e307")</f>
        <v>138744</v>
      </c>
      <c r="O57" s="2533"/>
      <c r="P57" s="2690">
        <f ca="1">N57/M49</f>
        <v>0.57602391381064078</v>
      </c>
    </row>
    <row r="58" spans="1:35" ht="24.75">
      <c r="A58" s="2335" t="s">
        <v>1352</v>
      </c>
      <c r="B58" s="3673" t="s">
        <v>1369</v>
      </c>
      <c r="C58" s="3647"/>
      <c r="D58" s="2324">
        <f ca="1">IF(H58="转让取得",C81,C97)</f>
        <v>136330</v>
      </c>
      <c r="E58" s="2334" t="s">
        <v>1364</v>
      </c>
      <c r="F58" s="302" t="s">
        <v>28</v>
      </c>
      <c r="G58" s="2555"/>
      <c r="H58" s="2558"/>
      <c r="I58" s="1808"/>
      <c r="J58" s="3712"/>
      <c r="K58" s="3712"/>
      <c r="L58" s="2530" t="s">
        <v>1370</v>
      </c>
      <c r="M58" s="2534"/>
      <c r="N58" s="2535" t="str">
        <f ca="1">NUMBERSTRING(INT(N57*10000),2)&amp;"元整"</f>
        <v>壹拾叁亿捌仟柒佰肆拾肆万元整</v>
      </c>
      <c r="O58" s="2536"/>
    </row>
    <row r="59" spans="1:35" ht="24.75" thickBot="1">
      <c r="A59" s="3715" t="s">
        <v>1371</v>
      </c>
      <c r="B59" s="3716"/>
      <c r="C59" s="3716"/>
      <c r="D59" s="2560">
        <f ca="1">IF(H59="非个人房产","——",IF(H59="个人住宅（满五唯一有凭证）",0,IF(H59="个人其他（无凭证）",ROUND(D45*F59,0),ROUND(C67*F59,0))))</f>
        <v>2294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13">
        <f>J57+1</f>
        <v>6</v>
      </c>
      <c r="K59" s="3712" t="s">
        <v>1372</v>
      </c>
      <c r="L59" s="2523" t="s">
        <v>1368</v>
      </c>
      <c r="M59" s="2537"/>
      <c r="N59" s="2538">
        <f ca="1">M49-N57</f>
        <v>102121</v>
      </c>
      <c r="O59" s="2539"/>
    </row>
    <row r="60" spans="1:35" ht="12" customHeight="1">
      <c r="A60" s="1809"/>
      <c r="B60" s="1747"/>
      <c r="C60" s="1747"/>
      <c r="D60" s="1747"/>
      <c r="E60" s="1578"/>
      <c r="F60" s="1808"/>
      <c r="G60" s="1808"/>
      <c r="H60" s="1810"/>
      <c r="I60" s="129"/>
      <c r="J60" s="3714"/>
      <c r="K60" s="3712"/>
      <c r="L60" s="2530" t="s">
        <v>1370</v>
      </c>
      <c r="M60" s="2534"/>
      <c r="N60" s="2535" t="str">
        <f ca="1">NUMBERSTRING(INT(N59*10000),2)&amp;"元整"</f>
        <v>壹拾亿贰仟壹佰贰拾壹万元整</v>
      </c>
      <c r="O60" s="2536"/>
    </row>
    <row r="61" spans="1:35" ht="13.5" thickBot="1">
      <c r="A61" s="3660" t="s">
        <v>1373</v>
      </c>
      <c r="B61" s="3660"/>
      <c r="C61" s="3660"/>
      <c r="D61" s="3660"/>
      <c r="E61" s="3660"/>
      <c r="F61" s="1808"/>
      <c r="G61" s="1808"/>
      <c r="H61" s="1810"/>
      <c r="I61" s="129"/>
      <c r="J61" s="2523">
        <f>J59+1</f>
        <v>7</v>
      </c>
      <c r="K61" s="3712" t="s">
        <v>1374</v>
      </c>
      <c r="L61" s="3712"/>
      <c r="M61" s="2540"/>
      <c r="N61" s="2541">
        <f ca="1">ROUND(N59*10000/'数据-汇总表'!E3,0)</f>
        <v>14842</v>
      </c>
      <c r="O61" s="2542"/>
    </row>
    <row r="62" spans="1:35" ht="12.75">
      <c r="A62" s="3678" t="s">
        <v>1375</v>
      </c>
      <c r="B62" s="3679"/>
      <c r="C62" s="2021"/>
      <c r="D62" s="2021" t="s">
        <v>1376</v>
      </c>
      <c r="E62" s="166" t="s">
        <v>1377</v>
      </c>
      <c r="F62" s="1808"/>
      <c r="G62" s="1808"/>
      <c r="H62" s="1810"/>
      <c r="I62" s="129"/>
    </row>
    <row r="63" spans="1:35" ht="12.75">
      <c r="A63" s="173" t="s">
        <v>330</v>
      </c>
      <c r="B63" s="167" t="s">
        <v>1378</v>
      </c>
      <c r="C63" s="2564">
        <f ca="1">ROUND((C64+C65)/(1+'数据-取费表'!C42),0)</f>
        <v>229395</v>
      </c>
      <c r="D63" s="167"/>
      <c r="E63" s="168"/>
      <c r="F63" s="1808"/>
      <c r="G63" s="1808"/>
      <c r="H63" s="1810"/>
      <c r="I63" s="129"/>
      <c r="J63" s="3737" t="s">
        <v>1379</v>
      </c>
      <c r="K63" s="1332" t="s">
        <v>1380</v>
      </c>
      <c r="L63" s="1332">
        <f ca="1">IF(M49&gt;10000,M49*0.5%,IF(AND(M49&gt;1000,M49&lt;=10000),M49*1%,IF(AND(M49&gt;100,M49&lt;=1000),M49*3%,IF(AND(M49&gt;10,M49&lt;=100),M49*5%,M49*8%))))</f>
        <v>1204.325</v>
      </c>
      <c r="M63" s="302">
        <f ca="1">ROUND(L63,1)</f>
        <v>1204.3</v>
      </c>
      <c r="N63" s="2543"/>
      <c r="Z63" s="1752"/>
      <c r="AI63" s="1753"/>
    </row>
    <row r="64" spans="1:35" ht="14.25" customHeight="1">
      <c r="A64" s="169" t="s">
        <v>325</v>
      </c>
      <c r="B64" s="170" t="s">
        <v>1381</v>
      </c>
      <c r="C64" s="2565">
        <f ca="1">D45</f>
        <v>240865</v>
      </c>
      <c r="D64" s="170" t="s">
        <v>26</v>
      </c>
      <c r="E64" s="172"/>
      <c r="F64" s="1808"/>
      <c r="G64" s="1808"/>
      <c r="H64" s="1810"/>
      <c r="I64" s="129"/>
      <c r="J64" s="3737"/>
      <c r="K64" s="1332" t="s">
        <v>1382</v>
      </c>
      <c r="L64" s="1332">
        <f ca="1">IF(M49&gt;2000,M49*0.5%,IF(AND(M49&gt;1000,M49&lt;=2000),M49*0.6%,IF(AND(M49&gt;500,M49&lt;=1000),M49*0.7%,IF(AND(M49&gt;200,M49&lt;=500),M49*0.8%,IF(AND(M49&gt;100,M49&lt;=200),M49*0.9%,IF(AND(M49&gt;50,M49&lt;=100),M49*1%,IF(AND(M49&gt;20,M49&lt;=50),M49*1.5%,IF(AND(M49&gt;10,M49&lt;=20),M49*2%,IF(AND(M49&gt;1,M49&lt;=10),M49*2.5%)))))))))</f>
        <v>1204.325</v>
      </c>
      <c r="M64" s="302">
        <f t="shared" ref="M64:M65" ca="1" si="1">ROUND(L64,1)</f>
        <v>1204.3</v>
      </c>
      <c r="N64" s="2544" t="s">
        <v>1383</v>
      </c>
      <c r="Z64" s="1752"/>
      <c r="AI64" s="1753"/>
    </row>
    <row r="65" spans="1:35" ht="14.25" customHeight="1">
      <c r="A65" s="169" t="s">
        <v>326</v>
      </c>
      <c r="B65" s="170" t="s">
        <v>1384</v>
      </c>
      <c r="C65" s="2566"/>
      <c r="D65" s="170"/>
      <c r="E65" s="172"/>
      <c r="F65" s="1808"/>
      <c r="G65" s="1808"/>
      <c r="H65" s="1810"/>
      <c r="I65" s="129"/>
      <c r="J65" s="3737"/>
      <c r="K65" s="1332" t="s">
        <v>1385</v>
      </c>
      <c r="L65" s="1332">
        <f ca="1">IF(M49&gt;1000,M49*0.1%,IF(AND(M49&gt;500,M49&lt;=1000),M49*0.5%,IF(AND(M49&gt;50,M49&lt;=500),M49*1%,IF(AND(M49&gt;1,M49&lt;=50),M49*1.5%))))</f>
        <v>240.86500000000001</v>
      </c>
      <c r="M65" s="302">
        <f t="shared" ca="1" si="1"/>
        <v>240.9</v>
      </c>
      <c r="N65" s="2544" t="s">
        <v>1383</v>
      </c>
      <c r="Z65" s="1752"/>
      <c r="AI65" s="1753"/>
    </row>
    <row r="66" spans="1:35" ht="14.25" customHeight="1">
      <c r="A66" s="173" t="s">
        <v>327</v>
      </c>
      <c r="B66" s="174" t="s">
        <v>1386</v>
      </c>
      <c r="C66" s="2567"/>
      <c r="D66" s="174" t="s">
        <v>26</v>
      </c>
      <c r="E66" s="1338" t="s">
        <v>671</v>
      </c>
      <c r="F66" s="1808"/>
      <c r="G66" s="1808"/>
      <c r="H66" s="1810"/>
      <c r="I66" s="129"/>
      <c r="J66" s="3737"/>
      <c r="K66" s="1332" t="s">
        <v>1387</v>
      </c>
      <c r="L66" s="1332">
        <f ca="1">M49*0.5%</f>
        <v>1204.325</v>
      </c>
      <c r="M66" s="302">
        <f ca="1">IF(L66&gt;0.5,0.5,ROUND(L66,0))</f>
        <v>0.5</v>
      </c>
      <c r="N66" s="2544" t="s">
        <v>1388</v>
      </c>
      <c r="Z66" s="1752"/>
      <c r="AI66" s="1753"/>
    </row>
    <row r="67" spans="1:35" ht="14.25" customHeight="1">
      <c r="A67" s="173" t="s">
        <v>328</v>
      </c>
      <c r="B67" s="174" t="s">
        <v>1389</v>
      </c>
      <c r="C67" s="2568">
        <f ca="1">C63-C66</f>
        <v>229395</v>
      </c>
      <c r="D67" s="170" t="s">
        <v>26</v>
      </c>
      <c r="E67" s="172"/>
      <c r="F67" s="1808"/>
      <c r="G67" s="1808"/>
      <c r="H67" s="1810"/>
      <c r="I67" s="129"/>
      <c r="J67" s="3737"/>
      <c r="K67" s="1332" t="s">
        <v>1390</v>
      </c>
      <c r="L67" s="1332">
        <f ca="1">IF(M49&gt;=10000,(8.25+(M49-10000)*0.01%),IF(AND(M49&gt;=8000,M49&lt;10000),(7.85+(M49-8000)*0.02%),IF(AND(M49&gt;=5000,M49&lt;8000),(6.65+(M49-5000)*0.04%),IF(AND(M49&gt;=2000,M49&lt;5000),(4.25+(PM49-2000)*0.08%),IF(AND(M49&gt;=1000,M49&lt;2000),(2.75+(M49-1000)*0.15%),IF(AND(M49&gt;=100,M49&lt;1000),(0.5+(M49-100)*0.25%),IF(AND(M49&gt;0,M49&lt;100),M49*0.5%)))))))</f>
        <v>31.336500000000001</v>
      </c>
      <c r="M67" s="302">
        <f ca="1">ROUND(L67*0.9,1)</f>
        <v>28.2</v>
      </c>
      <c r="N67" s="2543"/>
      <c r="Z67" s="1752"/>
      <c r="AI67" s="1753"/>
    </row>
    <row r="68" spans="1:35" ht="14.25" customHeight="1" thickBot="1">
      <c r="A68" s="176" t="s">
        <v>329</v>
      </c>
      <c r="B68" s="177" t="s">
        <v>1391</v>
      </c>
      <c r="C68" s="2569">
        <f ca="1">IF(C67&lt;=0,0,ROUND(C67*D68,0))</f>
        <v>12846</v>
      </c>
      <c r="D68" s="2570">
        <f>'数据-取费表'!B41</f>
        <v>5.6000000000000001E-2</v>
      </c>
      <c r="E68" s="178"/>
      <c r="F68" s="1808"/>
      <c r="G68" s="1808"/>
      <c r="H68" s="1810"/>
      <c r="I68" s="129"/>
      <c r="J68" s="3737"/>
      <c r="K68" s="1332" t="s">
        <v>1392</v>
      </c>
      <c r="L68" s="1332">
        <f ca="1">IF(M49&gt;10000,M49*0.5%,IF(AND(M49&gt;5000,M49&lt;=10000),M49*1%,IF(AND(M49&gt;1000,M49&lt;=5000),M49*2%,IF(AND(M49&gt;200,M49&lt;=1000),M49*3%,M49*5%))))</f>
        <v>1204.325</v>
      </c>
      <c r="M68" s="302">
        <f ca="1">ROUND(L68,1)</f>
        <v>1204.3</v>
      </c>
      <c r="N68" s="2543"/>
      <c r="Z68" s="1752"/>
      <c r="AI68" s="1753"/>
    </row>
    <row r="69" spans="1:35" s="1772" customFormat="1" ht="16.5" customHeight="1">
      <c r="A69" s="1811"/>
      <c r="B69" s="1812"/>
      <c r="C69" s="1813"/>
      <c r="D69" s="1814"/>
      <c r="E69" s="1815"/>
      <c r="F69" s="1578"/>
      <c r="G69" s="1578"/>
      <c r="H69" s="1577"/>
      <c r="I69" s="1747"/>
      <c r="J69" s="3737"/>
      <c r="K69" s="1332" t="s">
        <v>1393</v>
      </c>
      <c r="L69" s="1332"/>
      <c r="M69" s="302">
        <f ca="1">ROUND(SUM(M63:M68),0)</f>
        <v>3883</v>
      </c>
      <c r="N69" s="2545">
        <f ca="1">M69/M49</f>
        <v>1.6121063666369128E-2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9" t="s">
        <v>1394</v>
      </c>
      <c r="B70" s="3700"/>
      <c r="C70" s="3700"/>
      <c r="D70" s="3700"/>
      <c r="E70" s="3700"/>
      <c r="F70" s="3700"/>
      <c r="G70" s="3700"/>
      <c r="H70" s="37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8" t="s">
        <v>1375</v>
      </c>
      <c r="B71" s="36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229395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1376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3" t="s">
        <v>1402</v>
      </c>
      <c r="F76" s="3647"/>
      <c r="G76" s="3647"/>
      <c r="H76" s="36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1376</v>
      </c>
      <c r="D78" s="2577">
        <f>'数据-取费表'!B43</f>
        <v>6.000000000000001E-3</v>
      </c>
      <c r="E78" s="3657" t="s">
        <v>1406</v>
      </c>
      <c r="F78" s="3658"/>
      <c r="G78" s="3658"/>
      <c r="H78" s="36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228019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165.71148255813952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136330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9" t="s">
        <v>1410</v>
      </c>
      <c r="B83" s="3700"/>
      <c r="C83" s="3700"/>
      <c r="D83" s="3700"/>
      <c r="E83" s="3700"/>
      <c r="F83" s="3700"/>
      <c r="G83" s="3700"/>
      <c r="H83" s="37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8" t="s">
        <v>1375</v>
      </c>
      <c r="B84" s="36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229395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1376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39" t="s">
        <v>2129</v>
      </c>
      <c r="H90" s="37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7" t="s">
        <v>1419</v>
      </c>
      <c r="F91" s="3658"/>
      <c r="G91" s="36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7" t="s">
        <v>1422</v>
      </c>
      <c r="F92" s="3658"/>
      <c r="G92" s="3658"/>
      <c r="H92" s="36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1376</v>
      </c>
      <c r="D93" s="2577">
        <f>'数据-取费表'!B43</f>
        <v>6.000000000000001E-3</v>
      </c>
      <c r="E93" s="3657" t="s">
        <v>1406</v>
      </c>
      <c r="F93" s="3658"/>
      <c r="G93" s="3658"/>
      <c r="H93" s="36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228019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165.71148255813952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136330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9" t="s">
        <v>1428</v>
      </c>
      <c r="B100" s="3640"/>
      <c r="C100" s="3640"/>
      <c r="D100" s="3659"/>
      <c r="E100" s="3640" t="s">
        <v>1429</v>
      </c>
      <c r="F100" s="3640"/>
      <c r="G100" s="3640"/>
      <c r="H100" s="3659"/>
      <c r="I100" s="129"/>
    </row>
    <row r="101" spans="1:35" ht="18.75" customHeight="1">
      <c r="A101" s="3720" t="s">
        <v>1430</v>
      </c>
      <c r="B101" s="3721"/>
      <c r="C101" s="2585" t="str">
        <f>C4</f>
        <v>比较法-办公</v>
      </c>
      <c r="D101" s="2586" t="str">
        <f>D4</f>
        <v>收益法（汇总）</v>
      </c>
      <c r="E101" s="3734" t="s">
        <v>1431</v>
      </c>
      <c r="F101" s="3691"/>
      <c r="G101" s="1827" t="s">
        <v>1432</v>
      </c>
      <c r="H101" s="2595">
        <f ca="1">H118</f>
        <v>240865</v>
      </c>
      <c r="I101" s="129"/>
    </row>
    <row r="102" spans="1:35" ht="18.75" customHeight="1">
      <c r="A102" s="3693" t="s">
        <v>1433</v>
      </c>
      <c r="B102" s="2584" t="s">
        <v>1432</v>
      </c>
      <c r="C102" s="2585">
        <f ca="1">IF(D32="楼面单价",ROUND(C19,0),C19)</f>
        <v>285440</v>
      </c>
      <c r="D102" s="2586">
        <f ca="1">IF(D32="楼面单价",ROUND(D19,0),D19)</f>
        <v>136857</v>
      </c>
      <c r="E102" s="3734"/>
      <c r="F102" s="3691"/>
      <c r="G102" s="1827" t="s">
        <v>1434</v>
      </c>
      <c r="H102" s="2555">
        <f ca="1">I118</f>
        <v>35007</v>
      </c>
      <c r="I102" s="129"/>
    </row>
    <row r="103" spans="1:35" ht="42.75" customHeight="1">
      <c r="A103" s="3693"/>
      <c r="B103" s="2584" t="s">
        <v>1434</v>
      </c>
      <c r="C103" s="2587">
        <f ca="1">C20</f>
        <v>41485</v>
      </c>
      <c r="D103" s="2588">
        <f ca="1">D20</f>
        <v>19890</v>
      </c>
      <c r="E103" s="3728" t="s">
        <v>1435</v>
      </c>
      <c r="F103" s="3729"/>
      <c r="G103" s="1828" t="s">
        <v>1436</v>
      </c>
      <c r="H103" s="2595">
        <f>IF(D36="正常操作",H104+H105+H106,H105+H106)</f>
        <v>0</v>
      </c>
      <c r="I103" s="129"/>
    </row>
    <row r="104" spans="1:35" ht="18.75" customHeight="1">
      <c r="A104" s="3693" t="s">
        <v>1437</v>
      </c>
      <c r="B104" s="2589" t="s">
        <v>1432</v>
      </c>
      <c r="C104" s="2590">
        <f ca="1">H118</f>
        <v>240865</v>
      </c>
      <c r="D104" s="2591"/>
      <c r="E104" s="1674" t="s">
        <v>1438</v>
      </c>
      <c r="F104" s="1666"/>
      <c r="G104" s="1828" t="s">
        <v>1436</v>
      </c>
      <c r="H104" s="2596">
        <f>IF(D36="同一抵押权人同一抵押物续贷",C36&amp;"（续贷，未扣减，详见特别提示）",C36)</f>
        <v>0</v>
      </c>
      <c r="I104" s="129"/>
    </row>
    <row r="105" spans="1:35" ht="18.75" customHeight="1" thickBot="1">
      <c r="A105" s="3694"/>
      <c r="B105" s="2592" t="s">
        <v>1434</v>
      </c>
      <c r="C105" s="2593">
        <f ca="1">I118</f>
        <v>35007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90" t="str">
        <f>IF(项目基本情况!E8="已注销","——","3.房地产抵押价值")</f>
        <v>3.房地产抵押价值</v>
      </c>
      <c r="F107" s="3691"/>
      <c r="G107" s="1827" t="s">
        <v>1432</v>
      </c>
      <c r="H107" s="2595">
        <f ca="1">IF(E107="——","——",H101-H103)</f>
        <v>240865</v>
      </c>
      <c r="I107" s="129"/>
    </row>
    <row r="108" spans="1:35" ht="18.75" customHeight="1">
      <c r="A108" s="129"/>
      <c r="B108" s="129"/>
      <c r="C108" s="129"/>
      <c r="D108" s="129"/>
      <c r="E108" s="3690"/>
      <c r="F108" s="3691"/>
      <c r="G108" s="1827" t="s">
        <v>1434</v>
      </c>
      <c r="H108" s="2555">
        <f ca="1">IF(H107=H101,H102,ROUND(H107*10000/'数据-汇总表'!E3,0))</f>
        <v>35007</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91"/>
      <c r="G109" s="1827" t="s">
        <v>1432</v>
      </c>
      <c r="H109" s="2598" t="str">
        <f>IF(E109="——","——",H101-H105-H106)</f>
        <v>——</v>
      </c>
      <c r="I109" s="129"/>
    </row>
    <row r="110" spans="1:35" ht="18.75" customHeight="1">
      <c r="A110" s="129"/>
      <c r="B110" s="129"/>
      <c r="C110" s="129"/>
      <c r="D110" s="129"/>
      <c r="E110" s="3690"/>
      <c r="F110" s="3691"/>
      <c r="G110" s="1827" t="s">
        <v>1434</v>
      </c>
      <c r="H110" s="2555" t="str">
        <f>IF(H109="——","——",ROUND(H109*10000/'数据-汇总表'!E3,0))</f>
        <v>——</v>
      </c>
      <c r="I110" s="129"/>
    </row>
    <row r="111" spans="1:35" ht="18.75" customHeight="1">
      <c r="A111" s="129"/>
      <c r="B111" s="129"/>
      <c r="C111" s="129"/>
      <c r="D111" s="129"/>
      <c r="E111" s="3722" t="str">
        <f>IF(项目基本情况!E9="抵押净值",IF(OR(项目基本情况!E8="已注销",项目基本情况!E8="房地产抵押价值"),"4.抵押净值","5.抵押净值"),"——")</f>
        <v>——</v>
      </c>
      <c r="F111" s="3692"/>
      <c r="G111" s="1827" t="s">
        <v>1432</v>
      </c>
      <c r="H111" s="2595" t="str">
        <f>IF(E111="——","——",N59)</f>
        <v>——</v>
      </c>
      <c r="I111" s="129"/>
    </row>
    <row r="112" spans="1:35" ht="18.75" customHeight="1" thickBot="1">
      <c r="A112" s="129"/>
      <c r="B112" s="129"/>
      <c r="C112" s="129"/>
      <c r="D112" s="129"/>
      <c r="E112" s="3723"/>
      <c r="F112" s="3724"/>
      <c r="G112" s="1830" t="s">
        <v>1434</v>
      </c>
      <c r="H112" s="2599" t="str">
        <f>IF(E111="——","——",N61)</f>
        <v>——</v>
      </c>
      <c r="I112" s="129"/>
    </row>
    <row r="113" spans="1:27" ht="18.75" customHeight="1">
      <c r="A113" s="129"/>
      <c r="B113" s="129"/>
      <c r="C113" s="129"/>
      <c r="D113" s="129"/>
      <c r="E113" s="3695" t="s">
        <v>1440</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5" t="s">
        <v>1442</v>
      </c>
      <c r="B115" s="3706"/>
      <c r="C115" s="3706"/>
      <c r="D115" s="3706"/>
      <c r="E115" s="3706"/>
      <c r="F115" s="3706"/>
      <c r="G115" s="3706"/>
      <c r="H115" s="3706"/>
      <c r="I115" s="3707"/>
    </row>
    <row r="116" spans="1:27" ht="27" customHeight="1">
      <c r="A116" s="3661" t="s">
        <v>1443</v>
      </c>
      <c r="B116" s="3696" t="s">
        <v>1444</v>
      </c>
      <c r="C116" s="3696" t="s">
        <v>1445</v>
      </c>
      <c r="D116" s="3709" t="s">
        <v>1446</v>
      </c>
      <c r="E116" s="3710"/>
      <c r="F116" s="3704" t="s">
        <v>1447</v>
      </c>
      <c r="G116" s="3704"/>
      <c r="H116" s="3661" t="s">
        <v>1448</v>
      </c>
      <c r="I116" s="3661"/>
    </row>
    <row r="117" spans="1:27" ht="18.75" customHeight="1">
      <c r="A117" s="3661"/>
      <c r="B117" s="3697"/>
      <c r="C117" s="36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68805.62</v>
      </c>
      <c r="C118" s="2329">
        <f>M19</f>
        <v>11305.41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240865</v>
      </c>
      <c r="I118" s="2329">
        <f ca="1">ROUND(IF(D32="楼面单价",C32,H118*10000/B118),0)</f>
        <v>35007</v>
      </c>
    </row>
    <row r="119" spans="1:27" ht="18.75" customHeight="1">
      <c r="A119" s="3661" t="s">
        <v>1452</v>
      </c>
      <c r="B119" s="3661"/>
      <c r="C119" s="3661"/>
      <c r="D119" s="3701" t="e">
        <f ca="1">NUMBERSTRING(INT(D118*10000),2)&amp;"元整"</f>
        <v>#REF!</v>
      </c>
      <c r="E119" s="3703"/>
      <c r="F119" s="3701" t="e">
        <f ca="1">NUMBERSTRING(INT(F118*10000),2)&amp;"元整"</f>
        <v>#REF!</v>
      </c>
      <c r="G119" s="3703"/>
      <c r="H119" s="3701" t="str">
        <f ca="1">NUMBERSTRING(INT(H118*10000),2)&amp;"元整"</f>
        <v>贰拾肆亿零捌佰陆拾伍万元整</v>
      </c>
      <c r="I119" s="3703"/>
    </row>
    <row r="120" spans="1:27" ht="18.75" customHeight="1">
      <c r="A120" s="3725" t="str">
        <f>IF(项目基本情况!B9="房地产市场价值","",MID(E103,3,LEN(E103)-2))</f>
        <v>估价师知悉的法定优先受偿款</v>
      </c>
      <c r="B120" s="3726"/>
      <c r="C120" s="3727"/>
      <c r="D120" s="3725">
        <f>H103</f>
        <v>0</v>
      </c>
      <c r="E120" s="3726"/>
      <c r="F120" s="3726"/>
      <c r="G120" s="3726"/>
      <c r="H120" s="3726"/>
      <c r="I120" s="37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01" t="s">
        <v>1452</v>
      </c>
      <c r="B121" s="3702"/>
      <c r="C121" s="3703"/>
      <c r="D121" s="3701" t="str">
        <f>IF(D120=0,"零元整",NUMBERSTRING(INT(D120*10000),2)&amp;"元整")</f>
        <v>零元整</v>
      </c>
      <c r="E121" s="3702"/>
      <c r="F121" s="3702"/>
      <c r="G121" s="3702"/>
      <c r="H121" s="3702"/>
      <c r="I121" s="3703"/>
      <c r="AA121" s="725"/>
    </row>
    <row r="122" spans="1:27" ht="18.75" customHeight="1">
      <c r="A122" s="3692" t="str">
        <f>IF(项目基本情况!B9="房地产市场价值","",MID(E107,3,LEN(E107)-2))</f>
        <v>房地产抵押价值</v>
      </c>
      <c r="B122" s="3692"/>
      <c r="C122" s="3692"/>
      <c r="D122" s="3725">
        <f ca="1">H107</f>
        <v>240865</v>
      </c>
      <c r="E122" s="3726"/>
      <c r="F122" s="3726"/>
      <c r="G122" s="3726"/>
      <c r="H122" s="3726"/>
      <c r="I122" s="3727"/>
      <c r="AA122" s="725"/>
    </row>
    <row r="123" spans="1:27" ht="18.75" customHeight="1">
      <c r="A123" s="3661" t="s">
        <v>1452</v>
      </c>
      <c r="B123" s="3661"/>
      <c r="C123" s="3661"/>
      <c r="D123" s="3701" t="str">
        <f ca="1">NUMBERSTRING(INT(D122*10000),2)&amp;"元整"</f>
        <v>贰拾肆亿零捌佰陆拾伍万元整</v>
      </c>
      <c r="E123" s="3702"/>
      <c r="F123" s="3702"/>
      <c r="G123" s="3702"/>
      <c r="H123" s="3702"/>
      <c r="I123" s="3703"/>
      <c r="AA123" s="725"/>
    </row>
    <row r="124" spans="1:27" ht="18.75" customHeight="1">
      <c r="A124" s="3692" t="str">
        <f>IF(项目基本情况!B9="房地产市场价值","",MID(E109,3,LEN(E109)-2))</f>
        <v/>
      </c>
      <c r="B124" s="3692"/>
      <c r="C124" s="3692"/>
      <c r="D124" s="3725" t="str">
        <f>H109</f>
        <v>——</v>
      </c>
      <c r="E124" s="3726"/>
      <c r="F124" s="3726"/>
      <c r="G124" s="3726"/>
      <c r="H124" s="3726"/>
      <c r="I124" s="3727"/>
      <c r="AA124" s="725"/>
    </row>
    <row r="125" spans="1:27" ht="18.75" customHeight="1">
      <c r="A125" s="3661" t="s">
        <v>1452</v>
      </c>
      <c r="B125" s="3661"/>
      <c r="C125" s="3661"/>
      <c r="D125" s="3701" t="e">
        <f>NUMBERSTRING(INT(D124*10000),2)&amp;"元整"</f>
        <v>#VALUE!</v>
      </c>
      <c r="E125" s="3702"/>
      <c r="F125" s="3702"/>
      <c r="G125" s="3702"/>
      <c r="H125" s="3702"/>
      <c r="I125" s="3703"/>
      <c r="AA125" s="725"/>
    </row>
    <row r="126" spans="1:27" ht="18.75" customHeight="1">
      <c r="A126" s="3692" t="str">
        <f>IF(项目基本情况!B9="房地产市场价值","",MID(E111,3,LEN(E111)-2))</f>
        <v/>
      </c>
      <c r="B126" s="3692"/>
      <c r="C126" s="3692"/>
      <c r="D126" s="3725" t="str">
        <f>H111</f>
        <v>——</v>
      </c>
      <c r="E126" s="3726"/>
      <c r="F126" s="3726"/>
      <c r="G126" s="3726"/>
      <c r="H126" s="3726"/>
      <c r="I126" s="3727"/>
      <c r="AA126" s="725"/>
    </row>
    <row r="127" spans="1:27" ht="18.75" customHeight="1">
      <c r="A127" s="3661" t="s">
        <v>1452</v>
      </c>
      <c r="B127" s="3661"/>
      <c r="C127" s="3661"/>
      <c r="D127" s="3701" t="e">
        <f>NUMBERSTRING(INT(D126*10000),2)&amp;"元整"</f>
        <v>#VALUE!</v>
      </c>
      <c r="E127" s="3702"/>
      <c r="F127" s="3702"/>
      <c r="G127" s="3702"/>
      <c r="H127" s="3702"/>
      <c r="I127" s="3703"/>
      <c r="AA127" s="725"/>
    </row>
    <row r="128" spans="1:27" ht="21.75" customHeight="1">
      <c r="A128" s="3708" t="s">
        <v>1453</v>
      </c>
      <c r="B128" s="3708"/>
      <c r="C128" s="3708"/>
      <c r="D128" s="3708"/>
      <c r="E128" s="3708"/>
      <c r="F128" s="3708"/>
      <c r="G128" s="3708"/>
      <c r="H128" s="3708"/>
      <c r="I128" s="37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0" zoomScale="85" zoomScaleNormal="70" zoomScaleSheetLayoutView="85" workbookViewId="0">
      <selection activeCell="F103" sqref="F10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t="s">
        <v>3412</v>
      </c>
      <c r="F1" s="1879" t="s">
        <v>3413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285440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41485</v>
      </c>
      <c r="C3" s="354" t="s">
        <v>1768</v>
      </c>
      <c r="D3" s="3535">
        <f>IF(D1="",'数据-汇总表'!E3,SUMIF('数据-汇总表'!$C19:$C33,D1,'数据-汇总表'!$E19:$E33))</f>
        <v>68805.62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9" t="s">
        <v>1770</v>
      </c>
      <c r="D4" s="3760"/>
      <c r="E4" s="3761" t="s">
        <v>1771</v>
      </c>
      <c r="F4" s="3762"/>
      <c r="G4" s="3759" t="s">
        <v>1772</v>
      </c>
      <c r="H4" s="3760"/>
      <c r="I4" s="3759" t="s">
        <v>1773</v>
      </c>
      <c r="J4" s="3760"/>
      <c r="K4" s="559" t="s">
        <v>1774</v>
      </c>
      <c r="L4" s="2715"/>
      <c r="M4" s="2716"/>
      <c r="N4" s="2716"/>
      <c r="O4" s="2716"/>
      <c r="P4" s="3763" t="s">
        <v>1775</v>
      </c>
      <c r="Q4" s="3764"/>
      <c r="R4" s="3769" t="s">
        <v>1771</v>
      </c>
      <c r="S4" s="3770"/>
      <c r="T4" s="3769" t="s">
        <v>1772</v>
      </c>
      <c r="U4" s="3770"/>
      <c r="V4" s="3775" t="s">
        <v>1773</v>
      </c>
      <c r="W4" s="3775"/>
      <c r="X4" s="1958"/>
      <c r="Y4" s="3769" t="s">
        <v>1775</v>
      </c>
      <c r="Z4" s="3770"/>
      <c r="AA4" s="3788" t="s">
        <v>1771</v>
      </c>
      <c r="AB4" s="3788" t="s">
        <v>1772</v>
      </c>
      <c r="AC4" s="3756" t="s">
        <v>1773</v>
      </c>
    </row>
    <row r="5" spans="1:29" ht="15">
      <c r="A5" s="358"/>
      <c r="B5" s="359"/>
      <c r="C5" s="3785" t="s">
        <v>1673</v>
      </c>
      <c r="D5" s="3780"/>
      <c r="E5" s="3791" t="s">
        <v>3697</v>
      </c>
      <c r="F5" s="3792"/>
      <c r="G5" s="3779" t="s">
        <v>3580</v>
      </c>
      <c r="H5" s="3780"/>
      <c r="I5" s="3779" t="s">
        <v>3581</v>
      </c>
      <c r="J5" s="3780"/>
      <c r="K5" s="559"/>
      <c r="L5" s="2715"/>
      <c r="M5" s="2716"/>
      <c r="N5" s="2716"/>
      <c r="O5" s="2716"/>
      <c r="P5" s="3765"/>
      <c r="Q5" s="3766"/>
      <c r="R5" s="3771"/>
      <c r="S5" s="3772"/>
      <c r="T5" s="3771"/>
      <c r="U5" s="3772"/>
      <c r="V5" s="3776"/>
      <c r="W5" s="3776"/>
      <c r="X5" s="1355"/>
      <c r="Y5" s="3771"/>
      <c r="Z5" s="3772"/>
      <c r="AA5" s="3789"/>
      <c r="AB5" s="3789"/>
      <c r="AC5" s="3757"/>
    </row>
    <row r="6" spans="1:29" ht="15.75" thickBot="1">
      <c r="A6" s="360"/>
      <c r="B6" s="361"/>
      <c r="C6" s="3777" t="s">
        <v>1677</v>
      </c>
      <c r="D6" s="3778"/>
      <c r="E6" s="3786" t="s">
        <v>1677</v>
      </c>
      <c r="F6" s="3787"/>
      <c r="G6" s="3777" t="s">
        <v>1677</v>
      </c>
      <c r="H6" s="3778"/>
      <c r="I6" s="3777" t="s">
        <v>1677</v>
      </c>
      <c r="J6" s="3778"/>
      <c r="K6" s="559" t="s">
        <v>1678</v>
      </c>
      <c r="L6" s="2715"/>
      <c r="M6" s="2716"/>
      <c r="N6" s="2716"/>
      <c r="O6" s="2716"/>
      <c r="P6" s="3767"/>
      <c r="Q6" s="3768"/>
      <c r="R6" s="3771"/>
      <c r="S6" s="3772"/>
      <c r="T6" s="3773"/>
      <c r="U6" s="3774"/>
      <c r="V6" s="3776"/>
      <c r="W6" s="3776"/>
      <c r="X6" s="1355"/>
      <c r="Y6" s="3773"/>
      <c r="Z6" s="3774"/>
      <c r="AA6" s="3790"/>
      <c r="AB6" s="3790"/>
      <c r="AC6" s="3758"/>
    </row>
    <row r="7" spans="1:29" s="108" customFormat="1" ht="15.75" thickBot="1">
      <c r="A7" s="362" t="s">
        <v>1679</v>
      </c>
      <c r="B7" s="363"/>
      <c r="C7" s="364">
        <f>'数据-取费表'!B2</f>
        <v>44991</v>
      </c>
      <c r="D7" s="365">
        <v>100</v>
      </c>
      <c r="E7" s="366">
        <v>44256</v>
      </c>
      <c r="F7" s="367">
        <f>SUMIF(59:59,YEAR(E7)&amp;"-"&amp;MONTH(E7),60:60)</f>
        <v>100</v>
      </c>
      <c r="G7" s="366">
        <v>44348</v>
      </c>
      <c r="H7" s="365">
        <f>SUMIF(59:59,YEAR(G7)&amp;"-"&amp;MONTH(G7),60:60)</f>
        <v>100</v>
      </c>
      <c r="I7" s="366">
        <v>44440</v>
      </c>
      <c r="J7" s="365">
        <f>SUMIF(59:59,YEAR(I7)&amp;"-"&amp;MONTH(I7),60:60)</f>
        <v>100</v>
      </c>
      <c r="K7" s="560"/>
      <c r="L7" s="2717"/>
      <c r="M7" s="2718"/>
      <c r="N7" s="2718"/>
      <c r="O7" s="2718"/>
      <c r="P7" s="3781" t="s">
        <v>1680</v>
      </c>
      <c r="Q7" s="3784"/>
      <c r="R7" s="701" t="s">
        <v>14</v>
      </c>
      <c r="S7" s="702">
        <f t="shared" ref="S7:S15" si="0">F7</f>
        <v>100</v>
      </c>
      <c r="T7" s="701" t="s">
        <v>14</v>
      </c>
      <c r="U7" s="702">
        <f t="shared" ref="U7:U15" si="1">H7</f>
        <v>100</v>
      </c>
      <c r="V7" s="701" t="s">
        <v>14</v>
      </c>
      <c r="W7" s="702">
        <f t="shared" ref="W7:W15" si="2">J7</f>
        <v>100</v>
      </c>
      <c r="X7" s="703"/>
      <c r="Y7" s="3783" t="s">
        <v>1680</v>
      </c>
      <c r="Z7" s="3782"/>
      <c r="AA7" s="704">
        <f>D7/F7</f>
        <v>1</v>
      </c>
      <c r="AB7" s="704">
        <f>D7/H7</f>
        <v>1</v>
      </c>
      <c r="AC7" s="1959">
        <f>D7/J7</f>
        <v>1</v>
      </c>
    </row>
    <row r="8" spans="1:29" s="108" customFormat="1" ht="15.75" thickBot="1">
      <c r="A8" s="362" t="s">
        <v>1681</v>
      </c>
      <c r="B8" s="363"/>
      <c r="C8" s="368" t="s">
        <v>3414</v>
      </c>
      <c r="D8" s="365">
        <v>100</v>
      </c>
      <c r="E8" s="368" t="s">
        <v>3414</v>
      </c>
      <c r="F8" s="367">
        <f>SUMIF(62:62,E8,63:63)-SUMIF(62:62,C8,63:63)+100</f>
        <v>100</v>
      </c>
      <c r="G8" s="368" t="s">
        <v>3414</v>
      </c>
      <c r="H8" s="365">
        <f>SUMIF(62:62,G8,63:63)-SUMIF(62:62,C8,63:63)+100</f>
        <v>100</v>
      </c>
      <c r="I8" s="368" t="s">
        <v>3414</v>
      </c>
      <c r="J8" s="365">
        <f>SUMIF(62:62,I8,63:63)-SUMIF(62:62,C8,63:63)+100</f>
        <v>100</v>
      </c>
      <c r="K8" s="560"/>
      <c r="L8" s="2717"/>
      <c r="M8" s="2718"/>
      <c r="N8" s="2718"/>
      <c r="O8" s="2718"/>
      <c r="P8" s="3781" t="s">
        <v>1683</v>
      </c>
      <c r="Q8" s="3782"/>
      <c r="R8" s="701" t="s">
        <v>14</v>
      </c>
      <c r="S8" s="702">
        <f t="shared" si="0"/>
        <v>100</v>
      </c>
      <c r="T8" s="701" t="s">
        <v>14</v>
      </c>
      <c r="U8" s="702">
        <f t="shared" si="1"/>
        <v>100</v>
      </c>
      <c r="V8" s="701" t="s">
        <v>14</v>
      </c>
      <c r="W8" s="702">
        <f t="shared" si="2"/>
        <v>100</v>
      </c>
      <c r="X8" s="703"/>
      <c r="Y8" s="3783" t="s">
        <v>1683</v>
      </c>
      <c r="Z8" s="3782"/>
      <c r="AA8" s="704">
        <f t="shared" ref="AA8:AA47" si="3">D8/F8</f>
        <v>1</v>
      </c>
      <c r="AB8" s="704">
        <f t="shared" ref="AB8:AB47" si="4">D8/H8</f>
        <v>1</v>
      </c>
      <c r="AC8" s="1959">
        <f t="shared" ref="AC8:AC47" si="5">D8/J8</f>
        <v>1</v>
      </c>
    </row>
    <row r="9" spans="1:29" s="108" customFormat="1" ht="15">
      <c r="A9" s="369" t="s">
        <v>1684</v>
      </c>
      <c r="B9" s="63" t="s">
        <v>1685</v>
      </c>
      <c r="C9" s="3531" t="s">
        <v>3555</v>
      </c>
      <c r="D9" s="126">
        <v>100</v>
      </c>
      <c r="E9" s="373" t="s">
        <v>673</v>
      </c>
      <c r="F9" s="126">
        <f>SUMIF(64:64,E9,65:65)-SUMIF(64:64,C9,65:65)+100</f>
        <v>100</v>
      </c>
      <c r="G9" s="373" t="s">
        <v>3559</v>
      </c>
      <c r="H9" s="126">
        <f>SUMIF(64:64,G9,65:65)-SUMIF(64:64,C9,65:65)+100</f>
        <v>102</v>
      </c>
      <c r="I9" s="373" t="s">
        <v>3559</v>
      </c>
      <c r="J9" s="126">
        <f>SUMIF(64:64,I9,65:65)-SUMIF(64:64,C9,65:65)+100</f>
        <v>102</v>
      </c>
      <c r="K9" s="560"/>
      <c r="L9" s="2717"/>
      <c r="M9" s="2718"/>
      <c r="N9" s="2718"/>
      <c r="O9" s="2718"/>
      <c r="P9" s="3741" t="s">
        <v>1686</v>
      </c>
      <c r="Q9" s="1343" t="str">
        <f t="shared" ref="Q9:Q15" si="6">B9</f>
        <v>用途</v>
      </c>
      <c r="R9" s="701" t="s">
        <v>14</v>
      </c>
      <c r="S9" s="702">
        <f t="shared" si="0"/>
        <v>100</v>
      </c>
      <c r="T9" s="701" t="s">
        <v>14</v>
      </c>
      <c r="U9" s="702">
        <f t="shared" si="1"/>
        <v>102</v>
      </c>
      <c r="V9" s="701" t="s">
        <v>14</v>
      </c>
      <c r="W9" s="702">
        <f t="shared" si="2"/>
        <v>102</v>
      </c>
      <c r="X9" s="703"/>
      <c r="Y9" s="3648" t="s">
        <v>1687</v>
      </c>
      <c r="Z9" s="52" t="str">
        <f t="shared" ref="Z9:Z15" si="7">Q9</f>
        <v>用途</v>
      </c>
      <c r="AA9" s="704">
        <f t="shared" si="3"/>
        <v>1</v>
      </c>
      <c r="AB9" s="704">
        <f t="shared" si="4"/>
        <v>0.98039215686274506</v>
      </c>
      <c r="AC9" s="1959">
        <f t="shared" si="5"/>
        <v>0.98039215686274506</v>
      </c>
    </row>
    <row r="10" spans="1:29" s="378" customFormat="1" ht="27" hidden="1">
      <c r="A10" s="374"/>
      <c r="B10" s="375" t="s">
        <v>1688</v>
      </c>
      <c r="C10" s="3434">
        <f>项目基本情况!D15</f>
        <v>25.63</v>
      </c>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1"/>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9">
        <f t="shared" si="5"/>
        <v>1</v>
      </c>
    </row>
    <row r="12" spans="1:29" s="108" customFormat="1" ht="15.75" thickBot="1">
      <c r="A12" s="382"/>
      <c r="B12" s="3548" t="s">
        <v>3693</v>
      </c>
      <c r="C12" s="3549">
        <v>0.44700000000000001</v>
      </c>
      <c r="D12" s="384">
        <v>100</v>
      </c>
      <c r="E12" s="3549">
        <v>0.23499999999999999</v>
      </c>
      <c r="F12" s="127">
        <f>SUMIF(71:71,E12,72:72)-SUMIF(71:71,C12,72:72)+100</f>
        <v>106</v>
      </c>
      <c r="G12" s="3547">
        <v>0.247</v>
      </c>
      <c r="H12" s="127">
        <f>SUMIF(71:71,G12,72:72)-SUMIF(71:71,C12,72:72)+100</f>
        <v>106</v>
      </c>
      <c r="I12" s="3549">
        <v>0.30299999999999999</v>
      </c>
      <c r="J12" s="127">
        <f>SUMIF(71:71,I12,72:72)-SUMIF(71:71,C12,72:72)+100</f>
        <v>103</v>
      </c>
      <c r="K12" s="562"/>
      <c r="L12" s="2717"/>
      <c r="M12" s="2718"/>
      <c r="N12" s="2718"/>
      <c r="O12" s="2718"/>
      <c r="P12" s="3741"/>
      <c r="Q12" s="1343" t="str">
        <f t="shared" si="6"/>
        <v>地下占比</v>
      </c>
      <c r="R12" s="701" t="s">
        <v>14</v>
      </c>
      <c r="S12" s="702">
        <f t="shared" si="0"/>
        <v>106</v>
      </c>
      <c r="T12" s="701" t="s">
        <v>14</v>
      </c>
      <c r="U12" s="702">
        <f t="shared" si="1"/>
        <v>106</v>
      </c>
      <c r="V12" s="701" t="s">
        <v>14</v>
      </c>
      <c r="W12" s="702">
        <f t="shared" si="2"/>
        <v>103</v>
      </c>
      <c r="X12" s="703"/>
      <c r="Y12" s="3648"/>
      <c r="Z12" s="52" t="str">
        <f t="shared" si="7"/>
        <v>地下占比</v>
      </c>
      <c r="AA12" s="704">
        <f>D12/F12</f>
        <v>0.94339622641509435</v>
      </c>
      <c r="AB12" s="704">
        <f>D12/H12</f>
        <v>0.94339622641509435</v>
      </c>
      <c r="AC12" s="1959">
        <f>D12/J12</f>
        <v>0.970873786407767</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1"/>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47" t="s">
        <v>1691</v>
      </c>
      <c r="Q15" s="1352" t="str">
        <f t="shared" si="6"/>
        <v>办公集聚程度</v>
      </c>
      <c r="R15" s="705" t="s">
        <v>14</v>
      </c>
      <c r="S15" s="706">
        <f t="shared" si="0"/>
        <v>100</v>
      </c>
      <c r="T15" s="705" t="s">
        <v>14</v>
      </c>
      <c r="U15" s="706">
        <f t="shared" si="1"/>
        <v>100</v>
      </c>
      <c r="V15" s="705" t="s">
        <v>14</v>
      </c>
      <c r="W15" s="706">
        <f t="shared" si="2"/>
        <v>100</v>
      </c>
      <c r="X15" s="1355"/>
      <c r="Y15" s="3749" t="s">
        <v>1691</v>
      </c>
      <c r="Z15" s="1356" t="str">
        <f t="shared" si="7"/>
        <v>办公集聚程度</v>
      </c>
      <c r="AA15" s="1353">
        <f t="shared" si="3"/>
        <v>1</v>
      </c>
      <c r="AB15" s="1353">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748"/>
      <c r="Q16" s="1352"/>
      <c r="R16" s="705"/>
      <c r="S16" s="706"/>
      <c r="T16" s="705"/>
      <c r="U16" s="706"/>
      <c r="V16" s="705"/>
      <c r="W16" s="706"/>
      <c r="X16" s="1355"/>
      <c r="Y16" s="375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748"/>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748"/>
      <c r="Q18" s="1352"/>
      <c r="R18" s="705"/>
      <c r="S18" s="706"/>
      <c r="T18" s="705"/>
      <c r="U18" s="706"/>
      <c r="V18" s="705"/>
      <c r="W18" s="706"/>
      <c r="X18" s="1355"/>
      <c r="Y18" s="375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748"/>
      <c r="Q20" s="1352"/>
      <c r="R20" s="705"/>
      <c r="S20" s="706"/>
      <c r="T20" s="705"/>
      <c r="U20" s="706"/>
      <c r="V20" s="705"/>
      <c r="W20" s="706"/>
      <c r="X20" s="1355"/>
      <c r="Y20" s="375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962">
        <f t="shared" ref="AC21" si="10">D21/J21</f>
        <v>1</v>
      </c>
    </row>
    <row r="22" spans="1:29" ht="15">
      <c r="A22" s="379"/>
      <c r="B22" s="581"/>
      <c r="C22" s="1964" t="s">
        <v>3561</v>
      </c>
      <c r="D22" s="399"/>
      <c r="E22" s="1964" t="s">
        <v>3561</v>
      </c>
      <c r="F22" s="399"/>
      <c r="G22" s="1964" t="s">
        <v>3561</v>
      </c>
      <c r="H22" s="399"/>
      <c r="I22" s="1964" t="s">
        <v>3561</v>
      </c>
      <c r="J22" s="399"/>
      <c r="K22" s="1130"/>
      <c r="L22" s="2722"/>
      <c r="M22" s="2716"/>
      <c r="N22" s="2716"/>
      <c r="O22" s="2716"/>
      <c r="P22" s="3748"/>
      <c r="Q22" s="1352"/>
      <c r="R22" s="705"/>
      <c r="S22" s="706"/>
      <c r="T22" s="705"/>
      <c r="U22" s="706"/>
      <c r="V22" s="705"/>
      <c r="W22" s="706"/>
      <c r="X22" s="1355"/>
      <c r="Y22" s="375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48"/>
      <c r="Q23" s="1352" t="str">
        <f>B23</f>
        <v>环境质量</v>
      </c>
      <c r="R23" s="705" t="s">
        <v>14</v>
      </c>
      <c r="S23" s="706">
        <f>F23</f>
        <v>100</v>
      </c>
      <c r="T23" s="705" t="s">
        <v>14</v>
      </c>
      <c r="U23" s="706">
        <f>H23</f>
        <v>100</v>
      </c>
      <c r="V23" s="705" t="s">
        <v>14</v>
      </c>
      <c r="W23" s="706">
        <f>J23</f>
        <v>100</v>
      </c>
      <c r="X23" s="1355"/>
      <c r="Y23" s="3750"/>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748"/>
      <c r="Q24" s="1352"/>
      <c r="R24" s="705"/>
      <c r="S24" s="706"/>
      <c r="T24" s="705"/>
      <c r="U24" s="706"/>
      <c r="V24" s="705"/>
      <c r="W24" s="706"/>
      <c r="X24" s="1355"/>
      <c r="Y24" s="3750"/>
      <c r="Z24" s="1356"/>
      <c r="AA24" s="1353">
        <v>1</v>
      </c>
      <c r="AB24" s="1353">
        <v>1</v>
      </c>
      <c r="AC24" s="1962">
        <v>1</v>
      </c>
    </row>
    <row r="25" spans="1:29" ht="27">
      <c r="A25" s="358"/>
      <c r="B25" s="579" t="s">
        <v>1815</v>
      </c>
      <c r="C25" s="3533"/>
      <c r="D25" s="386">
        <v>100</v>
      </c>
      <c r="E25" s="385"/>
      <c r="F25" s="386">
        <f>SUMIF(87:87,E26,88:88)-SUMIF(87:87,C26,88:88)+100</f>
        <v>101</v>
      </c>
      <c r="G25" s="1908"/>
      <c r="H25" s="386">
        <f>SUMIF(87:87,G26,88:88)-SUMIF(87:87,C26,88:88)+100</f>
        <v>102</v>
      </c>
      <c r="I25" s="385"/>
      <c r="J25" s="386">
        <f>SUMIF(87:87,I26,88:88)-SUMIF(87:87,C26,88:88)+100</f>
        <v>102</v>
      </c>
      <c r="K25" s="563">
        <v>1</v>
      </c>
      <c r="L25" s="2722"/>
      <c r="M25" s="2716"/>
      <c r="N25" s="2716"/>
      <c r="O25" s="2716"/>
      <c r="P25" s="3748"/>
      <c r="Q25" s="1352" t="str">
        <f>B25</f>
        <v>毗邻道路的类型与等级</v>
      </c>
      <c r="R25" s="705" t="s">
        <v>14</v>
      </c>
      <c r="S25" s="706">
        <f>F25</f>
        <v>101</v>
      </c>
      <c r="T25" s="705" t="s">
        <v>14</v>
      </c>
      <c r="U25" s="706">
        <f>H25</f>
        <v>102</v>
      </c>
      <c r="V25" s="705" t="s">
        <v>14</v>
      </c>
      <c r="W25" s="706">
        <f>J25</f>
        <v>102</v>
      </c>
      <c r="X25" s="1355"/>
      <c r="Y25" s="3750"/>
      <c r="Z25" s="1356" t="str">
        <f>Q25</f>
        <v>毗邻道路的类型与等级</v>
      </c>
      <c r="AA25" s="1353">
        <f t="shared" si="3"/>
        <v>0.99009900990099009</v>
      </c>
      <c r="AB25" s="1353">
        <f t="shared" si="4"/>
        <v>0.98039215686274506</v>
      </c>
      <c r="AC25" s="1962">
        <f t="shared" si="5"/>
        <v>0.98039215686274506</v>
      </c>
    </row>
    <row r="26" spans="1:29" ht="15.75" thickBot="1">
      <c r="A26" s="358"/>
      <c r="B26" s="580"/>
      <c r="C26" s="582" t="s">
        <v>3562</v>
      </c>
      <c r="D26" s="386"/>
      <c r="E26" s="565" t="s">
        <v>3566</v>
      </c>
      <c r="F26" s="386"/>
      <c r="G26" s="582" t="s">
        <v>3564</v>
      </c>
      <c r="H26" s="386"/>
      <c r="I26" s="565" t="s">
        <v>3564</v>
      </c>
      <c r="J26" s="386"/>
      <c r="K26" s="564"/>
      <c r="L26" s="2722"/>
      <c r="M26" s="2716"/>
      <c r="N26" s="2716"/>
      <c r="O26" s="2716"/>
      <c r="P26" s="3748"/>
      <c r="Q26" s="1352"/>
      <c r="R26" s="705"/>
      <c r="S26" s="706"/>
      <c r="T26" s="705"/>
      <c r="U26" s="706"/>
      <c r="V26" s="705"/>
      <c r="W26" s="706"/>
      <c r="X26" s="1355"/>
      <c r="Y26" s="3750"/>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8"/>
      <c r="Q27" s="1352" t="str">
        <f t="shared" ref="Q27:Q47" si="11">B27</f>
        <v>楼层</v>
      </c>
      <c r="R27" s="705" t="s">
        <v>14</v>
      </c>
      <c r="S27" s="706">
        <f>F27</f>
        <v>100</v>
      </c>
      <c r="T27" s="705" t="s">
        <v>14</v>
      </c>
      <c r="U27" s="706">
        <f>H27</f>
        <v>100</v>
      </c>
      <c r="V27" s="705" t="s">
        <v>14</v>
      </c>
      <c r="W27" s="706">
        <f>J27</f>
        <v>100</v>
      </c>
      <c r="X27" s="1355"/>
      <c r="Y27" s="3750"/>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8"/>
      <c r="Q28" s="1343" t="str">
        <f t="shared" si="11"/>
        <v>朝向</v>
      </c>
      <c r="R28" s="701" t="s">
        <v>14</v>
      </c>
      <c r="S28" s="702">
        <f>F28</f>
        <v>100</v>
      </c>
      <c r="T28" s="701" t="s">
        <v>14</v>
      </c>
      <c r="U28" s="702">
        <f>H28</f>
        <v>100</v>
      </c>
      <c r="V28" s="701" t="s">
        <v>14</v>
      </c>
      <c r="W28" s="702">
        <f>J28</f>
        <v>100</v>
      </c>
      <c r="X28" s="703"/>
      <c r="Y28" s="375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8"/>
      <c r="Q29" s="1352">
        <f t="shared" si="11"/>
        <v>111</v>
      </c>
      <c r="R29" s="705" t="s">
        <v>14</v>
      </c>
      <c r="S29" s="706">
        <f t="shared" ref="S29:S47" si="12">F29</f>
        <v>100</v>
      </c>
      <c r="T29" s="705" t="s">
        <v>14</v>
      </c>
      <c r="U29" s="706">
        <f t="shared" ref="U29:U47" si="13">H29</f>
        <v>100</v>
      </c>
      <c r="V29" s="705" t="s">
        <v>14</v>
      </c>
      <c r="W29" s="706">
        <f t="shared" ref="W29:W47" si="14">J29</f>
        <v>100</v>
      </c>
      <c r="X29" s="1355"/>
      <c r="Y29" s="375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5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5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8"/>
      <c r="Q32" s="1352">
        <f t="shared" si="11"/>
        <v>111</v>
      </c>
      <c r="R32" s="705" t="s">
        <v>14</v>
      </c>
      <c r="S32" s="706">
        <f t="shared" si="12"/>
        <v>100</v>
      </c>
      <c r="T32" s="705" t="s">
        <v>14</v>
      </c>
      <c r="U32" s="706">
        <f t="shared" si="13"/>
        <v>100</v>
      </c>
      <c r="V32" s="705" t="s">
        <v>14</v>
      </c>
      <c r="W32" s="706">
        <f t="shared" si="14"/>
        <v>100</v>
      </c>
      <c r="X32" s="1355"/>
      <c r="Y32" s="3750"/>
      <c r="Z32" s="1356">
        <f t="shared" si="15"/>
        <v>111</v>
      </c>
      <c r="AA32" s="1353">
        <f t="shared" si="3"/>
        <v>1</v>
      </c>
      <c r="AB32" s="1353">
        <f t="shared" si="4"/>
        <v>1</v>
      </c>
      <c r="AC32" s="1962">
        <f t="shared" si="5"/>
        <v>1</v>
      </c>
    </row>
    <row r="33" spans="1:29" ht="15">
      <c r="A33" s="391" t="s">
        <v>1694</v>
      </c>
      <c r="B33" s="63" t="s">
        <v>1817</v>
      </c>
      <c r="C33" s="1967" t="s">
        <v>3569</v>
      </c>
      <c r="D33" s="418">
        <v>100</v>
      </c>
      <c r="E33" s="1967" t="s">
        <v>3569</v>
      </c>
      <c r="F33" s="412">
        <f>SUMIF(101:101,E33,102:102)-SUMIF(101:101,C33,102:102)+100</f>
        <v>100</v>
      </c>
      <c r="G33" s="1967" t="s">
        <v>3505</v>
      </c>
      <c r="H33" s="386">
        <f>SUMIF(101:101,G33,102:102)-SUMIF(101:101,C33,102:102)+100</f>
        <v>98</v>
      </c>
      <c r="I33" s="1967" t="s">
        <v>3583</v>
      </c>
      <c r="J33" s="418">
        <f>SUMIF(101:101,I33,102:102)-SUMIF(101:101,C33,102:102)+100</f>
        <v>102</v>
      </c>
      <c r="K33" s="561">
        <v>2</v>
      </c>
      <c r="L33" s="2722"/>
      <c r="M33" s="2716"/>
      <c r="N33" s="2716"/>
      <c r="O33" s="2716"/>
      <c r="P33" s="3751" t="s">
        <v>1696</v>
      </c>
      <c r="Q33" s="1352" t="str">
        <f t="shared" si="11"/>
        <v>建筑类型</v>
      </c>
      <c r="R33" s="705" t="s">
        <v>14</v>
      </c>
      <c r="S33" s="706">
        <f t="shared" si="12"/>
        <v>100</v>
      </c>
      <c r="T33" s="705" t="s">
        <v>14</v>
      </c>
      <c r="U33" s="706">
        <f t="shared" si="13"/>
        <v>98</v>
      </c>
      <c r="V33" s="705" t="s">
        <v>14</v>
      </c>
      <c r="W33" s="706">
        <f t="shared" si="14"/>
        <v>102</v>
      </c>
      <c r="X33" s="1355"/>
      <c r="Y33" s="3754" t="s">
        <v>1696</v>
      </c>
      <c r="Z33" s="1356" t="str">
        <f t="shared" si="15"/>
        <v>建筑类型</v>
      </c>
      <c r="AA33" s="1353">
        <f t="shared" si="3"/>
        <v>1</v>
      </c>
      <c r="AB33" s="1353">
        <f t="shared" si="4"/>
        <v>1.0204081632653061</v>
      </c>
      <c r="AC33" s="1962">
        <f t="shared" si="5"/>
        <v>0.98039215686274506</v>
      </c>
    </row>
    <row r="34" spans="1:29" s="422" customFormat="1" ht="15">
      <c r="A34" s="419"/>
      <c r="B34" s="375" t="s">
        <v>1697</v>
      </c>
      <c r="C34" s="420">
        <f>'数据-汇总表'!E3</f>
        <v>68805.62</v>
      </c>
      <c r="D34" s="127">
        <v>100</v>
      </c>
      <c r="E34" s="381">
        <v>7405.99</v>
      </c>
      <c r="F34" s="376">
        <f>LOOKUP(E34,104:104,105:105)-LOOKUP(C34,104:104,105:105)+100</f>
        <v>103</v>
      </c>
      <c r="G34" s="380">
        <v>138490</v>
      </c>
      <c r="H34" s="127">
        <f>LOOKUP(G34,104:104,105:105)-LOOKUP(C34,104:104,105:105)+100</f>
        <v>98</v>
      </c>
      <c r="I34" s="380">
        <v>38000</v>
      </c>
      <c r="J34" s="127">
        <f>LOOKUP(I34,104:104,105:105)-LOOKUP(C34,104:104,105:105)+100</f>
        <v>102</v>
      </c>
      <c r="K34" s="562"/>
      <c r="L34" s="2721"/>
      <c r="M34" s="2723"/>
      <c r="N34" s="2723"/>
      <c r="O34" s="2723"/>
      <c r="P34" s="3752"/>
      <c r="Q34" s="707" t="str">
        <f t="shared" si="11"/>
        <v>项目建筑规模</v>
      </c>
      <c r="R34" s="708" t="s">
        <v>14</v>
      </c>
      <c r="S34" s="709">
        <f t="shared" si="12"/>
        <v>103</v>
      </c>
      <c r="T34" s="708" t="s">
        <v>14</v>
      </c>
      <c r="U34" s="709">
        <f t="shared" si="13"/>
        <v>98</v>
      </c>
      <c r="V34" s="708" t="s">
        <v>14</v>
      </c>
      <c r="W34" s="709">
        <f t="shared" si="14"/>
        <v>102</v>
      </c>
      <c r="X34" s="710"/>
      <c r="Y34" s="3754"/>
      <c r="Z34" s="711" t="str">
        <f t="shared" si="15"/>
        <v>项目建筑规模</v>
      </c>
      <c r="AA34" s="1353">
        <f t="shared" si="3"/>
        <v>0.970873786407767</v>
      </c>
      <c r="AB34" s="1353">
        <f t="shared" si="4"/>
        <v>1.0204081632653061</v>
      </c>
      <c r="AC34" s="1962">
        <f t="shared" si="5"/>
        <v>0.98039215686274506</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1</v>
      </c>
      <c r="L35" s="2722"/>
      <c r="M35" s="2716"/>
      <c r="N35" s="2716"/>
      <c r="O35" s="2716"/>
      <c r="P35" s="3752"/>
      <c r="Q35" s="1352" t="str">
        <f t="shared" si="11"/>
        <v>建筑结构</v>
      </c>
      <c r="R35" s="705" t="s">
        <v>14</v>
      </c>
      <c r="S35" s="706">
        <f t="shared" si="12"/>
        <v>100</v>
      </c>
      <c r="T35" s="705" t="s">
        <v>14</v>
      </c>
      <c r="U35" s="706">
        <f t="shared" si="13"/>
        <v>100</v>
      </c>
      <c r="V35" s="705" t="s">
        <v>14</v>
      </c>
      <c r="W35" s="706">
        <f t="shared" si="14"/>
        <v>100</v>
      </c>
      <c r="X35" s="1355"/>
      <c r="Y35" s="3754"/>
      <c r="Z35" s="1356" t="str">
        <f t="shared" si="15"/>
        <v>建筑结构</v>
      </c>
      <c r="AA35" s="1353">
        <f t="shared" si="3"/>
        <v>1</v>
      </c>
      <c r="AB35" s="1353">
        <f t="shared" si="4"/>
        <v>1</v>
      </c>
      <c r="AC35" s="1962">
        <f t="shared" si="5"/>
        <v>1</v>
      </c>
    </row>
    <row r="36" spans="1:29" ht="15">
      <c r="A36" s="423"/>
      <c r="B36" s="375" t="s">
        <v>1785</v>
      </c>
      <c r="C36" s="411" t="s">
        <v>3572</v>
      </c>
      <c r="D36" s="386">
        <v>100</v>
      </c>
      <c r="E36" s="411" t="s">
        <v>3572</v>
      </c>
      <c r="F36" s="412">
        <f>SUMIF(108:108,E36,109:109)-SUMIF(108:108,C36,109:109)+100</f>
        <v>100</v>
      </c>
      <c r="G36" s="411" t="s">
        <v>3572</v>
      </c>
      <c r="H36" s="386">
        <f>SUMIF(108:108,G36,109:109)-SUMIF(108:108,C36,109:109)+100</f>
        <v>100</v>
      </c>
      <c r="I36" s="411" t="s">
        <v>3572</v>
      </c>
      <c r="J36" s="386">
        <f>SUMIF(108:108,I36,109:109)-SUMIF(108:108,C36,109:109)+100</f>
        <v>100</v>
      </c>
      <c r="K36" s="561">
        <v>1</v>
      </c>
      <c r="L36" s="2722"/>
      <c r="M36" s="2716"/>
      <c r="N36" s="2716"/>
      <c r="O36" s="2716"/>
      <c r="P36" s="3752"/>
      <c r="Q36" s="1352" t="str">
        <f t="shared" si="11"/>
        <v>公共部分装修</v>
      </c>
      <c r="R36" s="705" t="s">
        <v>14</v>
      </c>
      <c r="S36" s="706">
        <f t="shared" si="12"/>
        <v>100</v>
      </c>
      <c r="T36" s="705" t="s">
        <v>14</v>
      </c>
      <c r="U36" s="706">
        <f t="shared" si="13"/>
        <v>100</v>
      </c>
      <c r="V36" s="705" t="s">
        <v>14</v>
      </c>
      <c r="W36" s="706">
        <f t="shared" si="14"/>
        <v>100</v>
      </c>
      <c r="X36" s="1355"/>
      <c r="Y36" s="3754"/>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f>ROUND((1-(2023-2008)/60+85%)/2,2)</f>
        <v>0.8</v>
      </c>
      <c r="F37" s="412">
        <f>LOOKUP(E37,111:111,112:112)-LOOKUP(C37,111:111,112:112)+100</f>
        <v>100</v>
      </c>
      <c r="G37" s="425">
        <f>ROUND((1-(2023-2009)/60+85%)/2,2)</f>
        <v>0.81</v>
      </c>
      <c r="H37" s="412">
        <f>LOOKUP(G37,111:111,112:112)-LOOKUP(C37,111:111,112:112)+100</f>
        <v>100</v>
      </c>
      <c r="I37" s="425">
        <f>ROUND((1-(2023-2008)/60+85%)/2,2)</f>
        <v>0.8</v>
      </c>
      <c r="J37" s="386">
        <f>LOOKUP(I37,111:111,112:112)-LOOKUP(C37,111:111,112:112)+100</f>
        <v>100</v>
      </c>
      <c r="K37" s="561">
        <v>1</v>
      </c>
      <c r="L37" s="2722"/>
      <c r="M37" s="2716"/>
      <c r="N37" s="2716"/>
      <c r="O37" s="2716"/>
      <c r="P37" s="3752"/>
      <c r="Q37" s="1352" t="str">
        <f t="shared" si="11"/>
        <v>成新度</v>
      </c>
      <c r="R37" s="705" t="s">
        <v>14</v>
      </c>
      <c r="S37" s="706">
        <f t="shared" si="12"/>
        <v>100</v>
      </c>
      <c r="T37" s="705" t="s">
        <v>14</v>
      </c>
      <c r="U37" s="706">
        <f t="shared" si="13"/>
        <v>100</v>
      </c>
      <c r="V37" s="705" t="s">
        <v>14</v>
      </c>
      <c r="W37" s="706">
        <f t="shared" si="14"/>
        <v>100</v>
      </c>
      <c r="X37" s="1355"/>
      <c r="Y37" s="375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2"/>
      <c r="Q38" s="1343" t="str">
        <f t="shared" si="11"/>
        <v>写字楼等级</v>
      </c>
      <c r="R38" s="701" t="s">
        <v>14</v>
      </c>
      <c r="S38" s="702">
        <f t="shared" si="12"/>
        <v>100</v>
      </c>
      <c r="T38" s="701" t="s">
        <v>14</v>
      </c>
      <c r="U38" s="702">
        <f t="shared" si="13"/>
        <v>100</v>
      </c>
      <c r="V38" s="701" t="s">
        <v>14</v>
      </c>
      <c r="W38" s="702">
        <f t="shared" si="14"/>
        <v>100</v>
      </c>
      <c r="X38" s="703"/>
      <c r="Y38" s="3754"/>
      <c r="Z38" s="52" t="str">
        <f t="shared" si="15"/>
        <v>写字楼等级</v>
      </c>
      <c r="AA38" s="704">
        <f t="shared" si="3"/>
        <v>1</v>
      </c>
      <c r="AB38" s="704">
        <f t="shared" si="4"/>
        <v>1</v>
      </c>
      <c r="AC38" s="1959">
        <f t="shared" si="5"/>
        <v>1</v>
      </c>
    </row>
    <row r="39" spans="1:29" ht="15">
      <c r="A39" s="423"/>
      <c r="B39" s="375" t="s">
        <v>1819</v>
      </c>
      <c r="C39" s="411" t="s">
        <v>3574</v>
      </c>
      <c r="D39" s="386">
        <v>100</v>
      </c>
      <c r="E39" s="411" t="s">
        <v>3574</v>
      </c>
      <c r="F39" s="412">
        <f>SUMIF(115:115,E39,116:116)-SUMIF(115:115,C39,116:116)+100</f>
        <v>100</v>
      </c>
      <c r="G39" s="411" t="s">
        <v>3574</v>
      </c>
      <c r="H39" s="386">
        <f>SUMIF(115:115,G39,116:116)-SUMIF(115:115,C39,116:116)+100</f>
        <v>100</v>
      </c>
      <c r="I39" s="411" t="s">
        <v>3574</v>
      </c>
      <c r="J39" s="386">
        <f>SUMIF(115:115,I39,116:116)-SUMIF(115:115,C39,116:116)+100</f>
        <v>100</v>
      </c>
      <c r="K39" s="561">
        <v>1</v>
      </c>
      <c r="L39" s="2722"/>
      <c r="M39" s="2716"/>
      <c r="N39" s="2716"/>
      <c r="O39" s="2716"/>
      <c r="P39" s="3752" t="s">
        <v>1696</v>
      </c>
      <c r="Q39" s="1352" t="str">
        <f t="shared" si="11"/>
        <v>物业管理</v>
      </c>
      <c r="R39" s="705" t="s">
        <v>14</v>
      </c>
      <c r="S39" s="706">
        <f t="shared" si="12"/>
        <v>100</v>
      </c>
      <c r="T39" s="705" t="s">
        <v>14</v>
      </c>
      <c r="U39" s="706">
        <f t="shared" si="13"/>
        <v>100</v>
      </c>
      <c r="V39" s="705" t="s">
        <v>14</v>
      </c>
      <c r="W39" s="706">
        <f t="shared" si="14"/>
        <v>100</v>
      </c>
      <c r="X39" s="1355"/>
      <c r="Y39" s="3754" t="s">
        <v>1696</v>
      </c>
      <c r="Z39" s="1356" t="str">
        <f t="shared" si="15"/>
        <v>物业管理</v>
      </c>
      <c r="AA39" s="1353">
        <f t="shared" si="3"/>
        <v>1</v>
      </c>
      <c r="AB39" s="1353">
        <f t="shared" si="4"/>
        <v>1</v>
      </c>
      <c r="AC39" s="1962">
        <f t="shared" si="5"/>
        <v>1</v>
      </c>
    </row>
    <row r="40" spans="1:29" ht="15">
      <c r="A40" s="423"/>
      <c r="B40" s="375" t="s">
        <v>1787</v>
      </c>
      <c r="C40" s="411" t="s">
        <v>3576</v>
      </c>
      <c r="D40" s="386">
        <v>100</v>
      </c>
      <c r="E40" s="411" t="s">
        <v>3576</v>
      </c>
      <c r="F40" s="412">
        <f>SUMIF(117:117,E40,118:118)-SUMIF(117:117,C40,118:118)+100</f>
        <v>100</v>
      </c>
      <c r="G40" s="411" t="s">
        <v>3576</v>
      </c>
      <c r="H40" s="386">
        <f>SUMIF(117:117,G40,118:118)-SUMIF(117:117,C40,118:118)+100</f>
        <v>100</v>
      </c>
      <c r="I40" s="411" t="s">
        <v>3576</v>
      </c>
      <c r="J40" s="386">
        <f>SUMIF(117:117,I40,118:118)-SUMIF(117:117,C40,118:118)+100</f>
        <v>100</v>
      </c>
      <c r="K40" s="561">
        <v>1</v>
      </c>
      <c r="L40" s="2722"/>
      <c r="M40" s="2716"/>
      <c r="N40" s="2716"/>
      <c r="O40" s="2716"/>
      <c r="P40" s="3752"/>
      <c r="Q40" s="1352" t="str">
        <f t="shared" si="11"/>
        <v>市政基础设施</v>
      </c>
      <c r="R40" s="705" t="s">
        <v>14</v>
      </c>
      <c r="S40" s="706">
        <f t="shared" si="12"/>
        <v>100</v>
      </c>
      <c r="T40" s="705" t="s">
        <v>14</v>
      </c>
      <c r="U40" s="706">
        <f t="shared" si="13"/>
        <v>100</v>
      </c>
      <c r="V40" s="705" t="s">
        <v>14</v>
      </c>
      <c r="W40" s="706">
        <f t="shared" si="14"/>
        <v>100</v>
      </c>
      <c r="X40" s="1355"/>
      <c r="Y40" s="3754"/>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2"/>
      <c r="Q41" s="1352" t="str">
        <f t="shared" si="11"/>
        <v>层高</v>
      </c>
      <c r="R41" s="705" t="s">
        <v>14</v>
      </c>
      <c r="S41" s="706">
        <f t="shared" si="12"/>
        <v>100</v>
      </c>
      <c r="T41" s="705" t="s">
        <v>14</v>
      </c>
      <c r="U41" s="706">
        <f t="shared" si="13"/>
        <v>100</v>
      </c>
      <c r="V41" s="705" t="s">
        <v>14</v>
      </c>
      <c r="W41" s="706">
        <f t="shared" si="14"/>
        <v>100</v>
      </c>
      <c r="X41" s="1355"/>
      <c r="Y41" s="3754"/>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1353">
        <f t="shared" si="3"/>
        <v>1</v>
      </c>
      <c r="AB42" s="1353">
        <f t="shared" si="4"/>
        <v>1</v>
      </c>
      <c r="AC42" s="1962">
        <f t="shared" si="5"/>
        <v>1</v>
      </c>
    </row>
    <row r="43" spans="1:29" ht="15">
      <c r="A43" s="423"/>
      <c r="B43" s="375" t="s">
        <v>1792</v>
      </c>
      <c r="C43" s="411" t="s">
        <v>3578</v>
      </c>
      <c r="D43" s="386">
        <v>100</v>
      </c>
      <c r="E43" s="411" t="s">
        <v>3578</v>
      </c>
      <c r="F43" s="412">
        <f>SUMIF(123:123,E43,124:124)-SUMIF(123:123,C43,124:124)+100</f>
        <v>100</v>
      </c>
      <c r="G43" s="411" t="s">
        <v>3578</v>
      </c>
      <c r="H43" s="386">
        <f>SUMIF(123:123,G43,124:124)-SUMIF(123:123,C43,124:124)+100</f>
        <v>100</v>
      </c>
      <c r="I43" s="411" t="s">
        <v>3578</v>
      </c>
      <c r="J43" s="386">
        <f>SUMIF(123:123,I43,124:124)-SUMIF(123:123,C43,124:124)+100</f>
        <v>100</v>
      </c>
      <c r="K43" s="561">
        <v>1</v>
      </c>
      <c r="L43" s="2722"/>
      <c r="M43" s="2716"/>
      <c r="N43" s="2716"/>
      <c r="O43" s="2716"/>
      <c r="P43" s="3752"/>
      <c r="Q43" s="1352" t="str">
        <f t="shared" si="11"/>
        <v>内部装修</v>
      </c>
      <c r="R43" s="705" t="s">
        <v>14</v>
      </c>
      <c r="S43" s="706">
        <f t="shared" si="12"/>
        <v>100</v>
      </c>
      <c r="T43" s="705" t="s">
        <v>14</v>
      </c>
      <c r="U43" s="706">
        <f t="shared" si="13"/>
        <v>100</v>
      </c>
      <c r="V43" s="705" t="s">
        <v>14</v>
      </c>
      <c r="W43" s="706">
        <f t="shared" si="14"/>
        <v>100</v>
      </c>
      <c r="X43" s="1355"/>
      <c r="Y43" s="3754"/>
      <c r="Z43" s="1356" t="str">
        <f t="shared" si="15"/>
        <v>内部装修</v>
      </c>
      <c r="AA43" s="1353">
        <f t="shared" si="3"/>
        <v>1</v>
      </c>
      <c r="AB43" s="1353">
        <f t="shared" si="4"/>
        <v>1</v>
      </c>
      <c r="AC43" s="1962">
        <f t="shared" si="5"/>
        <v>1</v>
      </c>
    </row>
    <row r="44" spans="1:29" ht="15.75" thickBot="1">
      <c r="A44" s="423"/>
      <c r="B44" s="375" t="s">
        <v>1707</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1</v>
      </c>
      <c r="L44" s="2722"/>
      <c r="M44" s="2716"/>
      <c r="N44" s="2716"/>
      <c r="O44" s="2716"/>
      <c r="P44" s="3752"/>
      <c r="Q44" s="1352" t="str">
        <f t="shared" si="11"/>
        <v>内部装修维护情况</v>
      </c>
      <c r="R44" s="705" t="s">
        <v>14</v>
      </c>
      <c r="S44" s="706">
        <f t="shared" si="12"/>
        <v>100</v>
      </c>
      <c r="T44" s="705" t="s">
        <v>14</v>
      </c>
      <c r="U44" s="706">
        <f t="shared" si="13"/>
        <v>100</v>
      </c>
      <c r="V44" s="705" t="s">
        <v>14</v>
      </c>
      <c r="W44" s="706">
        <f t="shared" si="14"/>
        <v>100</v>
      </c>
      <c r="X44" s="1355"/>
      <c r="Y44" s="375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2"/>
      <c r="Q45" s="1343">
        <f t="shared" si="11"/>
        <v>111</v>
      </c>
      <c r="R45" s="701" t="s">
        <v>14</v>
      </c>
      <c r="S45" s="702">
        <f t="shared" si="12"/>
        <v>100</v>
      </c>
      <c r="T45" s="701" t="s">
        <v>14</v>
      </c>
      <c r="U45" s="702">
        <f t="shared" si="13"/>
        <v>100</v>
      </c>
      <c r="V45" s="701" t="s">
        <v>14</v>
      </c>
      <c r="W45" s="702">
        <f t="shared" si="14"/>
        <v>100</v>
      </c>
      <c r="X45" s="703"/>
      <c r="Y45" s="375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2"/>
      <c r="Q46" s="1352">
        <f t="shared" si="11"/>
        <v>111</v>
      </c>
      <c r="R46" s="705" t="s">
        <v>14</v>
      </c>
      <c r="S46" s="706">
        <f t="shared" si="12"/>
        <v>100</v>
      </c>
      <c r="T46" s="705" t="s">
        <v>14</v>
      </c>
      <c r="U46" s="706">
        <f t="shared" si="13"/>
        <v>100</v>
      </c>
      <c r="V46" s="705" t="s">
        <v>14</v>
      </c>
      <c r="W46" s="706">
        <f t="shared" si="14"/>
        <v>100</v>
      </c>
      <c r="X46" s="1355"/>
      <c r="Y46" s="375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3"/>
      <c r="Q47" s="1352">
        <f t="shared" si="11"/>
        <v>111</v>
      </c>
      <c r="R47" s="705" t="s">
        <v>14</v>
      </c>
      <c r="S47" s="706">
        <f t="shared" si="12"/>
        <v>100</v>
      </c>
      <c r="T47" s="705" t="s">
        <v>14</v>
      </c>
      <c r="U47" s="706">
        <f t="shared" si="13"/>
        <v>100</v>
      </c>
      <c r="V47" s="705" t="s">
        <v>14</v>
      </c>
      <c r="W47" s="706">
        <f t="shared" si="14"/>
        <v>100</v>
      </c>
      <c r="X47" s="1355"/>
      <c r="Y47" s="3755"/>
      <c r="Z47" s="1356">
        <f t="shared" si="15"/>
        <v>111</v>
      </c>
      <c r="AA47" s="1353">
        <f t="shared" si="3"/>
        <v>1</v>
      </c>
      <c r="AB47" s="1353">
        <f t="shared" si="4"/>
        <v>1</v>
      </c>
      <c r="AC47" s="1962">
        <f t="shared" si="5"/>
        <v>1</v>
      </c>
    </row>
    <row r="48" spans="1:29" ht="15">
      <c r="A48" s="430" t="s">
        <v>1708</v>
      </c>
      <c r="B48" s="431"/>
      <c r="C48" s="1154" t="s">
        <v>0</v>
      </c>
      <c r="D48" s="1155"/>
      <c r="E48" s="1156">
        <v>49741</v>
      </c>
      <c r="F48" s="1157"/>
      <c r="G48" s="1158">
        <v>44665</v>
      </c>
      <c r="H48" s="1159"/>
      <c r="I48" s="1156">
        <v>41447</v>
      </c>
      <c r="J48" s="436"/>
      <c r="K48" s="714"/>
      <c r="L48" s="2724"/>
      <c r="M48" s="2716"/>
      <c r="N48" s="2716"/>
      <c r="O48" s="2716"/>
      <c r="P48" s="3741" t="str">
        <f>A48</f>
        <v>成交单价（元/平方米）</v>
      </c>
      <c r="Q48" s="3742"/>
      <c r="R48" s="3743">
        <f>E48</f>
        <v>49741</v>
      </c>
      <c r="S48" s="3743"/>
      <c r="T48" s="3743">
        <f>G48</f>
        <v>44665</v>
      </c>
      <c r="U48" s="3743"/>
      <c r="V48" s="3743">
        <f>I48</f>
        <v>41447</v>
      </c>
      <c r="W48" s="3743"/>
      <c r="X48" s="397"/>
      <c r="Y48" s="712"/>
      <c r="Z48" s="397"/>
      <c r="AA48" s="397"/>
      <c r="AB48" s="397"/>
      <c r="AC48" s="578"/>
    </row>
    <row r="49" spans="1:29" ht="15.75" thickBot="1">
      <c r="A49" s="437" t="s">
        <v>1793</v>
      </c>
      <c r="B49" s="438"/>
      <c r="C49" s="1160">
        <f>R50</f>
        <v>41485</v>
      </c>
      <c r="D49" s="2317" t="s">
        <v>2138</v>
      </c>
      <c r="E49" s="1161">
        <f>R49</f>
        <v>45108</v>
      </c>
      <c r="F49" s="2318"/>
      <c r="G49" s="1160">
        <f>T49</f>
        <v>42171</v>
      </c>
      <c r="H49" s="2318"/>
      <c r="I49" s="1161">
        <f>V49</f>
        <v>37175</v>
      </c>
      <c r="J49" s="2318"/>
      <c r="K49" s="2320">
        <f>F49+H49+J49</f>
        <v>0</v>
      </c>
      <c r="L49" s="2724"/>
      <c r="M49" s="2716"/>
      <c r="N49" s="2716"/>
      <c r="O49" s="2716"/>
      <c r="P49" s="3741" t="str">
        <f>A49</f>
        <v>比较价值（元/平方米）</v>
      </c>
      <c r="Q49" s="3742"/>
      <c r="R49" s="3743">
        <f>IF(F1="售价",ROUND(PRODUCT(R48,AA7:AA47),0),ROUND(PRODUCT(R48,AA7:AA47),1))</f>
        <v>45108</v>
      </c>
      <c r="S49" s="3743"/>
      <c r="T49" s="3743">
        <f>IF(F1="售价",ROUND(PRODUCT(T48,AB7:AB47),0),ROUND(PRODUCT(T48,AB7:AB47),1))</f>
        <v>42171</v>
      </c>
      <c r="U49" s="3743"/>
      <c r="V49" s="3743">
        <f>IF(F1="售价",ROUND(PRODUCT(V48,AC7:AC47),0),ROUND(PRODUCT(V48,AC7:AC47),1))</f>
        <v>37175</v>
      </c>
      <c r="W49" s="3743"/>
      <c r="X49" s="397"/>
      <c r="Y49" s="397"/>
      <c r="Z49" s="397"/>
      <c r="AA49" s="397"/>
      <c r="AB49" s="397"/>
      <c r="AC49" s="578"/>
    </row>
    <row r="50" spans="1:29" ht="15.75" thickBot="1">
      <c r="A50" s="441" t="s">
        <v>1794</v>
      </c>
      <c r="B50" s="442"/>
      <c r="C50" s="1163">
        <f>R50</f>
        <v>41485</v>
      </c>
      <c r="D50" s="1163"/>
      <c r="E50" s="1163"/>
      <c r="F50" s="1163"/>
      <c r="G50" s="1163"/>
      <c r="H50" s="1163"/>
      <c r="I50" s="1163"/>
      <c r="J50" s="443"/>
      <c r="K50" s="715"/>
      <c r="L50" s="2724"/>
      <c r="M50" s="2716"/>
      <c r="N50" s="2716"/>
      <c r="O50" s="2716"/>
      <c r="P50" s="3744" t="str">
        <f>A50</f>
        <v>估价对象XX用房的比较价值（楼面单价，元/平方米）</v>
      </c>
      <c r="Q50" s="3745"/>
      <c r="R50" s="3746">
        <f>IF(F1="售价",ROUND(IF(D49="简单平均",AVERAGE(R49:V49),R49*F49+T49*H49+V49*J49),0),ROUND(IF(D49="简单平均",AVERAGE(R49:V49),R49*F49+T49*H49+V49*J49),1))</f>
        <v>41485</v>
      </c>
      <c r="S50" s="3746"/>
      <c r="T50" s="3746"/>
      <c r="U50" s="3746"/>
      <c r="V50" s="3746"/>
      <c r="W50" s="3746"/>
      <c r="X50" s="1946"/>
      <c r="Y50" s="1946"/>
      <c r="Z50" s="1946"/>
      <c r="AA50" s="1946"/>
      <c r="AB50" s="1946"/>
      <c r="AC50" s="1947"/>
    </row>
    <row r="51" spans="1:29">
      <c r="A51" s="2725"/>
      <c r="B51" s="2725"/>
      <c r="C51" s="2725"/>
      <c r="D51" s="2725"/>
      <c r="E51" s="2725">
        <v>49700</v>
      </c>
      <c r="F51" s="2725"/>
      <c r="G51" s="2729">
        <v>440</v>
      </c>
      <c r="H51" s="2725"/>
      <c r="I51" s="2725">
        <v>41400</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0.10270905382637219</v>
      </c>
      <c r="F53" s="449" t="str">
        <f>IF(OR(E53&gt;=0.3,E53&lt;=-0.3),"超过30%","")</f>
        <v/>
      </c>
      <c r="G53" s="448">
        <f>IF(G48&lt;G49,G49/G48-1,G48/G49-1)</f>
        <v>5.9140167413625377E-2</v>
      </c>
      <c r="H53" s="449" t="str">
        <f>IF(OR(G53&gt;=0.3,G53&lt;=-0.3),"超过30%","")</f>
        <v/>
      </c>
      <c r="I53" s="448">
        <f>IF(I48&lt;I49,I49/I48-1,I48/I49-1)</f>
        <v>0.11491593813046408</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6.9645016717649666E-2</v>
      </c>
      <c r="F54" s="449" t="str">
        <f>IF(OR(E54&gt;=0.2,E54&lt;=-0.2),"超过20%","")</f>
        <v/>
      </c>
      <c r="G54" s="448">
        <f>IF(G49&lt;I49,I49/G49-1,G49/I49-1)</f>
        <v>0.13439139206455941</v>
      </c>
      <c r="H54" s="449" t="str">
        <f>IF(OR(G54&gt;=0.2,G54&lt;=-0.2),"超过20%","")</f>
        <v/>
      </c>
      <c r="I54" s="448">
        <f>IF(I49&lt;E49,E49/I49-1,I49/E49-1)</f>
        <v>0.21339609952925342</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0.11364603156834208</v>
      </c>
      <c r="F55" s="449" t="str">
        <f>IF(OR(E55&gt;=0.3,E55&lt;=-0.3),"超过30%","")</f>
        <v/>
      </c>
      <c r="G55" s="448">
        <f>IF(G48&lt;I48,I48/G48-1,G48/I48-1)</f>
        <v>7.7641325065746614E-2</v>
      </c>
      <c r="H55" s="449" t="str">
        <f>IF(OR(G55&gt;=0.3,G55&lt;=-0.3),"超过30%","")</f>
        <v/>
      </c>
      <c r="I55" s="448">
        <f>IF(I48&lt;E48,E48/I48-1,I48/E48-1)</f>
        <v>0.20011098511351855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t="s">
        <v>3556</v>
      </c>
      <c r="Q59" s="2741" t="s">
        <v>3557</v>
      </c>
      <c r="R59" s="2741" t="s">
        <v>3558</v>
      </c>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1183">
        <v>100</v>
      </c>
      <c r="Q60" s="1183">
        <v>100</v>
      </c>
      <c r="R60" s="1183">
        <v>100</v>
      </c>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商业（酒店）</v>
      </c>
      <c r="D64" s="3532" t="s">
        <v>3554</v>
      </c>
      <c r="E64" s="3532" t="s">
        <v>3560</v>
      </c>
      <c r="F64" s="3532" t="s">
        <v>3694</v>
      </c>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104</v>
      </c>
      <c r="E65" s="485">
        <v>102</v>
      </c>
      <c r="F65" s="485">
        <v>100</v>
      </c>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t="str">
        <f>B12</f>
        <v>地下占比</v>
      </c>
      <c r="C71" s="3550">
        <f>C12</f>
        <v>0.44700000000000001</v>
      </c>
      <c r="D71" s="3550">
        <f>E12</f>
        <v>0.23499999999999999</v>
      </c>
      <c r="E71" s="3550">
        <f>G12</f>
        <v>0.247</v>
      </c>
      <c r="F71" s="3551">
        <f>I12</f>
        <v>0.30299999999999999</v>
      </c>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v>100</v>
      </c>
      <c r="D72" s="485">
        <v>106</v>
      </c>
      <c r="E72" s="485">
        <v>106</v>
      </c>
      <c r="F72" s="485">
        <v>103</v>
      </c>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534" t="s">
        <v>3568</v>
      </c>
      <c r="D87" s="3534" t="s">
        <v>3565</v>
      </c>
      <c r="E87" s="3534" t="s">
        <v>3567</v>
      </c>
      <c r="F87" s="3534" t="s">
        <v>3563</v>
      </c>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532" t="s">
        <v>3584</v>
      </c>
      <c r="D101" s="3532" t="s">
        <v>3570</v>
      </c>
      <c r="E101" s="3532" t="s">
        <v>3582</v>
      </c>
      <c r="F101" s="3532"/>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0(含)-20000</v>
      </c>
      <c r="D103" s="527" t="str">
        <f>D104&amp;"(含)"&amp;"-"&amp;E104</f>
        <v>20000(含)-40000</v>
      </c>
      <c r="E103" s="527" t="str">
        <f>E104&amp;"(含)"&amp;"-"&amp;F104</f>
        <v>40000(含)-60000</v>
      </c>
      <c r="F103" s="527" t="str">
        <f>F104&amp;"(含)"&amp;"-"&amp;G104</f>
        <v>60000(含)-80000</v>
      </c>
      <c r="G103" s="527" t="str">
        <f>G104&amp;"(含)"&amp;"-"&amp;H104</f>
        <v>80000(含)-100000</v>
      </c>
      <c r="H103" s="527" t="str">
        <f>H104&amp;"(含)"&amp;"-"&amp;I104</f>
        <v>100000(含)-150000</v>
      </c>
      <c r="I103" s="527" t="str">
        <f>I104&amp;"(含)"&amp;"-"&amp;J104</f>
        <v>150000(含)-</v>
      </c>
      <c r="J103" s="527" t="str">
        <f>J104&amp;"(含)"&amp;"-"&amp;K104</f>
        <v>(含)-</v>
      </c>
      <c r="K103" s="527" t="str">
        <f t="shared" ref="K103:L103" si="23">K104&amp;"(含)"&amp;"-"&amp;L104</f>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20000</v>
      </c>
      <c r="E104" s="544">
        <v>40000</v>
      </c>
      <c r="F104" s="544">
        <v>60000</v>
      </c>
      <c r="G104" s="544">
        <v>80000</v>
      </c>
      <c r="H104" s="544">
        <v>100000</v>
      </c>
      <c r="I104" s="544">
        <v>150000</v>
      </c>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v>96</v>
      </c>
      <c r="H105" s="485">
        <v>95</v>
      </c>
      <c r="I105" s="485">
        <v>94</v>
      </c>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34" t="s">
        <v>3571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34" t="s">
        <v>3573</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34" t="s">
        <v>3575</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534" t="s">
        <v>3577</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534" t="s">
        <v>3579</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34" sqref="D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3416</v>
      </c>
      <c r="D1" s="1362" t="s">
        <v>43</v>
      </c>
      <c r="E1" s="1363" t="s">
        <v>678</v>
      </c>
      <c r="F1" s="1062">
        <f ca="1">J53</f>
        <v>25.63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78647</v>
      </c>
      <c r="C2" s="1387" t="s">
        <v>805</v>
      </c>
      <c r="D2" s="1387"/>
      <c r="E2" s="1388"/>
      <c r="F2" s="1389"/>
      <c r="G2" s="2706"/>
      <c r="H2" s="2695"/>
      <c r="I2" s="2695"/>
      <c r="J2" s="2695"/>
      <c r="K2" s="2696"/>
      <c r="L2" s="2695"/>
      <c r="M2" s="2695"/>
    </row>
    <row r="3" spans="1:37" ht="18" customHeight="1" thickBot="1">
      <c r="A3" s="1390" t="s">
        <v>806</v>
      </c>
      <c r="B3" s="1391">
        <f ca="1">IF(ISERROR(B2*10000/F43),0,ROUND(B2*10000/F43,0))</f>
        <v>25091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6200</v>
      </c>
      <c r="D5" s="1364" t="s">
        <v>693</v>
      </c>
      <c r="E5" s="1071"/>
      <c r="F5" s="1072"/>
      <c r="G5" s="1384"/>
      <c r="H5" s="299">
        <v>1</v>
      </c>
      <c r="I5" s="300" t="s">
        <v>692</v>
      </c>
      <c r="J5" s="1070">
        <f ca="1">J6+J10+J12</f>
        <v>11291</v>
      </c>
      <c r="K5" s="1364" t="s">
        <v>693</v>
      </c>
      <c r="L5" s="1071"/>
      <c r="M5" s="1072"/>
    </row>
    <row r="6" spans="1:37" ht="18" customHeight="1">
      <c r="A6" s="1069" t="s">
        <v>398</v>
      </c>
      <c r="B6" s="3795" t="s">
        <v>694</v>
      </c>
      <c r="C6" s="1074">
        <f ca="1">ROUND(F6*F8*F7*(1-F9)/10000,0)</f>
        <v>6178</v>
      </c>
      <c r="D6" s="155" t="s">
        <v>2109</v>
      </c>
      <c r="E6" s="302" t="s">
        <v>696</v>
      </c>
      <c r="F6" s="303">
        <f ca="1">INDIRECT("'数据-取费表'!u"&amp;$G$1)</f>
        <v>5.4</v>
      </c>
      <c r="G6" s="1384"/>
      <c r="H6" s="1069" t="s">
        <v>398</v>
      </c>
      <c r="I6" s="3795" t="s">
        <v>694</v>
      </c>
      <c r="J6" s="301">
        <f ca="1">ROUND(M6*M8*M7*(1-M9)/10000,0)</f>
        <v>11249</v>
      </c>
      <c r="K6" s="155" t="s">
        <v>2108</v>
      </c>
      <c r="L6" s="302" t="s">
        <v>696</v>
      </c>
      <c r="M6" s="303">
        <f ca="1">INDIRECT("'数据-取费表'!z"&amp;$G$1)</f>
        <v>10.35</v>
      </c>
    </row>
    <row r="7" spans="1:37" ht="18" customHeight="1">
      <c r="A7" s="1073"/>
      <c r="B7" s="3796"/>
      <c r="C7" s="1075"/>
      <c r="D7" s="307"/>
      <c r="E7" s="1076" t="s">
        <v>697</v>
      </c>
      <c r="F7" s="303">
        <f ca="1">IF(INDIRECT("'数据-取费表'!ah"&amp;$G$1)="",INDIRECT("'数据-取费表'!k"&amp;$G$1),INDIRECT("'数据-取费表'!ah"&amp;$G$1))</f>
        <v>31345.27</v>
      </c>
      <c r="G7" s="1384"/>
      <c r="H7" s="304"/>
      <c r="I7" s="3796"/>
      <c r="J7" s="306"/>
      <c r="K7" s="307"/>
      <c r="L7" s="302" t="s">
        <v>697</v>
      </c>
      <c r="M7" s="303">
        <f ca="1">F7</f>
        <v>31345.27</v>
      </c>
    </row>
    <row r="8" spans="1:37" ht="18" customHeight="1">
      <c r="A8" s="304"/>
      <c r="B8" s="3796"/>
      <c r="C8" s="306"/>
      <c r="D8" s="307"/>
      <c r="E8" s="302" t="s">
        <v>698</v>
      </c>
      <c r="F8" s="303">
        <f ca="1">INDIRECT("'数据-取费表'!ai"&amp;$G$1)</f>
        <v>365</v>
      </c>
      <c r="G8" s="1384"/>
      <c r="H8" s="304"/>
      <c r="I8" s="3796"/>
      <c r="J8" s="306"/>
      <c r="K8" s="307"/>
      <c r="L8" s="302" t="s">
        <v>698</v>
      </c>
      <c r="M8" s="303">
        <f ca="1">INDIRECT("'数据-取费表'!ai"&amp;$G$1)</f>
        <v>365</v>
      </c>
    </row>
    <row r="9" spans="1:37" ht="18" customHeight="1">
      <c r="A9" s="304"/>
      <c r="B9" s="3797"/>
      <c r="C9" s="306"/>
      <c r="D9" s="307"/>
      <c r="E9" s="302" t="s">
        <v>699</v>
      </c>
      <c r="F9" s="312">
        <f ca="1">INDIRECT("'数据-取费表'!w"&amp;$G$1)</f>
        <v>0</v>
      </c>
      <c r="G9" s="1384"/>
      <c r="H9" s="304"/>
      <c r="I9" s="3797"/>
      <c r="J9" s="306"/>
      <c r="K9" s="307"/>
      <c r="L9" s="313" t="s">
        <v>699</v>
      </c>
      <c r="M9" s="314">
        <f ca="1">INDIRECT("'数据-取费表'!ab"&amp;$G$1)</f>
        <v>0.05</v>
      </c>
    </row>
    <row r="10" spans="1:37" ht="18" customHeight="1">
      <c r="A10" s="1069" t="s">
        <v>402</v>
      </c>
      <c r="B10" s="1365" t="s">
        <v>700</v>
      </c>
      <c r="C10" s="316">
        <f ca="1">ROUND(IF(F10="押一",C6/12*F11,IF(F10="押二",C6/12*2*F11,IF(F10="押三",C6/12*3*F11,C11*F11))),0)</f>
        <v>22</v>
      </c>
      <c r="D10" s="1366" t="s">
        <v>2117</v>
      </c>
      <c r="E10" s="313" t="s">
        <v>701</v>
      </c>
      <c r="F10" s="1116" t="s">
        <v>3407</v>
      </c>
      <c r="G10" s="1384"/>
      <c r="H10" s="1069" t="s">
        <v>402</v>
      </c>
      <c r="I10" s="1365" t="s">
        <v>700</v>
      </c>
      <c r="J10" s="301">
        <f ca="1">ROUND(IF(M10="押一",J6/12*M11,IF(M10="押二",J6/12*2*M11,IF(M10="押三",J6/12*3*M11,J11*M11))),0)</f>
        <v>42</v>
      </c>
      <c r="K10" s="1366" t="s">
        <v>2116</v>
      </c>
      <c r="L10" s="313" t="s">
        <v>701</v>
      </c>
      <c r="M10" s="1116" t="s">
        <v>3690</v>
      </c>
    </row>
    <row r="11" spans="1:37" ht="18" customHeight="1">
      <c r="A11" s="308"/>
      <c r="B11" s="1367" t="s">
        <v>679</v>
      </c>
      <c r="C11" s="959">
        <v>1476.3186000000001</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15778</v>
      </c>
      <c r="D13" s="1081" t="s">
        <v>705</v>
      </c>
      <c r="E13" s="1081" t="s">
        <v>706</v>
      </c>
      <c r="F13" s="1082">
        <f ca="1">INDIRECT("'数据-取费表'!y"&amp;$G$1)</f>
        <v>0.83</v>
      </c>
      <c r="G13" s="1384"/>
      <c r="H13" s="1079">
        <v>2</v>
      </c>
      <c r="I13" s="1080" t="s">
        <v>704</v>
      </c>
      <c r="J13" s="1068">
        <f ca="1">ROUND(J14*J15,0)</f>
        <v>12357</v>
      </c>
      <c r="K13" s="1087" t="s">
        <v>705</v>
      </c>
      <c r="L13" s="1392"/>
      <c r="M13" s="1393"/>
    </row>
    <row r="14" spans="1:37" ht="18" customHeight="1">
      <c r="A14" s="982" t="s">
        <v>397</v>
      </c>
      <c r="B14" s="302" t="s">
        <v>707</v>
      </c>
      <c r="C14" s="318">
        <f ca="1">INDIRECT("'数据-取费表'!m"&amp;$G$1)+INDIRECT("'数据-取费表'!t"&amp;$G$1)</f>
        <v>12638</v>
      </c>
      <c r="D14" s="1345" t="s">
        <v>708</v>
      </c>
      <c r="E14" s="1342"/>
      <c r="F14" s="319"/>
      <c r="G14" s="1384"/>
      <c r="H14" s="982" t="s">
        <v>398</v>
      </c>
      <c r="I14" s="302" t="s">
        <v>709</v>
      </c>
      <c r="J14" s="21">
        <f ca="1">C29</f>
        <v>19010</v>
      </c>
      <c r="K14" s="12"/>
      <c r="L14" s="807"/>
      <c r="M14" s="808"/>
    </row>
    <row r="15" spans="1:37" s="1397" customFormat="1" ht="18" customHeight="1" thickBot="1">
      <c r="A15" s="982" t="s">
        <v>399</v>
      </c>
      <c r="B15" s="302" t="s">
        <v>710</v>
      </c>
      <c r="C15" s="21">
        <f ca="1">ROUND(C14*F15,0)</f>
        <v>379</v>
      </c>
      <c r="D15" s="320" t="s">
        <v>711</v>
      </c>
      <c r="E15" s="320" t="s">
        <v>712</v>
      </c>
      <c r="F15" s="321">
        <f>'数据-取费表'!B33</f>
        <v>0.03</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2368</v>
      </c>
      <c r="K16" s="1087" t="s">
        <v>715</v>
      </c>
      <c r="L16" s="1088"/>
      <c r="M16" s="1072"/>
    </row>
    <row r="17" spans="1:37" s="1397" customFormat="1" ht="18" customHeight="1">
      <c r="A17" s="982" t="s">
        <v>681</v>
      </c>
      <c r="B17" s="302" t="s">
        <v>716</v>
      </c>
      <c r="C17" s="21">
        <f ca="1">ROUND(F17*(F43+INDIRECT("'数据-取费表'!S"&amp;$G$1))/10000,0)</f>
        <v>633</v>
      </c>
      <c r="D17" s="302" t="s">
        <v>717</v>
      </c>
      <c r="E17" s="302" t="s">
        <v>718</v>
      </c>
      <c r="F17" s="23">
        <f>'数据-取费表'!B35</f>
        <v>200</v>
      </c>
      <c r="G17" s="1396"/>
      <c r="H17" s="982" t="s">
        <v>398</v>
      </c>
      <c r="I17" s="302" t="s">
        <v>719</v>
      </c>
      <c r="J17" s="2316">
        <f ca="1">ROUND(IF(AND(项目基本情况!B11="自然人",项目基本情况!B10="北京市"),J6*M17/(1+'数据-取费表'!C42),J18+J19+J20),2)</f>
        <v>1901.14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190</v>
      </c>
      <c r="D18" s="302" t="s">
        <v>711</v>
      </c>
      <c r="E18" s="302" t="s">
        <v>712</v>
      </c>
      <c r="F18" s="322">
        <f>'数据-取费表'!B36</f>
        <v>1.4999999999999999E-2</v>
      </c>
      <c r="G18" s="1396"/>
      <c r="H18" s="982" t="s">
        <v>397</v>
      </c>
      <c r="I18" s="302" t="s">
        <v>723</v>
      </c>
      <c r="J18" s="21">
        <f ca="1">ROUND(J6*M18/(1+'数据-取费表'!C42),2)</f>
        <v>599.95000000000005</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13840</v>
      </c>
      <c r="D19" s="131" t="s">
        <v>726</v>
      </c>
      <c r="E19" s="1360"/>
      <c r="F19" s="23"/>
      <c r="G19" s="1384"/>
      <c r="H19" s="982" t="s">
        <v>399</v>
      </c>
      <c r="I19" s="302" t="s">
        <v>727</v>
      </c>
      <c r="J19" s="21">
        <f ca="1">IF(K19="按租金收入计税",ROUND(J6*M19/(1+'数据-取费表'!C42),2),ROUND(C29*M19*0.7,2))</f>
        <v>1285.5999999999999</v>
      </c>
      <c r="K19" s="1370" t="s">
        <v>3343</v>
      </c>
      <c r="L19" s="302" t="s">
        <v>712</v>
      </c>
      <c r="M19" s="322">
        <f>IF(K19="按租金收入计税",'数据-取费表'!B51,'数据-取费表'!B50)</f>
        <v>0.12</v>
      </c>
    </row>
    <row r="20" spans="1:37" s="1397" customFormat="1" ht="18" customHeight="1">
      <c r="A20" s="982" t="s">
        <v>402</v>
      </c>
      <c r="B20" s="302" t="s">
        <v>728</v>
      </c>
      <c r="C20" s="21">
        <f ca="1">ROUND(C19*F20,0)</f>
        <v>277</v>
      </c>
      <c r="D20" s="323" t="s">
        <v>729</v>
      </c>
      <c r="E20" s="302" t="s">
        <v>712</v>
      </c>
      <c r="F20" s="322">
        <f>'数据-取费表'!B37</f>
        <v>0.02</v>
      </c>
      <c r="G20" s="1396"/>
      <c r="H20" s="982" t="s">
        <v>680</v>
      </c>
      <c r="I20" s="155" t="s">
        <v>730</v>
      </c>
      <c r="J20" s="22">
        <f ca="1">ROUND(M20*M21/10000,2)</f>
        <v>15.59</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5197.1899999999996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285.14999999999998</v>
      </c>
      <c r="K22" s="1344" t="s">
        <v>739</v>
      </c>
      <c r="L22" s="302" t="s">
        <v>712</v>
      </c>
      <c r="M22" s="328">
        <v>1.4999999999999999E-2</v>
      </c>
    </row>
    <row r="23" spans="1:37" s="1397" customFormat="1" ht="18" customHeight="1">
      <c r="A23" s="982" t="s">
        <v>397</v>
      </c>
      <c r="B23" s="302" t="s">
        <v>740</v>
      </c>
      <c r="C23" s="21">
        <f ca="1">IF('数据-取费表'!B22&lt;=1,ROUND(C19*F24*F23/2,0)+ROUND(C20*F24*F23/2,0),ROUND(C19*(POWER((1+F24),F23/2)-1),0)+ROUND(C20*(POWER((1+F24),F23/2)-1),0))</f>
        <v>585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12.36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169.37</v>
      </c>
      <c r="K24" s="1092" t="s">
        <v>748</v>
      </c>
      <c r="L24" s="1090" t="s">
        <v>744</v>
      </c>
      <c r="M24" s="1086">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8923</v>
      </c>
      <c r="K25" s="1095" t="s">
        <v>753</v>
      </c>
      <c r="L25" s="1096"/>
      <c r="M25" s="1097"/>
    </row>
    <row r="26" spans="1:37">
      <c r="A26" s="982" t="s">
        <v>397</v>
      </c>
      <c r="B26" s="302" t="s">
        <v>754</v>
      </c>
      <c r="C26" s="21">
        <f ca="1">ROUND((C19+C20)*F26,0)</f>
        <v>2823</v>
      </c>
      <c r="D26" s="323" t="s">
        <v>755</v>
      </c>
      <c r="E26" s="313" t="s">
        <v>756</v>
      </c>
      <c r="F26" s="312">
        <f ca="1">INDIRECT("'数据-取费表'!q"&amp;$G$1)</f>
        <v>0.2</v>
      </c>
      <c r="G26" s="1384"/>
      <c r="H26" s="299" t="s">
        <v>395</v>
      </c>
      <c r="I26" s="300" t="s">
        <v>757</v>
      </c>
      <c r="J26" s="301">
        <f ca="1">IF(J5&lt;&gt;0,ROUND(J25*(1-((1+M28)/(1+M26))^M27)/(M26-M28),0),0)</f>
        <v>52980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6.8000000000000007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19010</v>
      </c>
      <c r="D29" s="1092"/>
      <c r="E29" s="1090"/>
      <c r="F29" s="1093"/>
      <c r="G29" s="1396"/>
      <c r="H29" s="334" t="s">
        <v>396</v>
      </c>
      <c r="I29" s="335" t="s">
        <v>768</v>
      </c>
      <c r="J29" s="336">
        <f ca="1">ROUND(J26/(1+F40)^F41,0)</f>
        <v>19332</v>
      </c>
      <c r="K29" s="337" t="s">
        <v>769</v>
      </c>
      <c r="L29" s="338"/>
      <c r="M29" s="339">
        <f ca="1">INDIRECT("'数据-取费表'!k"&amp;$G$1)</f>
        <v>31345.27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1051.1400000000001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329.49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706.06</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15.59</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5197.1899999999996</v>
      </c>
      <c r="G35" s="1384"/>
      <c r="H35" s="2697"/>
      <c r="I35" s="1398"/>
      <c r="J35" s="1399"/>
      <c r="K35" s="2701"/>
      <c r="L35" s="2700"/>
      <c r="M35" s="2700"/>
    </row>
    <row r="36" spans="1:18" ht="18" customHeight="1">
      <c r="A36" s="1102" t="s">
        <v>402</v>
      </c>
      <c r="B36" s="302" t="s">
        <v>738</v>
      </c>
      <c r="C36" s="21">
        <f ca="1">ROUND(C29*F36,2)</f>
        <v>57.03</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15.78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5045</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58257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18586</v>
      </c>
      <c r="D43" s="337" t="s">
        <v>777</v>
      </c>
      <c r="E43" s="338" t="s">
        <v>778</v>
      </c>
      <c r="F43" s="339">
        <f ca="1">INDIRECT("'数据-取费表'!k"&amp;$G$1)</f>
        <v>31345.27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-59285</v>
      </c>
      <c r="D46" s="1406" t="str">
        <f>C2</f>
        <v>万元</v>
      </c>
      <c r="E46" s="1400"/>
      <c r="F46" s="1400"/>
      <c r="I46" s="1407" t="s">
        <v>810</v>
      </c>
      <c r="J46" s="1408"/>
      <c r="K46" s="1409"/>
      <c r="L46" s="1410">
        <f ca="1">IF(M47="住宅",0,IF(L48&gt;J51,L60,J60))</f>
        <v>1058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77589</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25.63</v>
      </c>
      <c r="O48" s="1418" t="s">
        <v>404</v>
      </c>
      <c r="P48" s="1419" t="s">
        <v>821</v>
      </c>
      <c r="Q48" s="1420">
        <f ca="1">J60</f>
        <v>1058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19010</v>
      </c>
      <c r="R49" s="1420" t="s">
        <v>818</v>
      </c>
    </row>
    <row r="50" spans="1:18" s="1384" customFormat="1" ht="13.5" thickBot="1">
      <c r="A50" s="976"/>
      <c r="B50" s="979"/>
      <c r="C50" s="1118"/>
      <c r="D50" s="953"/>
      <c r="E50" s="1056" t="s">
        <v>697</v>
      </c>
      <c r="F50" s="1057">
        <f ca="1">F7</f>
        <v>31345.27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69808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25.63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25.63</v>
      </c>
      <c r="K53" s="3793" t="s">
        <v>837</v>
      </c>
      <c r="L53" s="3794"/>
      <c r="O53" s="1418" t="s">
        <v>409</v>
      </c>
      <c r="P53" s="1419" t="s">
        <v>838</v>
      </c>
      <c r="Q53" s="1420">
        <f ca="1">Q47+Q48</f>
        <v>78647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15778</v>
      </c>
      <c r="D56" s="1447"/>
      <c r="E56" s="1448"/>
      <c r="F56" s="1440"/>
      <c r="I56" s="1449" t="s">
        <v>842</v>
      </c>
      <c r="J56" s="1450" t="s">
        <v>3589</v>
      </c>
      <c r="K56" s="1421" t="s">
        <v>843</v>
      </c>
      <c r="L56" s="1424" t="str">
        <f ca="1">IF(L48&lt;J51,"——",L48-J53)</f>
        <v>——</v>
      </c>
      <c r="O56" s="1418" t="s">
        <v>403</v>
      </c>
      <c r="P56" s="1419" t="s">
        <v>817</v>
      </c>
      <c r="Q56" s="1420">
        <f ca="1">C40+J29</f>
        <v>77589</v>
      </c>
      <c r="R56" s="1420" t="s">
        <v>818</v>
      </c>
    </row>
    <row r="57" spans="1:18" s="1384" customFormat="1" ht="24.75" thickBot="1">
      <c r="A57" s="1451"/>
      <c r="B57" s="950" t="s">
        <v>767</v>
      </c>
      <c r="C57" s="238">
        <f ca="1">C29</f>
        <v>19010</v>
      </c>
      <c r="D57" s="1452"/>
      <c r="E57" s="1453"/>
      <c r="F57" s="1454"/>
      <c r="I57" s="1455" t="s">
        <v>844</v>
      </c>
      <c r="J57" s="1456">
        <f ca="1">IF(OR(M47="住宅",J51&lt;L48,J56="是"),"——",J51-L48)</f>
        <v>22.37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15.59</v>
      </c>
      <c r="D62" s="965" t="s">
        <v>786</v>
      </c>
      <c r="E62" s="950" t="s">
        <v>787</v>
      </c>
      <c r="F62" s="325">
        <f t="shared" si="0"/>
        <v>30</v>
      </c>
      <c r="I62" s="1462" t="s">
        <v>858</v>
      </c>
      <c r="J62" s="1463" t="s">
        <v>859</v>
      </c>
      <c r="K62" s="1463" t="s">
        <v>860</v>
      </c>
      <c r="L62" s="1463" t="s">
        <v>861</v>
      </c>
      <c r="M62" s="1464" t="s">
        <v>862</v>
      </c>
      <c r="O62" s="1418" t="s">
        <v>409</v>
      </c>
      <c r="P62" s="1419" t="s">
        <v>863</v>
      </c>
      <c r="Q62" s="1420">
        <f ca="1">Q56+Q57</f>
        <v>77589</v>
      </c>
      <c r="R62" s="1420" t="s">
        <v>410</v>
      </c>
    </row>
    <row r="63" spans="1:18" s="1384" customFormat="1" ht="13.5" thickBot="1">
      <c r="A63" s="326"/>
      <c r="B63" s="956"/>
      <c r="C63" s="26"/>
      <c r="D63" s="966"/>
      <c r="E63" s="950" t="s">
        <v>788</v>
      </c>
      <c r="F63" s="303">
        <f t="shared" ca="1" si="0"/>
        <v>5197.1899999999996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57.03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15.78</v>
      </c>
      <c r="D65" s="964" t="s">
        <v>743</v>
      </c>
      <c r="E65" s="950" t="s">
        <v>744</v>
      </c>
      <c r="F65" s="330">
        <f t="shared" ca="1" si="0"/>
        <v>1E-3</v>
      </c>
      <c r="I65" s="1462" t="s">
        <v>867</v>
      </c>
      <c r="J65" s="1463">
        <v>40</v>
      </c>
      <c r="K65" s="1463">
        <v>30</v>
      </c>
      <c r="L65" s="1463">
        <v>50</v>
      </c>
      <c r="M65" s="1465">
        <v>0.02</v>
      </c>
      <c r="O65" s="1418" t="s">
        <v>403</v>
      </c>
      <c r="P65" s="1419" t="s">
        <v>868</v>
      </c>
      <c r="Q65" s="1420">
        <f ca="1">C40+J29</f>
        <v>77589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-89</v>
      </c>
      <c r="D67" s="963" t="s">
        <v>753</v>
      </c>
      <c r="E67" s="968"/>
      <c r="F67" s="969"/>
      <c r="O67" s="1428" t="s">
        <v>405</v>
      </c>
      <c r="P67" s="1419" t="s">
        <v>850</v>
      </c>
      <c r="Q67" s="1466">
        <f ca="1">L51</f>
        <v>69808</v>
      </c>
      <c r="R67" s="1420" t="s">
        <v>870</v>
      </c>
    </row>
    <row r="68" spans="1:18" s="1384" customFormat="1" ht="16.5" thickBot="1">
      <c r="A68" s="947" t="s">
        <v>395</v>
      </c>
      <c r="B68" s="948" t="s">
        <v>774</v>
      </c>
      <c r="C68" s="301">
        <f ca="1">ROUND(C67*(1-((1+F70)/(1+F68))^F69)/(F68-F70),0)</f>
        <v>-1028</v>
      </c>
      <c r="D68" s="965" t="s">
        <v>758</v>
      </c>
      <c r="E68" s="950" t="s">
        <v>759</v>
      </c>
      <c r="F68" s="312">
        <f ca="1">F40</f>
        <v>5.5E-2</v>
      </c>
      <c r="O68" s="1428" t="s">
        <v>406</v>
      </c>
      <c r="P68" s="1467" t="s">
        <v>871</v>
      </c>
      <c r="Q68" s="1420">
        <f ca="1">ROUND(Q69-Q70*Q71,0)</f>
        <v>3862</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5045</v>
      </c>
      <c r="R69" s="1420" t="s">
        <v>818</v>
      </c>
    </row>
    <row r="70" spans="1:18" s="1384" customFormat="1" ht="13.5" thickBot="1">
      <c r="A70" s="954"/>
      <c r="B70" s="955"/>
      <c r="C70" s="310"/>
      <c r="D70" s="966"/>
      <c r="E70" s="950" t="s">
        <v>766</v>
      </c>
      <c r="F70" s="1054"/>
      <c r="O70" s="1428" t="s">
        <v>412</v>
      </c>
      <c r="P70" s="1467" t="s">
        <v>873</v>
      </c>
      <c r="Q70" s="1420">
        <f ca="1">C13</f>
        <v>15778</v>
      </c>
      <c r="R70" s="1420" t="s">
        <v>818</v>
      </c>
    </row>
    <row r="71" spans="1:18" s="1384" customFormat="1" ht="13.5" thickBot="1">
      <c r="A71" s="971" t="s">
        <v>396</v>
      </c>
      <c r="B71" s="972" t="s">
        <v>776</v>
      </c>
      <c r="C71" s="336">
        <f ca="1">ROUND(C68*10000/F71,0)</f>
        <v>-328</v>
      </c>
      <c r="D71" s="973" t="s">
        <v>777</v>
      </c>
      <c r="E71" s="974" t="s">
        <v>778</v>
      </c>
      <c r="F71" s="339">
        <f ca="1">F43</f>
        <v>31345.27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1183</v>
      </c>
      <c r="D75" s="1384"/>
      <c r="E75" s="1384"/>
      <c r="F75" s="1384"/>
      <c r="K75" s="1402"/>
      <c r="L75" s="1384"/>
      <c r="O75" s="1418" t="s">
        <v>409</v>
      </c>
      <c r="P75" s="1419" t="s">
        <v>838</v>
      </c>
      <c r="Q75" s="1420">
        <f ca="1">Q65+Q66</f>
        <v>77589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0.76600000000000001</v>
      </c>
    </row>
    <row r="80" spans="1:18">
      <c r="B80" s="340" t="s">
        <v>800</v>
      </c>
      <c r="C80" s="274">
        <f ca="1">ROUND(C75/C39,3)</f>
        <v>0.23400000000000001</v>
      </c>
    </row>
    <row r="81" spans="2:3">
      <c r="B81" s="270" t="s">
        <v>801</v>
      </c>
      <c r="C81" s="238"/>
    </row>
    <row r="82" spans="2:3">
      <c r="B82" s="273" t="s">
        <v>802</v>
      </c>
      <c r="C82" s="275">
        <f ca="1">1-C83</f>
        <v>0.72899999999999998</v>
      </c>
    </row>
    <row r="83" spans="2:3">
      <c r="B83" s="273" t="s">
        <v>803</v>
      </c>
      <c r="C83" s="274">
        <f ca="1">ROUND(C13/C40,3)</f>
        <v>0.27100000000000002</v>
      </c>
    </row>
  </sheetData>
  <sheetProtection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3420</v>
      </c>
      <c r="D1" s="1362" t="s">
        <v>43</v>
      </c>
      <c r="E1" s="1363" t="s">
        <v>678</v>
      </c>
      <c r="F1" s="1062">
        <f ca="1">J53</f>
        <v>25.63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50150</v>
      </c>
      <c r="C2" s="1387" t="s">
        <v>805</v>
      </c>
      <c r="D2" s="1387"/>
      <c r="E2" s="1388"/>
      <c r="F2" s="1389"/>
      <c r="G2" s="2706"/>
      <c r="H2" s="2695"/>
      <c r="I2" s="2695"/>
      <c r="J2" s="2695"/>
      <c r="K2" s="2696"/>
      <c r="L2" s="2695"/>
      <c r="M2" s="2695"/>
    </row>
    <row r="3" spans="1:37" ht="18" customHeight="1" thickBot="1">
      <c r="A3" s="1390" t="s">
        <v>806</v>
      </c>
      <c r="B3" s="1391">
        <f ca="1">IF(ISERROR(B2*10000/F43),0,ROUND(B2*10000/F43,0))</f>
        <v>32467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3494</v>
      </c>
      <c r="D5" s="1364" t="s">
        <v>693</v>
      </c>
      <c r="E5" s="1071"/>
      <c r="F5" s="1072"/>
      <c r="G5" s="1384"/>
      <c r="H5" s="299">
        <v>1</v>
      </c>
      <c r="I5" s="300" t="s">
        <v>692</v>
      </c>
      <c r="J5" s="1070">
        <f ca="1">J6+J10+J12</f>
        <v>0</v>
      </c>
      <c r="K5" s="1364" t="s">
        <v>693</v>
      </c>
      <c r="L5" s="1071"/>
      <c r="M5" s="1072"/>
    </row>
    <row r="6" spans="1:37" ht="18" customHeight="1">
      <c r="A6" s="1069" t="s">
        <v>398</v>
      </c>
      <c r="B6" s="3795" t="s">
        <v>694</v>
      </c>
      <c r="C6" s="1074">
        <f ca="1">ROUND(F6*F8*F7*(1-F9)/10000,0)</f>
        <v>3481</v>
      </c>
      <c r="D6" s="155" t="s">
        <v>2109</v>
      </c>
      <c r="E6" s="302" t="s">
        <v>696</v>
      </c>
      <c r="F6" s="303">
        <f ca="1">INDIRECT("'数据-取费表'!u"&amp;$G$1)</f>
        <v>6.5</v>
      </c>
      <c r="G6" s="1384"/>
      <c r="H6" s="1069" t="s">
        <v>398</v>
      </c>
      <c r="I6" s="3795" t="s">
        <v>694</v>
      </c>
      <c r="J6" s="301">
        <f ca="1">ROUND(M6*M8*M7*(1-M9)/10000,0)</f>
        <v>0</v>
      </c>
      <c r="K6" s="155" t="s">
        <v>2108</v>
      </c>
      <c r="L6" s="302" t="s">
        <v>696</v>
      </c>
      <c r="M6" s="303">
        <f ca="1">INDIRECT("'数据-取费表'!z"&amp;$G$1)</f>
        <v>0</v>
      </c>
    </row>
    <row r="7" spans="1:37" ht="18" customHeight="1">
      <c r="A7" s="1073"/>
      <c r="B7" s="3796"/>
      <c r="C7" s="1075"/>
      <c r="D7" s="307"/>
      <c r="E7" s="3469" t="s">
        <v>697</v>
      </c>
      <c r="F7" s="303">
        <f ca="1">IF(INDIRECT("'数据-取费表'!ah"&amp;$G$1)="",INDIRECT("'数据-取费表'!k"&amp;$G$1),INDIRECT("'数据-取费表'!ah"&amp;$G$1))</f>
        <v>15446.489999999998</v>
      </c>
      <c r="G7" s="1384"/>
      <c r="H7" s="304"/>
      <c r="I7" s="3796"/>
      <c r="J7" s="306"/>
      <c r="K7" s="307"/>
      <c r="L7" s="302" t="s">
        <v>697</v>
      </c>
      <c r="M7" s="303">
        <f ca="1">F7</f>
        <v>15446.489999999998</v>
      </c>
    </row>
    <row r="8" spans="1:37" ht="18" customHeight="1">
      <c r="A8" s="304"/>
      <c r="B8" s="3796"/>
      <c r="C8" s="306"/>
      <c r="D8" s="307"/>
      <c r="E8" s="302" t="s">
        <v>698</v>
      </c>
      <c r="F8" s="303">
        <f ca="1">INDIRECT("'数据-取费表'!ai"&amp;$G$1)</f>
        <v>365</v>
      </c>
      <c r="G8" s="1384"/>
      <c r="H8" s="304"/>
      <c r="I8" s="3796"/>
      <c r="J8" s="306"/>
      <c r="K8" s="307"/>
      <c r="L8" s="302" t="s">
        <v>698</v>
      </c>
      <c r="M8" s="303">
        <f ca="1">INDIRECT("'数据-取费表'!ai"&amp;$G$1)</f>
        <v>365</v>
      </c>
    </row>
    <row r="9" spans="1:37" ht="18" customHeight="1">
      <c r="A9" s="304"/>
      <c r="B9" s="3797"/>
      <c r="C9" s="306"/>
      <c r="D9" s="307"/>
      <c r="E9" s="302" t="s">
        <v>699</v>
      </c>
      <c r="F9" s="312">
        <f ca="1">INDIRECT("'数据-取费表'!w"&amp;$G$1)</f>
        <v>0.05</v>
      </c>
      <c r="G9" s="1384"/>
      <c r="H9" s="304"/>
      <c r="I9" s="3797"/>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3690</v>
      </c>
      <c r="G10" s="1384"/>
      <c r="H10" s="1069" t="s">
        <v>402</v>
      </c>
      <c r="I10" s="1365" t="s">
        <v>700</v>
      </c>
      <c r="J10" s="301">
        <f ca="1">ROUND(IF(M10="押一",J6/12*M11,IF(M10="押二",J6/12*2*M11,IF(M10="押三",J6/12*3*M11,J11*M11))),0)</f>
        <v>0</v>
      </c>
      <c r="K10" s="1366" t="s">
        <v>2116</v>
      </c>
      <c r="L10" s="313" t="s">
        <v>701</v>
      </c>
      <c r="M10" s="1116" t="s">
        <v>3690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7775</v>
      </c>
      <c r="D13" s="3461" t="s">
        <v>705</v>
      </c>
      <c r="E13" s="346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6228</v>
      </c>
      <c r="D14" s="3465" t="s">
        <v>708</v>
      </c>
      <c r="E14" s="3463"/>
      <c r="F14" s="319"/>
      <c r="G14" s="1384"/>
      <c r="H14" s="982" t="s">
        <v>398</v>
      </c>
      <c r="I14" s="302" t="s">
        <v>709</v>
      </c>
      <c r="J14" s="21">
        <f ca="1">C29</f>
        <v>9368</v>
      </c>
      <c r="K14" s="3468"/>
      <c r="L14" s="807"/>
      <c r="M14" s="808"/>
    </row>
    <row r="15" spans="1:37" s="1397" customFormat="1" ht="18" customHeight="1" thickBot="1">
      <c r="A15" s="982" t="s">
        <v>399</v>
      </c>
      <c r="B15" s="302" t="s">
        <v>710</v>
      </c>
      <c r="C15" s="21">
        <f ca="1">ROUND(C14*F15,0)</f>
        <v>187</v>
      </c>
      <c r="D15" s="3462" t="s">
        <v>711</v>
      </c>
      <c r="E15" s="3462"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148</v>
      </c>
      <c r="K16" s="1087" t="s">
        <v>715</v>
      </c>
      <c r="L16" s="3466"/>
      <c r="M16" s="1072"/>
    </row>
    <row r="17" spans="1:37" s="1397" customFormat="1" ht="18" customHeight="1">
      <c r="A17" s="982" t="s">
        <v>681</v>
      </c>
      <c r="B17" s="302" t="s">
        <v>716</v>
      </c>
      <c r="C17" s="21">
        <f ca="1">ROUND(F17*(F43+INDIRECT("'数据-取费表'!S"&amp;$G$1))/10000,0)</f>
        <v>312</v>
      </c>
      <c r="D17" s="302" t="s">
        <v>717</v>
      </c>
      <c r="E17" s="302" t="s">
        <v>718</v>
      </c>
      <c r="F17" s="23">
        <f>'数据-取费表'!B35</f>
        <v>200</v>
      </c>
      <c r="G17" s="1396"/>
      <c r="H17" s="982" t="s">
        <v>398</v>
      </c>
      <c r="I17" s="302" t="s">
        <v>719</v>
      </c>
      <c r="J17" s="2316">
        <f ca="1">ROUND(IF(AND(项目基本情况!B11="自然人",项目基本情况!B10="北京市"),J6*M17/(1+'数据-取费表'!C42),J18+J19+J20),2)</f>
        <v>7.68</v>
      </c>
      <c r="K17" s="3465" t="s">
        <v>720</v>
      </c>
      <c r="L17" s="346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93</v>
      </c>
      <c r="D18" s="302" t="s">
        <v>711</v>
      </c>
      <c r="E18" s="302" t="s">
        <v>712</v>
      </c>
      <c r="F18" s="322">
        <f>'数据-取费表'!B36</f>
        <v>1.4999999999999999E-2</v>
      </c>
      <c r="G18" s="1396"/>
      <c r="H18" s="982" t="s">
        <v>397</v>
      </c>
      <c r="I18" s="302" t="s">
        <v>723</v>
      </c>
      <c r="J18" s="21">
        <f ca="1">ROUND(J6*M18/(1+'数据-取费表'!C42),2)</f>
        <v>0</v>
      </c>
      <c r="K18" s="346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6820</v>
      </c>
      <c r="D19" s="131" t="s">
        <v>726</v>
      </c>
      <c r="E19" s="3471"/>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136</v>
      </c>
      <c r="D20" s="2428" t="s">
        <v>729</v>
      </c>
      <c r="E20" s="302" t="s">
        <v>712</v>
      </c>
      <c r="F20" s="322">
        <f>'数据-取费表'!B37</f>
        <v>0.02</v>
      </c>
      <c r="G20" s="1396"/>
      <c r="H20" s="982" t="s">
        <v>680</v>
      </c>
      <c r="I20" s="155" t="s">
        <v>730</v>
      </c>
      <c r="J20" s="22">
        <f ca="1">ROUND(M20*M21/10000,2)</f>
        <v>7.68</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2561.1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1"/>
      <c r="F22" s="23"/>
      <c r="G22" s="1384"/>
      <c r="H22" s="982" t="s">
        <v>402</v>
      </c>
      <c r="I22" s="302" t="s">
        <v>738</v>
      </c>
      <c r="J22" s="21">
        <f ca="1">ROUND(J14*M22,2)</f>
        <v>140.52000000000001</v>
      </c>
      <c r="K22" s="3464" t="s">
        <v>739</v>
      </c>
      <c r="L22" s="302" t="s">
        <v>712</v>
      </c>
      <c r="M22" s="328">
        <v>1.4999999999999999E-2</v>
      </c>
    </row>
    <row r="23" spans="1:37" s="1397" customFormat="1" ht="18" customHeight="1">
      <c r="A23" s="982" t="s">
        <v>397</v>
      </c>
      <c r="B23" s="302" t="s">
        <v>740</v>
      </c>
      <c r="C23" s="21">
        <f ca="1">IF('数据-取费表'!B22&lt;=1,ROUND(C19*F24*F23/2,0)+ROUND(C20*F24*F23/2,0),ROUND(C19*(POWER((1+F24),F23/2)-1),0)+ROUND(C20*(POWER((1+F24),F23/2)-1),0))</f>
        <v>289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1"/>
      <c r="F25" s="23"/>
      <c r="G25" s="1384"/>
      <c r="H25" s="1079" t="s">
        <v>394</v>
      </c>
      <c r="I25" s="1094" t="s">
        <v>752</v>
      </c>
      <c r="J25" s="310">
        <f ca="1">J5-J16</f>
        <v>-148</v>
      </c>
      <c r="K25" s="1095" t="s">
        <v>753</v>
      </c>
      <c r="L25" s="1096"/>
      <c r="M25" s="1097"/>
    </row>
    <row r="26" spans="1:37">
      <c r="A26" s="982" t="s">
        <v>397</v>
      </c>
      <c r="B26" s="302" t="s">
        <v>754</v>
      </c>
      <c r="C26" s="21">
        <f ca="1">ROUND((C19+C20)*F26,0)</f>
        <v>1391</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6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9368</v>
      </c>
      <c r="D29" s="1092"/>
      <c r="E29" s="1090"/>
      <c r="F29" s="1093"/>
      <c r="G29" s="1396"/>
      <c r="H29" s="334" t="s">
        <v>396</v>
      </c>
      <c r="I29" s="335" t="s">
        <v>768</v>
      </c>
      <c r="J29" s="336">
        <f ca="1">ROUND(J26/(1+F40)^F41,0)</f>
        <v>0</v>
      </c>
      <c r="K29" s="337" t="s">
        <v>769</v>
      </c>
      <c r="L29" s="338"/>
      <c r="M29" s="339">
        <f ca="1">INDIRECT("'数据-取费表'!k"&amp;$G$1)</f>
        <v>15446.489999999998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645</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591.16</v>
      </c>
      <c r="D31" s="3465" t="s">
        <v>720</v>
      </c>
      <c r="E31" s="346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185.65</v>
      </c>
      <c r="D32" s="346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397.83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7.68</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2561.1</v>
      </c>
      <c r="G35" s="1384"/>
      <c r="H35" s="2697"/>
      <c r="I35" s="1398"/>
      <c r="J35" s="1399"/>
      <c r="K35" s="2701"/>
      <c r="L35" s="2700"/>
      <c r="M35" s="2700"/>
    </row>
    <row r="36" spans="1:18" ht="18" customHeight="1">
      <c r="A36" s="1102" t="s">
        <v>402</v>
      </c>
      <c r="B36" s="302" t="s">
        <v>738</v>
      </c>
      <c r="C36" s="21">
        <f ca="1">ROUND(C29*F36,2)</f>
        <v>28.1</v>
      </c>
      <c r="D36" s="346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7.78</v>
      </c>
      <c r="D37" s="3464"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17.47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2849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49629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25.63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32130</v>
      </c>
      <c r="D43" s="337" t="s">
        <v>777</v>
      </c>
      <c r="E43" s="338" t="s">
        <v>778</v>
      </c>
      <c r="F43" s="339">
        <f ca="1">INDIRECT("'数据-取费表'!k"&amp;$G$1)</f>
        <v>15446.489999999998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-50226</v>
      </c>
      <c r="D46" s="1406" t="str">
        <f>C2</f>
        <v>万元</v>
      </c>
      <c r="E46" s="1400"/>
      <c r="F46" s="1400"/>
      <c r="I46" s="1407" t="s">
        <v>810</v>
      </c>
      <c r="J46" s="1408"/>
      <c r="K46" s="1409"/>
      <c r="L46" s="1410">
        <f ca="1">IF(M47="住宅",0,IF(L48&gt;J51,L60,J60))</f>
        <v>521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49629</v>
      </c>
      <c r="R47" s="1420" t="s">
        <v>818</v>
      </c>
    </row>
    <row r="48" spans="1:18" s="1384" customFormat="1" ht="28.5" thickBot="1">
      <c r="A48" s="1110" t="s">
        <v>438</v>
      </c>
      <c r="B48" s="300" t="s">
        <v>692</v>
      </c>
      <c r="C48" s="3470">
        <f ca="1">C49+C53+C55</f>
        <v>0</v>
      </c>
      <c r="D48" s="1112"/>
      <c r="E48" s="1113"/>
      <c r="F48" s="962"/>
      <c r="G48" s="722"/>
      <c r="H48" s="723"/>
      <c r="I48" s="1421" t="s">
        <v>819</v>
      </c>
      <c r="J48" s="1422" t="s">
        <v>3406</v>
      </c>
      <c r="K48" s="1423" t="s">
        <v>820</v>
      </c>
      <c r="L48" s="1424">
        <f ca="1">INDIRECT("'数据-取费表'!f"&amp;$G$1)</f>
        <v>25.63</v>
      </c>
      <c r="O48" s="1418" t="s">
        <v>404</v>
      </c>
      <c r="P48" s="1419" t="s">
        <v>821</v>
      </c>
      <c r="Q48" s="1420">
        <f ca="1">J60</f>
        <v>521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2011</v>
      </c>
      <c r="K49" s="1423" t="s">
        <v>824</v>
      </c>
      <c r="L49" s="1427"/>
      <c r="O49" s="1428" t="s">
        <v>405</v>
      </c>
      <c r="P49" s="1419" t="s">
        <v>825</v>
      </c>
      <c r="Q49" s="1420">
        <f ca="1">C29</f>
        <v>9368</v>
      </c>
      <c r="R49" s="1420" t="s">
        <v>818</v>
      </c>
    </row>
    <row r="50" spans="1:18" s="1384" customFormat="1" ht="13.5" thickBot="1">
      <c r="A50" s="976"/>
      <c r="B50" s="979"/>
      <c r="C50" s="1118"/>
      <c r="D50" s="953"/>
      <c r="E50" s="1056" t="s">
        <v>697</v>
      </c>
      <c r="F50" s="1057">
        <f ca="1">F7</f>
        <v>15446.489999999998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40961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25.63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25.63</v>
      </c>
      <c r="K53" s="3793" t="s">
        <v>837</v>
      </c>
      <c r="L53" s="3794"/>
      <c r="O53" s="1418" t="s">
        <v>409</v>
      </c>
      <c r="P53" s="1419" t="s">
        <v>838</v>
      </c>
      <c r="Q53" s="1420">
        <f ca="1">Q47+Q48</f>
        <v>50150</v>
      </c>
      <c r="R53" s="1420" t="s">
        <v>410</v>
      </c>
    </row>
    <row r="54" spans="1:18" s="1384" customFormat="1" ht="13.5" thickBot="1">
      <c r="A54" s="1153"/>
      <c r="B54" s="1367" t="s">
        <v>679</v>
      </c>
      <c r="C54" s="959"/>
      <c r="D54" s="1366"/>
      <c r="E54" s="346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7"/>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7775</v>
      </c>
      <c r="D56" s="1447"/>
      <c r="E56" s="1448"/>
      <c r="F56" s="1440"/>
      <c r="I56" s="1449" t="s">
        <v>842</v>
      </c>
      <c r="J56" s="1450" t="s">
        <v>3589</v>
      </c>
      <c r="K56" s="1421" t="s">
        <v>843</v>
      </c>
      <c r="L56" s="1424" t="str">
        <f ca="1">IF(L48&lt;J51,"——",L48-J53)</f>
        <v>——</v>
      </c>
      <c r="O56" s="1418" t="s">
        <v>403</v>
      </c>
      <c r="P56" s="1419" t="s">
        <v>817</v>
      </c>
      <c r="Q56" s="1420">
        <f ca="1">C40+J29</f>
        <v>49629</v>
      </c>
      <c r="R56" s="1420" t="s">
        <v>818</v>
      </c>
    </row>
    <row r="57" spans="1:18" s="1384" customFormat="1" ht="24.75" thickBot="1">
      <c r="A57" s="1451"/>
      <c r="B57" s="950" t="s">
        <v>767</v>
      </c>
      <c r="C57" s="238">
        <f ca="1">C29</f>
        <v>9368</v>
      </c>
      <c r="D57" s="1452"/>
      <c r="E57" s="1453"/>
      <c r="F57" s="1454"/>
      <c r="I57" s="1455" t="s">
        <v>844</v>
      </c>
      <c r="J57" s="1456">
        <f ca="1">IF(OR(M47="住宅",J51&lt;L48,J56="是"),"——",J51-L48)</f>
        <v>22.37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7.68</v>
      </c>
      <c r="D62" s="965" t="s">
        <v>786</v>
      </c>
      <c r="E62" s="950" t="s">
        <v>787</v>
      </c>
      <c r="F62" s="325">
        <f t="shared" si="0"/>
        <v>30</v>
      </c>
      <c r="I62" s="1462" t="s">
        <v>858</v>
      </c>
      <c r="J62" s="1463" t="s">
        <v>859</v>
      </c>
      <c r="K62" s="1463" t="s">
        <v>860</v>
      </c>
      <c r="L62" s="1463" t="s">
        <v>861</v>
      </c>
      <c r="M62" s="1464" t="s">
        <v>862</v>
      </c>
      <c r="O62" s="1418" t="s">
        <v>409</v>
      </c>
      <c r="P62" s="1419" t="s">
        <v>863</v>
      </c>
      <c r="Q62" s="1420">
        <f ca="1">Q56+Q57</f>
        <v>49629</v>
      </c>
      <c r="R62" s="1420" t="s">
        <v>410</v>
      </c>
    </row>
    <row r="63" spans="1:18" s="1384" customFormat="1" ht="13.5" thickBot="1">
      <c r="A63" s="326"/>
      <c r="B63" s="956"/>
      <c r="C63" s="26"/>
      <c r="D63" s="966"/>
      <c r="E63" s="950" t="s">
        <v>788</v>
      </c>
      <c r="F63" s="303">
        <f t="shared" ca="1" si="0"/>
        <v>2561.1</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28.1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7.78</v>
      </c>
      <c r="D65" s="964" t="s">
        <v>743</v>
      </c>
      <c r="E65" s="950" t="s">
        <v>744</v>
      </c>
      <c r="F65" s="330">
        <f t="shared" ca="1" si="0"/>
        <v>1E-3</v>
      </c>
      <c r="I65" s="1462" t="s">
        <v>867</v>
      </c>
      <c r="J65" s="1463">
        <v>40</v>
      </c>
      <c r="K65" s="1463">
        <v>30</v>
      </c>
      <c r="L65" s="1463">
        <v>50</v>
      </c>
      <c r="M65" s="1465">
        <v>0.02</v>
      </c>
      <c r="O65" s="1418" t="s">
        <v>403</v>
      </c>
      <c r="P65" s="1419" t="s">
        <v>868</v>
      </c>
      <c r="Q65" s="1420">
        <f ca="1">C40+J29</f>
        <v>49629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v>
      </c>
      <c r="D67" s="963" t="s">
        <v>753</v>
      </c>
      <c r="E67" s="968"/>
      <c r="F67" s="969"/>
      <c r="O67" s="1428" t="s">
        <v>405</v>
      </c>
      <c r="P67" s="1419" t="s">
        <v>850</v>
      </c>
      <c r="Q67" s="1466">
        <f ca="1">L51</f>
        <v>40961</v>
      </c>
      <c r="R67" s="1420" t="s">
        <v>870</v>
      </c>
    </row>
    <row r="68" spans="1:18" s="1384" customFormat="1" ht="16.5" thickBot="1">
      <c r="A68" s="947" t="s">
        <v>395</v>
      </c>
      <c r="B68" s="948" t="s">
        <v>774</v>
      </c>
      <c r="C68" s="301">
        <f ca="1">ROUND(C67*(1-((1+F70)/(1+F68))^F69)/(F68-F70),0)</f>
        <v>-597</v>
      </c>
      <c r="D68" s="965" t="s">
        <v>758</v>
      </c>
      <c r="E68" s="950" t="s">
        <v>759</v>
      </c>
      <c r="F68" s="312">
        <f ca="1">F40</f>
        <v>5.5E-2</v>
      </c>
      <c r="O68" s="1428" t="s">
        <v>406</v>
      </c>
      <c r="P68" s="1467" t="s">
        <v>871</v>
      </c>
      <c r="Q68" s="1420">
        <f ca="1">ROUND(Q69-Q70*Q71,0)</f>
        <v>2266</v>
      </c>
      <c r="R68" s="1420" t="s">
        <v>414</v>
      </c>
    </row>
    <row r="69" spans="1:18" s="1384" customFormat="1" ht="13.5" thickBot="1">
      <c r="A69" s="951"/>
      <c r="B69" s="952"/>
      <c r="C69" s="306"/>
      <c r="D69" s="970" t="s">
        <v>762</v>
      </c>
      <c r="E69" s="950" t="s">
        <v>763</v>
      </c>
      <c r="F69" s="333">
        <f ca="1">F41</f>
        <v>25.63</v>
      </c>
      <c r="O69" s="1428" t="s">
        <v>411</v>
      </c>
      <c r="P69" s="1467" t="s">
        <v>872</v>
      </c>
      <c r="Q69" s="1420">
        <f ca="1">C39</f>
        <v>2849</v>
      </c>
      <c r="R69" s="1420" t="s">
        <v>818</v>
      </c>
    </row>
    <row r="70" spans="1:18" s="1384" customFormat="1" ht="13.5" thickBot="1">
      <c r="A70" s="954"/>
      <c r="B70" s="955"/>
      <c r="C70" s="310"/>
      <c r="D70" s="966"/>
      <c r="E70" s="950" t="s">
        <v>766</v>
      </c>
      <c r="F70" s="1054"/>
      <c r="O70" s="1428" t="s">
        <v>412</v>
      </c>
      <c r="P70" s="1467" t="s">
        <v>873</v>
      </c>
      <c r="Q70" s="1420">
        <f ca="1">C13</f>
        <v>7775</v>
      </c>
      <c r="R70" s="1420" t="s">
        <v>818</v>
      </c>
    </row>
    <row r="71" spans="1:18" s="1384" customFormat="1" ht="13.5" thickBot="1">
      <c r="A71" s="971" t="s">
        <v>396</v>
      </c>
      <c r="B71" s="972" t="s">
        <v>776</v>
      </c>
      <c r="C71" s="336">
        <f ca="1">ROUND(C68*10000/F71,0)</f>
        <v>-386</v>
      </c>
      <c r="D71" s="973" t="s">
        <v>777</v>
      </c>
      <c r="E71" s="974" t="s">
        <v>778</v>
      </c>
      <c r="F71" s="339">
        <f ca="1">F43</f>
        <v>15446.489999999998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583</v>
      </c>
      <c r="D75" s="1384"/>
      <c r="E75" s="1384"/>
      <c r="F75" s="1384"/>
      <c r="K75" s="1402"/>
      <c r="L75" s="1384"/>
      <c r="O75" s="1418" t="s">
        <v>409</v>
      </c>
      <c r="P75" s="1419" t="s">
        <v>838</v>
      </c>
      <c r="Q75" s="1420">
        <f ca="1">Q65+Q66</f>
        <v>49629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0.79500000000000004</v>
      </c>
    </row>
    <row r="80" spans="1:18">
      <c r="B80" s="340" t="s">
        <v>800</v>
      </c>
      <c r="C80" s="274">
        <f ca="1">ROUND(C75/C39,3)</f>
        <v>0.20499999999999999</v>
      </c>
    </row>
    <row r="81" spans="2:3">
      <c r="B81" s="270" t="s">
        <v>801</v>
      </c>
      <c r="C81" s="238"/>
    </row>
    <row r="82" spans="2:3">
      <c r="B82" s="273" t="s">
        <v>802</v>
      </c>
      <c r="C82" s="275">
        <f ca="1">1-C83</f>
        <v>0.84299999999999997</v>
      </c>
    </row>
    <row r="83" spans="2:3">
      <c r="B83" s="273" t="s">
        <v>803</v>
      </c>
      <c r="C83" s="274">
        <f ca="1">ROUND(C13/C40,3)</f>
        <v>0.157</v>
      </c>
    </row>
  </sheetData>
  <sheetProtection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35.630000000000003</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8060</v>
      </c>
      <c r="C2" s="1387" t="s">
        <v>805</v>
      </c>
      <c r="D2" s="1387"/>
      <c r="E2" s="1388"/>
      <c r="F2" s="1389"/>
      <c r="G2" s="2706"/>
      <c r="H2" s="2695"/>
      <c r="I2" s="2695"/>
      <c r="J2" s="2695"/>
      <c r="K2" s="2696"/>
      <c r="L2" s="2695"/>
      <c r="M2" s="2695"/>
    </row>
    <row r="3" spans="1:37" ht="18" customHeight="1" thickBot="1">
      <c r="A3" s="1390" t="s">
        <v>806</v>
      </c>
      <c r="B3" s="1391">
        <f ca="1">IF(ISERROR(B2*10000/F43),0,ROUND(B2*10000/F43,0))</f>
        <v>3768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513</v>
      </c>
      <c r="D5" s="1364" t="s">
        <v>693</v>
      </c>
      <c r="E5" s="1071"/>
      <c r="F5" s="1072"/>
      <c r="G5" s="1384"/>
      <c r="H5" s="299">
        <v>1</v>
      </c>
      <c r="I5" s="300" t="s">
        <v>692</v>
      </c>
      <c r="J5" s="1070">
        <f ca="1">J6+J10+J12</f>
        <v>809</v>
      </c>
      <c r="K5" s="1364" t="s">
        <v>693</v>
      </c>
      <c r="L5" s="1071"/>
      <c r="M5" s="1072"/>
    </row>
    <row r="6" spans="1:37" ht="18" customHeight="1">
      <c r="A6" s="1069" t="s">
        <v>398</v>
      </c>
      <c r="B6" s="3795" t="s">
        <v>694</v>
      </c>
      <c r="C6" s="1074">
        <f ca="1">ROUND(F6*F8*F7*(1-F9)/10000,0)</f>
        <v>513</v>
      </c>
      <c r="D6" s="155" t="s">
        <v>2109</v>
      </c>
      <c r="E6" s="302" t="s">
        <v>696</v>
      </c>
      <c r="F6" s="303">
        <f ca="1">INDIRECT("'数据-取费表'!u"&amp;$G$1)</f>
        <v>1027</v>
      </c>
      <c r="G6" s="1384"/>
      <c r="H6" s="1069" t="s">
        <v>398</v>
      </c>
      <c r="I6" s="3795" t="s">
        <v>694</v>
      </c>
      <c r="J6" s="301">
        <f ca="1">ROUND(M6*M8*M7*(1-M9)/10000,0)</f>
        <v>809</v>
      </c>
      <c r="K6" s="155" t="s">
        <v>2108</v>
      </c>
      <c r="L6" s="302" t="s">
        <v>696</v>
      </c>
      <c r="M6" s="303">
        <f ca="1">INDIRECT("'数据-取费表'!z"&amp;$G$1)</f>
        <v>1800</v>
      </c>
    </row>
    <row r="7" spans="1:37" ht="18" customHeight="1">
      <c r="A7" s="1073"/>
      <c r="B7" s="3796"/>
      <c r="C7" s="1075"/>
      <c r="D7" s="307"/>
      <c r="E7" s="3458" t="s">
        <v>697</v>
      </c>
      <c r="F7" s="303">
        <f ca="1">IF(INDIRECT("'数据-取费表'!ah"&amp;$G$1)="",INDIRECT("'数据-取费表'!k"&amp;$G$1),INDIRECT("'数据-取费表'!ah"&amp;$G$1))</f>
        <v>416</v>
      </c>
      <c r="G7" s="1384"/>
      <c r="H7" s="304"/>
      <c r="I7" s="3796"/>
      <c r="J7" s="306"/>
      <c r="K7" s="307"/>
      <c r="L7" s="302" t="s">
        <v>697</v>
      </c>
      <c r="M7" s="303">
        <f ca="1">F7</f>
        <v>416</v>
      </c>
    </row>
    <row r="8" spans="1:37" ht="18" customHeight="1">
      <c r="A8" s="304"/>
      <c r="B8" s="3796"/>
      <c r="C8" s="306"/>
      <c r="D8" s="307"/>
      <c r="E8" s="302" t="s">
        <v>698</v>
      </c>
      <c r="F8" s="303">
        <f ca="1">INDIRECT("'数据-取费表'!ai"&amp;$G$1)</f>
        <v>12</v>
      </c>
      <c r="G8" s="1384"/>
      <c r="H8" s="304"/>
      <c r="I8" s="3796"/>
      <c r="J8" s="306"/>
      <c r="K8" s="307"/>
      <c r="L8" s="302" t="s">
        <v>698</v>
      </c>
      <c r="M8" s="303">
        <f ca="1">INDIRECT("'数据-取费表'!ai"&amp;$G$1)</f>
        <v>12</v>
      </c>
    </row>
    <row r="9" spans="1:37" ht="18" customHeight="1">
      <c r="A9" s="304"/>
      <c r="B9" s="3797"/>
      <c r="C9" s="306"/>
      <c r="D9" s="307"/>
      <c r="E9" s="302" t="s">
        <v>699</v>
      </c>
      <c r="F9" s="312">
        <f ca="1">INDIRECT("'数据-取费表'!w"&amp;$G$1)</f>
        <v>0</v>
      </c>
      <c r="G9" s="1384"/>
      <c r="H9" s="304"/>
      <c r="I9" s="3797"/>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3407</v>
      </c>
      <c r="G10" s="1384"/>
      <c r="H10" s="1069" t="s">
        <v>402</v>
      </c>
      <c r="I10" s="1365" t="s">
        <v>700</v>
      </c>
      <c r="J10" s="301">
        <f ca="1">ROUND(IF(M10="押一",J6/12*M11,IF(M10="押二",J6/12*2*M11,IF(M10="押三",J6/12*3*M11,J11*M11))),0)</f>
        <v>0</v>
      </c>
      <c r="K10" s="1366" t="s">
        <v>2116</v>
      </c>
      <c r="L10" s="313" t="s">
        <v>701</v>
      </c>
      <c r="M10" s="1116" t="s">
        <v>3407</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8713</v>
      </c>
      <c r="D13" s="3450" t="s">
        <v>705</v>
      </c>
      <c r="E13" s="3450" t="s">
        <v>706</v>
      </c>
      <c r="F13" s="1082">
        <f ca="1">INDIRECT("'数据-取费表'!y"&amp;$G$1)</f>
        <v>0.83</v>
      </c>
      <c r="G13" s="1384"/>
      <c r="H13" s="1079">
        <v>2</v>
      </c>
      <c r="I13" s="1080" t="s">
        <v>704</v>
      </c>
      <c r="J13" s="1068">
        <f ca="1">ROUND(J14*J15,0)</f>
        <v>6823</v>
      </c>
      <c r="K13" s="1087" t="s">
        <v>705</v>
      </c>
      <c r="L13" s="1392"/>
      <c r="M13" s="1393"/>
    </row>
    <row r="14" spans="1:37" ht="18" customHeight="1">
      <c r="A14" s="982" t="s">
        <v>397</v>
      </c>
      <c r="B14" s="302" t="s">
        <v>707</v>
      </c>
      <c r="C14" s="318">
        <f ca="1">INDIRECT("'数据-取费表'!m"&amp;$G$1)+INDIRECT("'数据-取费表'!t"&amp;$G$1)</f>
        <v>7556</v>
      </c>
      <c r="D14" s="3454" t="s">
        <v>708</v>
      </c>
      <c r="E14" s="3452"/>
      <c r="F14" s="319"/>
      <c r="G14" s="1384"/>
      <c r="H14" s="982" t="s">
        <v>398</v>
      </c>
      <c r="I14" s="302" t="s">
        <v>709</v>
      </c>
      <c r="J14" s="21">
        <f ca="1">C29</f>
        <v>10497</v>
      </c>
      <c r="K14" s="3457"/>
      <c r="L14" s="807"/>
      <c r="M14" s="808"/>
    </row>
    <row r="15" spans="1:37" s="1397" customFormat="1" ht="18" customHeight="1" thickBot="1">
      <c r="A15" s="982" t="s">
        <v>399</v>
      </c>
      <c r="B15" s="302" t="s">
        <v>710</v>
      </c>
      <c r="C15" s="21">
        <f ca="1">ROUND(C14*F15,0)</f>
        <v>227</v>
      </c>
      <c r="D15" s="3451" t="s">
        <v>711</v>
      </c>
      <c r="E15" s="3451" t="s">
        <v>712</v>
      </c>
      <c r="F15" s="321">
        <f>'数据-取费表'!B33</f>
        <v>0.03</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189</v>
      </c>
      <c r="K16" s="1087" t="s">
        <v>715</v>
      </c>
      <c r="L16" s="3455"/>
      <c r="M16" s="1072"/>
    </row>
    <row r="17" spans="1:37" s="1397" customFormat="1" ht="18" customHeight="1">
      <c r="A17" s="982" t="s">
        <v>681</v>
      </c>
      <c r="B17" s="302" t="s">
        <v>716</v>
      </c>
      <c r="C17" s="21">
        <f ca="1">ROUND(F17*(F43+INDIRECT("'数据-取费表'!S"&amp;$G$1))/10000,0)</f>
        <v>432</v>
      </c>
      <c r="D17" s="302" t="s">
        <v>717</v>
      </c>
      <c r="E17" s="302" t="s">
        <v>718</v>
      </c>
      <c r="F17" s="23">
        <f>'数据-取费表'!B35</f>
        <v>200</v>
      </c>
      <c r="G17" s="1396"/>
      <c r="H17" s="982" t="s">
        <v>398</v>
      </c>
      <c r="I17" s="302" t="s">
        <v>719</v>
      </c>
      <c r="J17" s="2316">
        <f ca="1">ROUND(IF(AND(项目基本情况!B11="自然人",项目基本情况!B10="北京市"),J6*M17/(1+'数据-取费表'!C42),J18+J19+J20),2)</f>
        <v>146.25</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113</v>
      </c>
      <c r="D18" s="302" t="s">
        <v>711</v>
      </c>
      <c r="E18" s="302" t="s">
        <v>712</v>
      </c>
      <c r="F18" s="322">
        <f>'数据-取费表'!B36</f>
        <v>1.4999999999999999E-2</v>
      </c>
      <c r="G18" s="1396"/>
      <c r="H18" s="982" t="s">
        <v>397</v>
      </c>
      <c r="I18" s="302" t="s">
        <v>723</v>
      </c>
      <c r="J18" s="21">
        <f ca="1">ROUND(J6*M18/(1+'数据-取费表'!C42),2)</f>
        <v>43.15</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8328</v>
      </c>
      <c r="D19" s="131" t="s">
        <v>726</v>
      </c>
      <c r="E19" s="3460"/>
      <c r="F19" s="23"/>
      <c r="G19" s="1384"/>
      <c r="H19" s="982" t="s">
        <v>399</v>
      </c>
      <c r="I19" s="302" t="s">
        <v>727</v>
      </c>
      <c r="J19" s="21">
        <f ca="1">IF(K19="按租金收入计税",ROUND(J6*M19/(1+'数据-取费表'!C42),2),ROUND(C29*M19*0.7,2))</f>
        <v>92.46</v>
      </c>
      <c r="K19" s="1370" t="s">
        <v>3343</v>
      </c>
      <c r="L19" s="302" t="s">
        <v>712</v>
      </c>
      <c r="M19" s="322">
        <f>IF(K19="按租金收入计税",'数据-取费表'!B51,'数据-取费表'!B50)</f>
        <v>0.12</v>
      </c>
    </row>
    <row r="20" spans="1:37" s="1397" customFormat="1" ht="18" customHeight="1">
      <c r="A20" s="982" t="s">
        <v>402</v>
      </c>
      <c r="B20" s="302" t="s">
        <v>728</v>
      </c>
      <c r="C20" s="21">
        <f ca="1">ROUND(C19*F20,0)</f>
        <v>167</v>
      </c>
      <c r="D20" s="2428" t="s">
        <v>729</v>
      </c>
      <c r="E20" s="302" t="s">
        <v>712</v>
      </c>
      <c r="F20" s="322">
        <f>'数据-取费表'!B37</f>
        <v>0.02</v>
      </c>
      <c r="G20" s="1396"/>
      <c r="H20" s="982" t="s">
        <v>680</v>
      </c>
      <c r="I20" s="155" t="s">
        <v>730</v>
      </c>
      <c r="J20" s="22">
        <f ca="1">ROUND(M20*M21/10000,2)</f>
        <v>10.64</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3547.1099999999997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31.49</v>
      </c>
      <c r="K22" s="3453"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6.82</v>
      </c>
      <c r="K23" s="3453"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4.05</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620</v>
      </c>
      <c r="K25" s="1095" t="s">
        <v>753</v>
      </c>
      <c r="L25" s="1096"/>
      <c r="M25" s="1097"/>
    </row>
    <row r="26" spans="1:37">
      <c r="A26" s="982" t="s">
        <v>397</v>
      </c>
      <c r="B26" s="302" t="s">
        <v>754</v>
      </c>
      <c r="C26" s="21">
        <f ca="1">ROUND((C19+C20)*F26,0)</f>
        <v>850</v>
      </c>
      <c r="D26" s="2428" t="s">
        <v>755</v>
      </c>
      <c r="E26" s="313" t="s">
        <v>756</v>
      </c>
      <c r="F26" s="312">
        <f ca="1">INDIRECT("'数据-取费表'!q"&amp;$G$1)</f>
        <v>0.1</v>
      </c>
      <c r="G26" s="1384"/>
      <c r="H26" s="299" t="s">
        <v>395</v>
      </c>
      <c r="I26" s="300" t="s">
        <v>757</v>
      </c>
      <c r="J26" s="301">
        <f ca="1">IF(J5&lt;&gt;0,ROUND(J25*(1-((1+M28)/(1+M26))^M27)/(M26-M28),0),0)</f>
        <v>8256</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16.800000000000004</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10497</v>
      </c>
      <c r="D29" s="1092"/>
      <c r="E29" s="1090"/>
      <c r="F29" s="1093"/>
      <c r="G29" s="1396"/>
      <c r="H29" s="334" t="s">
        <v>396</v>
      </c>
      <c r="I29" s="335" t="s">
        <v>768</v>
      </c>
      <c r="J29" s="336">
        <f ca="1">ROUND(J26/(1+F40)^F41,0)</f>
        <v>3294</v>
      </c>
      <c r="K29" s="337" t="s">
        <v>769</v>
      </c>
      <c r="L29" s="338"/>
      <c r="M29" s="339">
        <f ca="1">INDIRECT("'数据-取费表'!k"&amp;$G$1)</f>
        <v>21393.3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139</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96.63</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27.36</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58.63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10.64</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3547.1099999999997</v>
      </c>
      <c r="G35" s="1384"/>
      <c r="H35" s="2697"/>
      <c r="I35" s="1398"/>
      <c r="J35" s="1399"/>
      <c r="K35" s="2701"/>
      <c r="L35" s="2700"/>
      <c r="M35" s="2700"/>
    </row>
    <row r="36" spans="1:18" ht="18" customHeight="1">
      <c r="A36" s="1102" t="s">
        <v>402</v>
      </c>
      <c r="B36" s="302" t="s">
        <v>738</v>
      </c>
      <c r="C36" s="21">
        <f ca="1">ROUND(C29*F36,2)</f>
        <v>31.49</v>
      </c>
      <c r="D36" s="3453"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8.7100000000000009</v>
      </c>
      <c r="D37" s="3453"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2.57</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374</v>
      </c>
      <c r="D39" s="1095" t="s">
        <v>753</v>
      </c>
      <c r="E39" s="1096"/>
      <c r="F39" s="1097"/>
      <c r="G39" s="1384"/>
      <c r="H39" s="2700"/>
      <c r="I39" s="1398"/>
      <c r="J39" s="1399"/>
      <c r="K39" s="2704"/>
      <c r="L39" s="2700"/>
      <c r="M39" s="2700"/>
    </row>
    <row r="40" spans="1:18" ht="18" customHeight="1">
      <c r="A40" s="299" t="s">
        <v>395</v>
      </c>
      <c r="B40" s="300" t="s">
        <v>774</v>
      </c>
      <c r="C40" s="301">
        <f ca="1">ROUND(C39*(1-((1+F42)/(1+F40))^F41)/(F40-F42),0)</f>
        <v>4495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2101</v>
      </c>
      <c r="D43" s="337" t="s">
        <v>777</v>
      </c>
      <c r="E43" s="338" t="s">
        <v>778</v>
      </c>
      <c r="F43" s="339">
        <f ca="1">INDIRECT("'数据-取费表'!k"&amp;$G$1)</f>
        <v>21393.3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-5108</v>
      </c>
      <c r="D46" s="1406" t="str">
        <f>C2</f>
        <v>万元</v>
      </c>
      <c r="E46" s="1400"/>
      <c r="F46" s="1400"/>
      <c r="I46" s="1407" t="s">
        <v>810</v>
      </c>
      <c r="J46" s="1408"/>
      <c r="K46" s="1409"/>
      <c r="L46" s="1410">
        <f ca="1">IF(M47="住宅",0,IF(L48&gt;J51,L60,J60))</f>
        <v>271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7789</v>
      </c>
      <c r="R47" s="1420" t="s">
        <v>818</v>
      </c>
    </row>
    <row r="48" spans="1:18" s="1384" customFormat="1" ht="28.5" thickBot="1">
      <c r="A48" s="1110" t="s">
        <v>438</v>
      </c>
      <c r="B48" s="300" t="s">
        <v>692</v>
      </c>
      <c r="C48" s="3459">
        <f ca="1">C49+C53+C55</f>
        <v>0</v>
      </c>
      <c r="D48" s="1112"/>
      <c r="E48" s="1113"/>
      <c r="F48" s="962"/>
      <c r="G48" s="722"/>
      <c r="H48" s="723"/>
      <c r="I48" s="1421" t="s">
        <v>819</v>
      </c>
      <c r="J48" s="1422" t="s">
        <v>3406</v>
      </c>
      <c r="K48" s="1423" t="s">
        <v>820</v>
      </c>
      <c r="L48" s="1424">
        <f ca="1">INDIRECT("'数据-取费表'!f"&amp;$G$1)</f>
        <v>35.630000000000003</v>
      </c>
      <c r="O48" s="1418" t="s">
        <v>404</v>
      </c>
      <c r="P48" s="1419" t="s">
        <v>821</v>
      </c>
      <c r="Q48" s="1420">
        <f ca="1">J60</f>
        <v>271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2011</v>
      </c>
      <c r="K49" s="1423" t="s">
        <v>824</v>
      </c>
      <c r="L49" s="1427"/>
      <c r="O49" s="1428" t="s">
        <v>405</v>
      </c>
      <c r="P49" s="1419" t="s">
        <v>825</v>
      </c>
      <c r="Q49" s="1420">
        <f ca="1">C29</f>
        <v>10497</v>
      </c>
      <c r="R49" s="1420" t="s">
        <v>818</v>
      </c>
    </row>
    <row r="50" spans="1:18" s="1384" customFormat="1" ht="13.5" thickBot="1">
      <c r="A50" s="976"/>
      <c r="B50" s="979"/>
      <c r="C50" s="1118"/>
      <c r="D50" s="953"/>
      <c r="E50" s="1056" t="s">
        <v>697</v>
      </c>
      <c r="F50" s="1057">
        <f ca="1">F7</f>
        <v>416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-5460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35.630000000000003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35.630000000000003</v>
      </c>
      <c r="K53" s="3793" t="s">
        <v>837</v>
      </c>
      <c r="L53" s="3794"/>
      <c r="O53" s="1418" t="s">
        <v>409</v>
      </c>
      <c r="P53" s="1419" t="s">
        <v>838</v>
      </c>
      <c r="Q53" s="1420">
        <f ca="1">Q47+Q48</f>
        <v>8060</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8713</v>
      </c>
      <c r="D56" s="1447"/>
      <c r="E56" s="1448"/>
      <c r="F56" s="1440"/>
      <c r="I56" s="1449" t="s">
        <v>842</v>
      </c>
      <c r="J56" s="1450" t="s">
        <v>3589</v>
      </c>
      <c r="K56" s="1421" t="s">
        <v>843</v>
      </c>
      <c r="L56" s="1424" t="str">
        <f ca="1">IF(L48&lt;J51,"——",L48-J53)</f>
        <v>——</v>
      </c>
      <c r="O56" s="1418" t="s">
        <v>403</v>
      </c>
      <c r="P56" s="1419" t="s">
        <v>817</v>
      </c>
      <c r="Q56" s="1420">
        <f ca="1">C40+J29</f>
        <v>7789</v>
      </c>
      <c r="R56" s="1420" t="s">
        <v>818</v>
      </c>
    </row>
    <row r="57" spans="1:18" s="1384" customFormat="1" ht="24.75" thickBot="1">
      <c r="A57" s="1451"/>
      <c r="B57" s="950" t="s">
        <v>767</v>
      </c>
      <c r="C57" s="238">
        <f ca="1">C29</f>
        <v>10497</v>
      </c>
      <c r="D57" s="1452"/>
      <c r="E57" s="1453"/>
      <c r="F57" s="1454"/>
      <c r="I57" s="1455" t="s">
        <v>844</v>
      </c>
      <c r="J57" s="1456">
        <f ca="1">IF(OR(M47="住宅",J51&lt;L48,J56="是"),"——",J51-L48)</f>
        <v>12.369999999999997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3343</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10.64</v>
      </c>
      <c r="D62" s="965" t="s">
        <v>731</v>
      </c>
      <c r="E62" s="950" t="s">
        <v>732</v>
      </c>
      <c r="F62" s="325">
        <f t="shared" si="0"/>
        <v>30</v>
      </c>
      <c r="I62" s="1462" t="s">
        <v>858</v>
      </c>
      <c r="J62" s="1463" t="s">
        <v>859</v>
      </c>
      <c r="K62" s="1463" t="s">
        <v>860</v>
      </c>
      <c r="L62" s="1463" t="s">
        <v>861</v>
      </c>
      <c r="M62" s="1464" t="s">
        <v>862</v>
      </c>
      <c r="O62" s="1418" t="s">
        <v>409</v>
      </c>
      <c r="P62" s="1419" t="s">
        <v>838</v>
      </c>
      <c r="Q62" s="1420">
        <f ca="1">Q56+Q57</f>
        <v>7789</v>
      </c>
      <c r="R62" s="1420" t="s">
        <v>410</v>
      </c>
    </row>
    <row r="63" spans="1:18" s="1384" customFormat="1" ht="13.5" thickBot="1">
      <c r="A63" s="326"/>
      <c r="B63" s="956"/>
      <c r="C63" s="26"/>
      <c r="D63" s="966"/>
      <c r="E63" s="950" t="s">
        <v>736</v>
      </c>
      <c r="F63" s="303">
        <f t="shared" ca="1" si="0"/>
        <v>3547.1099999999997</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31.49</v>
      </c>
      <c r="D64" s="964" t="s">
        <v>771</v>
      </c>
      <c r="E64" s="950" t="s">
        <v>712</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8.7100000000000009</v>
      </c>
      <c r="D65" s="964" t="s">
        <v>743</v>
      </c>
      <c r="E65" s="950" t="s">
        <v>712</v>
      </c>
      <c r="F65" s="330">
        <f t="shared" ca="1" si="0"/>
        <v>1E-3</v>
      </c>
      <c r="I65" s="1462" t="s">
        <v>867</v>
      </c>
      <c r="J65" s="1463">
        <v>40</v>
      </c>
      <c r="K65" s="1463">
        <v>30</v>
      </c>
      <c r="L65" s="1463">
        <v>50</v>
      </c>
      <c r="M65" s="1465">
        <v>0.02</v>
      </c>
      <c r="O65" s="1418" t="s">
        <v>403</v>
      </c>
      <c r="P65" s="1419" t="s">
        <v>817</v>
      </c>
      <c r="Q65" s="1420">
        <f ca="1">C40+J29</f>
        <v>7789</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-51</v>
      </c>
      <c r="D67" s="963" t="s">
        <v>753</v>
      </c>
      <c r="E67" s="968"/>
      <c r="F67" s="969"/>
      <c r="O67" s="1428" t="s">
        <v>405</v>
      </c>
      <c r="P67" s="1419" t="s">
        <v>850</v>
      </c>
      <c r="Q67" s="1466">
        <f ca="1">L51</f>
        <v>-5460</v>
      </c>
      <c r="R67" s="1420" t="s">
        <v>870</v>
      </c>
    </row>
    <row r="68" spans="1:18" s="1384" customFormat="1" ht="16.5" thickBot="1">
      <c r="A68" s="947" t="s">
        <v>395</v>
      </c>
      <c r="B68" s="948" t="s">
        <v>774</v>
      </c>
      <c r="C68" s="301">
        <f ca="1">ROUND(C67*(1-((1+F70)/(1+F68))^F69)/(F68-F70),0)</f>
        <v>-613</v>
      </c>
      <c r="D68" s="965" t="s">
        <v>758</v>
      </c>
      <c r="E68" s="950" t="s">
        <v>759</v>
      </c>
      <c r="F68" s="312">
        <f ca="1">F40</f>
        <v>0.05</v>
      </c>
      <c r="O68" s="1428" t="s">
        <v>406</v>
      </c>
      <c r="P68" s="1467" t="s">
        <v>871</v>
      </c>
      <c r="Q68" s="1420">
        <f ca="1">ROUND(Q69-Q70*Q71,0)</f>
        <v>-279</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374</v>
      </c>
      <c r="R69" s="1420" t="s">
        <v>818</v>
      </c>
    </row>
    <row r="70" spans="1:18" s="1384" customFormat="1" ht="13.5" thickBot="1">
      <c r="A70" s="954"/>
      <c r="B70" s="955"/>
      <c r="C70" s="310"/>
      <c r="D70" s="966"/>
      <c r="E70" s="950" t="s">
        <v>766</v>
      </c>
      <c r="F70" s="1054"/>
      <c r="O70" s="1428" t="s">
        <v>412</v>
      </c>
      <c r="P70" s="1467" t="s">
        <v>873</v>
      </c>
      <c r="Q70" s="1420">
        <f ca="1">C13</f>
        <v>8713</v>
      </c>
      <c r="R70" s="1420" t="s">
        <v>818</v>
      </c>
    </row>
    <row r="71" spans="1:18" s="1384" customFormat="1" ht="13.5" thickBot="1">
      <c r="A71" s="971" t="s">
        <v>396</v>
      </c>
      <c r="B71" s="972" t="s">
        <v>776</v>
      </c>
      <c r="C71" s="336">
        <f ca="1">ROUND(C68*10000/F71,0)</f>
        <v>-287</v>
      </c>
      <c r="D71" s="973" t="s">
        <v>777</v>
      </c>
      <c r="E71" s="974" t="s">
        <v>778</v>
      </c>
      <c r="F71" s="339">
        <f ca="1">F43</f>
        <v>21393.3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653</v>
      </c>
      <c r="D75" s="1384"/>
      <c r="E75" s="1384"/>
      <c r="F75" s="1384"/>
      <c r="K75" s="1402"/>
      <c r="L75" s="1384"/>
      <c r="O75" s="1418" t="s">
        <v>409</v>
      </c>
      <c r="P75" s="1419" t="s">
        <v>838</v>
      </c>
      <c r="Q75" s="1420">
        <f ca="1">Q65+Q66</f>
        <v>7789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-0.746</v>
      </c>
    </row>
    <row r="80" spans="1:18">
      <c r="B80" s="340" t="s">
        <v>800</v>
      </c>
      <c r="C80" s="274">
        <f ca="1">ROUND(C75/C39,3)</f>
        <v>1.746</v>
      </c>
    </row>
    <row r="81" spans="2:3">
      <c r="B81" s="270" t="s">
        <v>801</v>
      </c>
      <c r="C81" s="238"/>
    </row>
    <row r="82" spans="2:3">
      <c r="B82" s="273" t="s">
        <v>802</v>
      </c>
      <c r="C82" s="275">
        <f ca="1">1-C83</f>
        <v>-0.93799999999999994</v>
      </c>
    </row>
    <row r="83" spans="2:3">
      <c r="B83" s="273" t="s">
        <v>803</v>
      </c>
      <c r="C83" s="274">
        <f ca="1">ROUND(C13/C40,3)</f>
        <v>1.9379999999999999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17" sqref="G1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136857</v>
      </c>
      <c r="C2" s="1872" t="s">
        <v>1651</v>
      </c>
      <c r="D2" s="1873" t="s">
        <v>1652</v>
      </c>
      <c r="E2" s="2607">
        <f>SUM(E6:E13)</f>
        <v>68805.62</v>
      </c>
      <c r="F2" s="2707"/>
      <c r="G2" s="1489"/>
      <c r="H2" s="1489"/>
      <c r="I2" s="1489"/>
      <c r="J2" s="1489"/>
      <c r="K2" s="1489"/>
      <c r="L2" s="1489"/>
      <c r="M2" s="1489"/>
      <c r="N2" s="1489"/>
      <c r="O2" s="1489"/>
      <c r="P2" s="1489"/>
      <c r="Q2" s="1489"/>
      <c r="R2" s="1489"/>
      <c r="S2" s="1489"/>
    </row>
    <row r="3" spans="1:22" ht="15.75">
      <c r="A3" s="1870" t="s">
        <v>686</v>
      </c>
      <c r="B3" s="2601">
        <f ca="1">ROUND(B2*10000/E2,0)</f>
        <v>19890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98" t="s">
        <v>1654</v>
      </c>
      <c r="C5" s="379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78647</v>
      </c>
      <c r="C6" s="1872" t="s">
        <v>1651</v>
      </c>
      <c r="D6" s="2709"/>
      <c r="E6" s="2606">
        <f>IF(OR(A6=0,F6="否"),0,'数据-取费表'!K6+'数据-取费表'!S6)</f>
        <v>31630.55</v>
      </c>
      <c r="F6" s="1876" t="s">
        <v>1657</v>
      </c>
      <c r="G6" s="1489"/>
      <c r="H6" s="1489"/>
      <c r="I6" s="1489"/>
      <c r="J6" s="1489"/>
      <c r="K6" s="1489"/>
      <c r="L6" s="1489"/>
      <c r="M6" s="1489"/>
      <c r="N6" s="1489"/>
      <c r="O6" s="1489"/>
      <c r="P6" s="1489"/>
      <c r="Q6" s="1489"/>
      <c r="R6" s="1489"/>
      <c r="S6" s="1489"/>
    </row>
    <row r="7" spans="1:22">
      <c r="A7" s="2604" t="str">
        <f>'数据-取费表'!AN7</f>
        <v>收益法(2)</v>
      </c>
      <c r="B7" s="2602">
        <f ca="1">IF(F7="是",'数据-取费表'!AO7,0)</f>
        <v>50150</v>
      </c>
      <c r="C7" s="1872" t="s">
        <v>1651</v>
      </c>
      <c r="D7" s="2709"/>
      <c r="E7" s="2606">
        <f>IF(OR(A7=0,F7="否"),0,'数据-取费表'!K7+'数据-取费表'!S7)</f>
        <v>15587.069999999998</v>
      </c>
      <c r="F7" s="1876" t="s">
        <v>1657</v>
      </c>
      <c r="G7" s="1489"/>
      <c r="H7" s="1489"/>
      <c r="I7" s="1489"/>
      <c r="J7" s="1489"/>
      <c r="K7" s="1489"/>
      <c r="L7" s="1489"/>
      <c r="M7" s="1489"/>
      <c r="N7" s="1489"/>
      <c r="O7" s="1489"/>
      <c r="P7" s="1489"/>
      <c r="Q7" s="1489"/>
      <c r="R7" s="1489"/>
      <c r="S7" s="1489"/>
    </row>
    <row r="8" spans="1:22">
      <c r="A8" s="2604" t="str">
        <f>'数据-取费表'!AN8</f>
        <v>收益法(车位)</v>
      </c>
      <c r="B8" s="2602">
        <f ca="1">IF(F8="是",'数据-取费表'!AO8,0)</f>
        <v>8060</v>
      </c>
      <c r="C8" s="1872" t="s">
        <v>1651</v>
      </c>
      <c r="D8" s="2709"/>
      <c r="E8" s="2606">
        <f>IF(OR(A8=0,F8="否"),0,'数据-取费表'!K8+'数据-取费表'!S8)</f>
        <v>21588</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192156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27927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115355</v>
      </c>
      <c r="D5" s="211" t="s">
        <v>1469</v>
      </c>
      <c r="E5" s="212" t="s">
        <v>1470</v>
      </c>
      <c r="F5" s="212" t="s">
        <v>1471</v>
      </c>
      <c r="G5" s="213"/>
    </row>
    <row r="6" spans="1:9" s="214" customFormat="1" ht="13.5" customHeight="1">
      <c r="A6" s="778" t="s">
        <v>1472</v>
      </c>
      <c r="B6" s="215" t="s">
        <v>1473</v>
      </c>
      <c r="C6" s="216">
        <f>基准地价修正!B2</f>
        <v>110606</v>
      </c>
      <c r="D6" s="217"/>
      <c r="E6" s="218"/>
      <c r="F6" s="218"/>
      <c r="G6" s="219"/>
    </row>
    <row r="7" spans="1:9" s="214" customFormat="1" ht="13.5" customHeight="1">
      <c r="A7" s="778" t="s">
        <v>1474</v>
      </c>
      <c r="B7" s="215" t="s">
        <v>1475</v>
      </c>
      <c r="C7" s="220">
        <f>ROUND(C6*F7,0)</f>
        <v>3373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1376</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3402</v>
      </c>
      <c r="H9" s="1137"/>
      <c r="I9" s="1858" t="s">
        <v>1479</v>
      </c>
    </row>
    <row r="10" spans="1:9" s="214" customFormat="1" ht="13.5" customHeight="1">
      <c r="A10" s="779" t="s">
        <v>356</v>
      </c>
      <c r="B10" s="224" t="s">
        <v>1480</v>
      </c>
      <c r="C10" s="225">
        <f ca="1">ROUND(D10*E10/10000,0)</f>
        <v>1376</v>
      </c>
      <c r="D10" s="845">
        <f ca="1">IF(B1="",'数据-汇总表'!E6,IF(INDIRECT("'数据-取费表'!c"&amp;$G$1)="住宅",INDIRECT("'数据-取费表'!s"&amp;$G$1),INDIRECT("'数据-取费表'!k"&amp;$G$1)+INDIRECT("'数据-取费表'!s"&amp;$G$1)))</f>
        <v>68805.62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68805.62</v>
      </c>
      <c r="E19" s="211">
        <f>'数据-取费表'!B31</f>
        <v>200</v>
      </c>
      <c r="F19" s="231"/>
      <c r="G19" s="1856" t="s">
        <v>3403</v>
      </c>
    </row>
    <row r="20" spans="1:7" s="214" customFormat="1" ht="13.5" customHeight="1">
      <c r="A20" s="255" t="s">
        <v>1493</v>
      </c>
      <c r="B20" s="210" t="s">
        <v>1494</v>
      </c>
      <c r="C20" s="232">
        <f ca="1">ROUND((C5+C19)*F20,0)</f>
        <v>2307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9869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9773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20003</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ROUND((C5+C19+C20)*F27*'数据-取费表'!B21/'数据-取费表'!B20,0)</f>
        <v>20003</v>
      </c>
      <c r="D28" s="235"/>
      <c r="E28" s="236"/>
      <c r="F28" s="246"/>
      <c r="G28" s="247"/>
    </row>
    <row r="29" spans="1:7" s="214" customFormat="1" ht="13.5" customHeight="1">
      <c r="A29" s="780" t="s">
        <v>347</v>
      </c>
      <c r="B29" s="248" t="s">
        <v>1517</v>
      </c>
      <c r="C29" s="238">
        <f ca="1">ROUND(C21*F27*'数据-取费表'!B21/'数据-取费表'!B20,4)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159928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28987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26422</v>
      </c>
      <c r="D34" s="217"/>
      <c r="E34" s="220"/>
      <c r="F34" s="257">
        <f ca="1">IF('数据-取费表'!B24=0,1,IF(B1="",'数据-取费表'!N16,INDIRECT("'数据-取费表'!n"&amp;$G$1)))</f>
        <v>1</v>
      </c>
      <c r="G34" s="219" t="s">
        <v>1526</v>
      </c>
    </row>
    <row r="35" spans="1:7" ht="13.5" customHeight="1">
      <c r="A35" s="780" t="s">
        <v>351</v>
      </c>
      <c r="B35" s="215" t="s">
        <v>1527</v>
      </c>
      <c r="C35" s="220">
        <f ca="1">ROUND(C34*F35,0)</f>
        <v>793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1376</v>
      </c>
      <c r="D37" s="217">
        <f ca="1">D19</f>
        <v>68805.62</v>
      </c>
      <c r="E37" s="249">
        <f>'数据-取费表'!B35</f>
        <v>200</v>
      </c>
      <c r="F37" s="259"/>
      <c r="G37" s="261" t="s">
        <v>1532</v>
      </c>
    </row>
    <row r="38" spans="1:7" ht="13.5" customHeight="1">
      <c r="A38" s="780" t="s">
        <v>354</v>
      </c>
      <c r="B38" s="215" t="s">
        <v>1533</v>
      </c>
      <c r="C38" s="220">
        <f ca="1">ROUND(C34*F38,0)</f>
        <v>396</v>
      </c>
      <c r="D38" s="220"/>
      <c r="E38" s="220"/>
      <c r="F38" s="259">
        <f>'数据-取费表'!B36</f>
        <v>1.4999999999999999E-2</v>
      </c>
      <c r="G38" s="219" t="s">
        <v>1528</v>
      </c>
    </row>
    <row r="39" spans="1:7" s="214" customFormat="1" ht="13.5" customHeight="1">
      <c r="A39" s="255" t="s">
        <v>1534</v>
      </c>
      <c r="B39" s="210" t="s">
        <v>1535</v>
      </c>
      <c r="C39" s="232">
        <f ca="1">ROUND(C33*F20,0)</f>
        <v>580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1203</v>
      </c>
      <c r="D42" s="238"/>
      <c r="E42" s="238"/>
      <c r="F42" s="239"/>
      <c r="G42" s="3800" t="s">
        <v>1544</v>
      </c>
    </row>
    <row r="43" spans="1:7" ht="13.5" customHeight="1">
      <c r="A43" s="780" t="s">
        <v>347</v>
      </c>
      <c r="B43" s="215" t="s">
        <v>1545</v>
      </c>
      <c r="C43" s="238">
        <f ca="1">ROUND(IF('数据-取费表'!B22&lt;=1,C39*F22*'数据-取费表'!B21/2,C39*(POWER((1+F22),'数据-取费表'!B21/2)-1)),0)</f>
        <v>24</v>
      </c>
      <c r="D43" s="238"/>
      <c r="E43" s="238"/>
      <c r="F43" s="239"/>
      <c r="G43" s="3801"/>
    </row>
    <row r="44" spans="1:7" ht="13.5" customHeight="1">
      <c r="A44" s="780" t="s">
        <v>348</v>
      </c>
      <c r="B44" s="215" t="s">
        <v>1546</v>
      </c>
      <c r="C44" s="238">
        <f ca="1">ROUND(IF('数据-取费表'!B22&lt;=1,C40*F22*'数据-取费表'!B21/2,C40*(POWER((1+F22),'数据-取费表'!B21/2)-1)),4)</f>
        <v>8.0000000000000004E-4</v>
      </c>
      <c r="D44" s="238"/>
      <c r="E44" s="238"/>
      <c r="F44" s="239"/>
      <c r="G44" s="3802"/>
    </row>
    <row r="45" spans="1:7" s="214" customFormat="1" ht="13.5" customHeight="1">
      <c r="A45" s="255" t="s">
        <v>1547</v>
      </c>
      <c r="B45" s="244" t="s">
        <v>1513</v>
      </c>
      <c r="C45" s="245">
        <f ca="1">C46</f>
        <v>5026</v>
      </c>
      <c r="D45" s="235">
        <f ca="1">C47</f>
        <v>3.3999999999999998E-3</v>
      </c>
      <c r="E45" s="236" t="s">
        <v>1539</v>
      </c>
      <c r="F45" s="246">
        <f ca="1">F27</f>
        <v>0.17</v>
      </c>
      <c r="G45" s="247" t="s">
        <v>1548</v>
      </c>
    </row>
    <row r="46" spans="1:7" s="214" customFormat="1" ht="13.5" customHeight="1">
      <c r="A46" s="780" t="s">
        <v>346</v>
      </c>
      <c r="B46" s="248" t="s">
        <v>1549</v>
      </c>
      <c r="C46" s="249">
        <f ca="1">ROUND((C33+C39)*F27,0)</f>
        <v>5026</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38829</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32228</v>
      </c>
      <c r="D51" s="232"/>
      <c r="E51" s="232"/>
      <c r="F51" s="264"/>
      <c r="G51" s="234" t="s">
        <v>1560</v>
      </c>
    </row>
    <row r="52" spans="1:7" s="208" customFormat="1" ht="16.5" thickBot="1">
      <c r="A52" s="265" t="s">
        <v>1561</v>
      </c>
      <c r="B52" s="266"/>
      <c r="C52" s="267">
        <f ca="1">C31+C51</f>
        <v>192156</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41412.319999999992</v>
      </c>
      <c r="E1" s="1995"/>
      <c r="F1" s="1995"/>
      <c r="G1" s="1995"/>
      <c r="H1" s="1995"/>
      <c r="I1" s="1995"/>
      <c r="J1" s="1995"/>
      <c r="K1" s="1119"/>
      <c r="L1" s="1996" t="s">
        <v>1928</v>
      </c>
      <c r="M1" s="863">
        <f>SUMPRODUCT((区片价!B5:B9=I2)*(区片价!C3:G3=E2)*(区片价!C5:G9))</f>
        <v>34850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110606</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43184</v>
      </c>
      <c r="U2" s="1213">
        <v>3538.82</v>
      </c>
      <c r="V2" s="3361">
        <f>ROUND(T2*U2/10000,0)</f>
        <v>15282</v>
      </c>
      <c r="W2" s="1216"/>
      <c r="X2" s="1216"/>
      <c r="Y2" s="1216"/>
      <c r="Z2" s="1216"/>
      <c r="AA2" s="1216"/>
      <c r="AB2" s="1216"/>
      <c r="AC2" s="1217"/>
      <c r="AD2" s="1218"/>
      <c r="AE2" s="1218"/>
      <c r="AF2" s="1218"/>
      <c r="AG2" s="1218"/>
      <c r="AH2" s="1218"/>
      <c r="AI2" s="1218"/>
      <c r="AJ2" s="1219"/>
    </row>
    <row r="3" spans="1:36" ht="15.75">
      <c r="A3" s="203" t="s">
        <v>1940</v>
      </c>
      <c r="B3" s="204">
        <f>ROUND(B2*10000/D1,0)</f>
        <v>26708</v>
      </c>
      <c r="C3" s="1999" t="s">
        <v>1941</v>
      </c>
      <c r="D3" s="2000" t="s">
        <v>1942</v>
      </c>
      <c r="E3" s="3420" t="s">
        <v>2448</v>
      </c>
      <c r="F3" s="2004" t="s">
        <v>3387</v>
      </c>
      <c r="G3" s="752">
        <f>IF(F3="宗地容积率",'数据-汇总表'!I4,IF(F3="估价对象容积率",'数据-汇总表'!I6,'数据-汇总表'!I7))</f>
        <v>3.36</v>
      </c>
      <c r="H3" s="170" t="s">
        <v>1943</v>
      </c>
      <c r="I3" s="775">
        <v>11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34283</v>
      </c>
      <c r="U3" s="1213">
        <v>3328.97</v>
      </c>
      <c r="V3" s="3361">
        <f t="shared" ref="V3:V16" si="1">ROUND(T3*U3/10000,0)</f>
        <v>11413</v>
      </c>
      <c r="W3" s="1216"/>
      <c r="X3" s="1216"/>
      <c r="Y3" s="1216"/>
      <c r="Z3" s="1216"/>
      <c r="AA3" s="1216"/>
      <c r="AB3" s="1216"/>
      <c r="AC3" s="1217"/>
      <c r="AD3" s="1218"/>
      <c r="AE3" s="1218"/>
      <c r="AF3" s="1218"/>
      <c r="AG3" s="1218"/>
      <c r="AH3" s="1218"/>
      <c r="AI3" s="1218"/>
      <c r="AJ3" s="1219"/>
    </row>
    <row r="4" spans="1:36" ht="15.75">
      <c r="A4" s="3810"/>
      <c r="B4" s="3811"/>
      <c r="C4" s="3811"/>
      <c r="D4" s="3812"/>
      <c r="E4" s="3812"/>
      <c r="F4" s="3812"/>
      <c r="G4" s="3812"/>
      <c r="H4" s="3812"/>
      <c r="I4" s="3812"/>
      <c r="J4" s="381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29623</v>
      </c>
      <c r="U4" s="1213">
        <v>4308.8599999999997</v>
      </c>
      <c r="V4" s="3361">
        <f t="shared" si="1"/>
        <v>12764</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34850</v>
      </c>
      <c r="D5" s="1339">
        <f>ROUND(C6*C17+C20,0)</f>
        <v>34850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26806</v>
      </c>
      <c r="U5" s="1213">
        <v>4362.0600000000004</v>
      </c>
      <c r="V5" s="3361">
        <f t="shared" si="1"/>
        <v>11693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25548</v>
      </c>
      <c r="U6" s="1213">
        <v>3971.16</v>
      </c>
      <c r="V6" s="3361">
        <f t="shared" si="1"/>
        <v>10146</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v>0.89219999999999999</v>
      </c>
      <c r="T7" s="3361">
        <f t="shared" si="0"/>
        <v>25338</v>
      </c>
      <c r="U7" s="1213">
        <v>3971.16</v>
      </c>
      <c r="V7" s="3361">
        <f t="shared" si="1"/>
        <v>10062</v>
      </c>
      <c r="W7" s="1358" t="s">
        <v>1955</v>
      </c>
      <c r="X7" s="1214" t="str">
        <f>G2</f>
        <v>一级</v>
      </c>
      <c r="Y7" s="1214" t="s">
        <v>1956</v>
      </c>
      <c r="Z7" s="1215">
        <f>G3</f>
        <v>3.36</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v>0.89149999999999996</v>
      </c>
      <c r="T8" s="3361">
        <f t="shared" si="0"/>
        <v>25318</v>
      </c>
      <c r="U8" s="1213">
        <v>3185.77</v>
      </c>
      <c r="V8" s="3361">
        <f t="shared" si="1"/>
        <v>8066</v>
      </c>
      <c r="W8" s="3807" t="s">
        <v>1960</v>
      </c>
      <c r="X8" s="380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v>0.89059999999999995</v>
      </c>
      <c r="T9" s="3361">
        <f t="shared" si="0"/>
        <v>25292</v>
      </c>
      <c r="U9" s="1213">
        <v>3185.77</v>
      </c>
      <c r="V9" s="3361">
        <f t="shared" si="1"/>
        <v>8057</v>
      </c>
      <c r="W9" s="3809"/>
      <c r="X9" s="3362" t="s">
        <v>3275</v>
      </c>
      <c r="Y9" s="3363">
        <v>12</v>
      </c>
      <c r="Z9" s="3364">
        <f>$Y$9</f>
        <v>12</v>
      </c>
      <c r="AA9" s="3364">
        <f t="shared" ref="AA9:AJ9" si="2">$Y$9</f>
        <v>12</v>
      </c>
      <c r="AB9" s="3364">
        <f t="shared" si="2"/>
        <v>12</v>
      </c>
      <c r="AC9" s="3364">
        <f t="shared" si="2"/>
        <v>12</v>
      </c>
      <c r="AD9" s="3364">
        <f t="shared" si="2"/>
        <v>12</v>
      </c>
      <c r="AE9" s="3364">
        <f t="shared" si="2"/>
        <v>12</v>
      </c>
      <c r="AF9" s="3364">
        <f t="shared" si="2"/>
        <v>12</v>
      </c>
      <c r="AG9" s="3364">
        <f t="shared" si="2"/>
        <v>12</v>
      </c>
      <c r="AH9" s="3364">
        <f t="shared" si="2"/>
        <v>12</v>
      </c>
      <c r="AI9" s="3364">
        <f t="shared" si="2"/>
        <v>12</v>
      </c>
      <c r="AJ9" s="3364">
        <f t="shared" si="2"/>
        <v>12</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v>0.88970000000000005</v>
      </c>
      <c r="T10" s="3361">
        <f t="shared" si="0"/>
        <v>25267</v>
      </c>
      <c r="U10" s="1213">
        <v>2711.97</v>
      </c>
      <c r="V10" s="3361">
        <f t="shared" si="1"/>
        <v>6852</v>
      </c>
      <c r="W10" s="3809"/>
      <c r="X10" s="3362">
        <v>6</v>
      </c>
      <c r="Y10" s="3365">
        <f>ROUND((-0.5556*(Y9^2)-0.2719*Y9+8944)*(10^(-4)),4)</f>
        <v>0.8861</v>
      </c>
      <c r="Z10" s="3365">
        <f>ROUND((-0.5556*(Z9^2)-0.2719*Z9+8944)*(10^(-4)),4)</f>
        <v>0.8861</v>
      </c>
      <c r="AA10" s="3365">
        <f>ROUND((-0.7912*(AA9^2)-11.3794*AA9+8482)*(10^(-4)),4)</f>
        <v>0.82320000000000004</v>
      </c>
      <c r="AB10" s="3365">
        <f>ROUND((-0.7912*(AB9^2)-11.3794*AB9+8482)*(10^(-4)),4)</f>
        <v>0.82320000000000004</v>
      </c>
      <c r="AC10" s="3365">
        <f>ROUND((-0.7912*(AC9^2)-11.3794*AC9+8482)*(10^(-4)),4)</f>
        <v>0.82320000000000004</v>
      </c>
      <c r="AD10" s="3365">
        <f>ROUND((-0.7912*(AD9^2)-11.3794*AD9+8482)*(10^(-4)),4)</f>
        <v>0.82320000000000004</v>
      </c>
      <c r="AE10" s="3365">
        <f>ROUND((-0.7912*(AE9^2)-11.3794*AE9+8482)*(10^(-4)),4)</f>
        <v>0.82320000000000004</v>
      </c>
      <c r="AF10" s="3365">
        <f>ROUND((-0.989*(AF9^2)-63.78*AF9+7771)*(10^(-4)),4)</f>
        <v>0.68630000000000002</v>
      </c>
      <c r="AG10" s="3365">
        <f>ROUND((-0.989*(AG9^2)-63.78*AG9+7771)*(10^(-4)),4)</f>
        <v>0.68630000000000002</v>
      </c>
      <c r="AH10" s="3365">
        <f>ROUND((-0.989*(AH9^2)-63.78*AH9+7771)*(10^(-4)),4)</f>
        <v>0.68630000000000002</v>
      </c>
      <c r="AI10" s="3365">
        <f>ROUND((-0.989*(AI9^2)-63.78*AI9+7771)*(10^(-4)),4)</f>
        <v>0.68630000000000002</v>
      </c>
      <c r="AJ10" s="3365">
        <f>ROUND((-0.989*(AJ9^2)-63.78*AJ9+7771)*(10^(-4)),4)</f>
        <v>0.68630000000000002</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v>0.88859999999999995</v>
      </c>
      <c r="T11" s="3361">
        <f t="shared" si="0"/>
        <v>25235</v>
      </c>
      <c r="U11" s="1213">
        <v>2445.6999999999998</v>
      </c>
      <c r="V11" s="3361">
        <f t="shared" si="1"/>
        <v>6172</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v>0.88739999999999997</v>
      </c>
      <c r="T12" s="3361">
        <f t="shared" si="0"/>
        <v>25201</v>
      </c>
      <c r="U12" s="1213">
        <v>2445.6999999999998</v>
      </c>
      <c r="V12" s="3361">
        <f t="shared" si="1"/>
        <v>6163</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v>0.8861</v>
      </c>
      <c r="T13" s="3361">
        <f t="shared" si="0"/>
        <v>25164</v>
      </c>
      <c r="U13" s="1213">
        <v>620.55999999999995</v>
      </c>
      <c r="V13" s="3361">
        <f t="shared" si="1"/>
        <v>1562</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4" t="s">
        <v>3261</v>
      </c>
      <c r="B20" s="167" t="s">
        <v>1994</v>
      </c>
      <c r="C20" s="3325">
        <f>ROUND(IF(F21="与级别开发程度一致",0,(G21-E21)/C21),0)</f>
        <v>0</v>
      </c>
      <c r="D20" s="3341" t="s">
        <v>1998</v>
      </c>
      <c r="E20" s="3342"/>
      <c r="F20" s="3820" t="s">
        <v>1995</v>
      </c>
      <c r="G20" s="3821"/>
      <c r="H20" s="3326" t="s">
        <v>3389</v>
      </c>
      <c r="I20" s="3326" t="s">
        <v>3390</v>
      </c>
      <c r="J20" s="3327" t="s">
        <v>3391</v>
      </c>
      <c r="K20" s="2047" t="s">
        <v>3392</v>
      </c>
      <c r="L20" s="2047" t="s">
        <v>3393</v>
      </c>
      <c r="M20" s="2047" t="s">
        <v>3394</v>
      </c>
      <c r="N20" s="2047" t="s">
        <v>3395</v>
      </c>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5"/>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44991</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0.8458</v>
      </c>
      <c r="D24" s="2060" t="s">
        <v>2007</v>
      </c>
      <c r="E24" s="1335">
        <f>存贷款利率!E22/100</f>
        <v>4.3499999999999997E-2</v>
      </c>
      <c r="F24" s="2060" t="s">
        <v>1999</v>
      </c>
      <c r="G24" s="768">
        <f>SUMIF(M30:Q30,E2,M33:Q33)</f>
        <v>5.5E-2</v>
      </c>
      <c r="H24" s="2060" t="s">
        <v>2008</v>
      </c>
      <c r="I24" s="769">
        <f>SUMIF('数据-取费表'!C6:C15,E2,'数据-取费表'!F6:F15)/COUNTIF('数据-取费表'!C6:C15,E2)</f>
        <v>25.63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1.0048999999999999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1.0048999999999999</v>
      </c>
      <c r="E26" s="752">
        <f>ROUNDDOWN(G3,1)</f>
        <v>3.3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752">
        <f>ROUNDUP(G3,1)</f>
        <v>3.4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0.88739999999999997</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110606</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28538</v>
      </c>
      <c r="D33" s="2098">
        <f>'数据-汇总表'!F31</f>
        <v>38029.119999999995</v>
      </c>
      <c r="E33" s="773">
        <f>ROUND(C33*D33/10000,0)</f>
        <v>108528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7135</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8"/>
      <c r="B37" s="2113" t="s">
        <v>2036</v>
      </c>
      <c r="C37" s="175">
        <f>ROUND(D5*C22*C23*C24*C28*F37,0)</f>
        <v>19879</v>
      </c>
      <c r="D37" s="2098"/>
      <c r="E37" s="171">
        <f>ROUND(C37*D37/10000,0)</f>
        <v>0</v>
      </c>
      <c r="F37" s="171">
        <f>SUMIF(修正!A57:A68,G2,修正!B57:B68)</f>
        <v>0.7</v>
      </c>
      <c r="G37" s="171">
        <f>ROUND(IF(E2="工业",C37*$M$42,C37*$M$41),0)</f>
        <v>4970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9"/>
      <c r="B38" s="2041" t="s">
        <v>2037</v>
      </c>
      <c r="C38" s="175">
        <f>ROUND(D5*C22*C23*C24*C28*F38,0)</f>
        <v>11360</v>
      </c>
      <c r="D38" s="2098"/>
      <c r="E38" s="171">
        <f t="shared" ref="E38:E42" si="4">ROUND(C38*D38/10000,0)</f>
        <v>0</v>
      </c>
      <c r="F38" s="171">
        <f>SUMIF(修正!A57:A68,G2,修正!C57:C68)</f>
        <v>0.4</v>
      </c>
      <c r="G38" s="171">
        <f>ROUND(IF(E2="工业",C38*$M$42,C38*$M$41),0)</f>
        <v>2840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19"/>
      <c r="B39" s="2041" t="s">
        <v>3266</v>
      </c>
      <c r="C39" s="175">
        <f>ROUND(D5*C22*C23*C24*C28*F39,0)</f>
        <v>8520</v>
      </c>
      <c r="D39" s="2098"/>
      <c r="E39" s="171">
        <f t="shared" si="4"/>
        <v>0</v>
      </c>
      <c r="F39" s="171">
        <f>SUMIF(修正!A57:A68,G2,修正!D57:D68)</f>
        <v>0.3</v>
      </c>
      <c r="G39" s="171">
        <f>ROUND(IF(E2="工业",C39*$M$42,C39*$M$41),0)</f>
        <v>2130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8520</v>
      </c>
      <c r="D40" s="2098"/>
      <c r="E40" s="171">
        <f t="shared" si="4"/>
        <v>0</v>
      </c>
      <c r="F40" s="175">
        <f>SUMIF(修正!A57:A68,G2,修正!E57:E68)</f>
        <v>0.3</v>
      </c>
      <c r="G40" s="171">
        <f>ROUND(IF(E2="工业",C40*$M$42,C40*$M$41),0)</f>
        <v>2130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9212</v>
      </c>
      <c r="D41" s="2098"/>
      <c r="E41" s="171">
        <f t="shared" si="4"/>
        <v>0</v>
      </c>
      <c r="F41" s="175">
        <f>SUMIF(修正!A57:A68,G2,修正!F57:F68)</f>
        <v>0.3</v>
      </c>
      <c r="G41" s="171">
        <f>ROUND(IF(E2="工业",C41*$M$42,C41*$M$41),0)</f>
        <v>2303</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6141</v>
      </c>
      <c r="D42" s="2103">
        <f>'数据-汇总表'!G20</f>
        <v>3383.2000000000007</v>
      </c>
      <c r="E42" s="187">
        <f t="shared" si="4"/>
        <v>2078</v>
      </c>
      <c r="F42" s="767">
        <f>SUMIF(修正!A57:A68,G2,修正!G57:G68)</f>
        <v>0.2</v>
      </c>
      <c r="G42" s="187">
        <f>ROUND(IF(E2="工业",C42*$M$42,C42*$M$41),0)</f>
        <v>1535</v>
      </c>
      <c r="H42" s="187">
        <f t="shared" si="5"/>
        <v>3383.2000000000007</v>
      </c>
      <c r="I42" s="187">
        <f t="shared" si="6"/>
        <v>519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0.91449999999999998</v>
      </c>
      <c r="D44" s="171" t="s">
        <v>1999</v>
      </c>
      <c r="E44" s="2153">
        <f>G24</f>
        <v>5.5E-2</v>
      </c>
      <c r="F44" s="171" t="s">
        <v>2008</v>
      </c>
      <c r="G44" s="183">
        <f>项目基本情况!F15</f>
        <v>35.630000000000003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1.4500000000000001E-2</v>
      </c>
      <c r="E50" s="744">
        <f>ROUND(SUM(D50:D58),4)</f>
        <v>4.4299999999999999E-2</v>
      </c>
      <c r="F50" s="1814">
        <f>IF(E2="商业",SUMIF(L1:L12,G2,N1:N12),"——")</f>
        <v>9.7000000000000003E-2</v>
      </c>
      <c r="G50" s="1063">
        <f>H50</f>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1.06E-2</v>
      </c>
      <c r="E51" s="745"/>
      <c r="F51" s="1814"/>
      <c r="G51" s="1063">
        <f t="shared" ref="G51:G58" si="12">H51</f>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3398</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6" t="s">
        <v>3301</v>
      </c>
      <c r="B103" s="3816"/>
      <c r="C103" s="3816"/>
      <c r="D103" s="3816"/>
      <c r="E103" s="3816"/>
      <c r="F103" s="3816"/>
      <c r="G103" s="3816"/>
      <c r="H103" s="3816"/>
      <c r="I103" s="3816"/>
      <c r="J103" s="3816"/>
      <c r="K103" s="3390"/>
      <c r="L103" s="3390"/>
      <c r="M103" s="3390"/>
      <c r="N103" s="3390"/>
    </row>
    <row r="104" spans="1:14">
      <c r="A104" s="3817" t="s">
        <v>3302</v>
      </c>
      <c r="B104" s="3817" t="s">
        <v>3303</v>
      </c>
      <c r="C104" s="3391" t="s">
        <v>3304</v>
      </c>
      <c r="D104" s="3392"/>
      <c r="E104" s="3392"/>
      <c r="F104" s="3392"/>
      <c r="G104" s="3392"/>
      <c r="H104" s="3392"/>
      <c r="I104" s="3392"/>
      <c r="J104" s="3393"/>
      <c r="K104" s="3394"/>
      <c r="L104" s="3394"/>
      <c r="M104" s="3394"/>
      <c r="N104" s="3394"/>
    </row>
    <row r="105" spans="1:14">
      <c r="A105" s="3817"/>
      <c r="B105" s="381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80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4"/>
      <c r="B111" s="3395" t="s">
        <v>3275</v>
      </c>
      <c r="C111" s="3396">
        <f>$I$3</f>
        <v>11</v>
      </c>
      <c r="D111" s="3396">
        <f t="shared" ref="D111:M111" si="33">$I$3</f>
        <v>11</v>
      </c>
      <c r="E111" s="3396">
        <f t="shared" si="33"/>
        <v>11</v>
      </c>
      <c r="F111" s="3396">
        <f t="shared" si="33"/>
        <v>11</v>
      </c>
      <c r="G111" s="3396">
        <f t="shared" si="33"/>
        <v>11</v>
      </c>
      <c r="H111" s="3396">
        <f t="shared" si="33"/>
        <v>11</v>
      </c>
      <c r="I111" s="3396">
        <f t="shared" si="33"/>
        <v>11</v>
      </c>
      <c r="J111" s="3396">
        <f t="shared" si="33"/>
        <v>11</v>
      </c>
      <c r="K111" s="3396">
        <f t="shared" si="33"/>
        <v>11</v>
      </c>
      <c r="L111" s="3396">
        <f t="shared" si="33"/>
        <v>11</v>
      </c>
      <c r="M111" s="3396">
        <f t="shared" si="33"/>
        <v>11</v>
      </c>
      <c r="N111" s="3396">
        <f>$I$3</f>
        <v>11</v>
      </c>
    </row>
    <row r="112" spans="1:14">
      <c r="A112" s="3805"/>
      <c r="B112" s="3395">
        <v>6</v>
      </c>
      <c r="C112" s="3388">
        <f>(-0.5556*(C111^2)-0.2719*C111+8944)*(10^(-4))</f>
        <v>0.88737814999999998</v>
      </c>
      <c r="D112" s="3388">
        <f>(-0.5556*(D111^2)-0.2719*D111+8944)*(10^(-4))</f>
        <v>0.88737814999999998</v>
      </c>
      <c r="E112" s="3388">
        <f>(-0.7912*(E111^2)-11.3794*E111+8482)*(10^(-4))</f>
        <v>0.82610914000000002</v>
      </c>
      <c r="F112" s="3388">
        <f t="shared" ref="F112:I112" si="34">(-0.7912*(F111^2)-11.3794*F111+8482)*(10^(-4))</f>
        <v>0.82610914000000002</v>
      </c>
      <c r="G112" s="3388">
        <f t="shared" si="34"/>
        <v>0.82610914000000002</v>
      </c>
      <c r="H112" s="3388">
        <f t="shared" si="34"/>
        <v>0.82610914000000002</v>
      </c>
      <c r="I112" s="3388">
        <f t="shared" si="34"/>
        <v>0.82610914000000002</v>
      </c>
      <c r="J112" s="3388">
        <f>(-0.989*(J111^2)-63.78*J111+7771)*(10^(-4))</f>
        <v>0.69497510000000007</v>
      </c>
      <c r="K112" s="3388">
        <f t="shared" ref="K112:N112" si="35">(-0.989*(K111^2)-63.78*K111+7771)*(10^(-4))</f>
        <v>0.69497510000000007</v>
      </c>
      <c r="L112" s="3388">
        <f t="shared" si="35"/>
        <v>0.69497510000000007</v>
      </c>
      <c r="M112" s="3388">
        <f t="shared" si="35"/>
        <v>0.69497510000000007</v>
      </c>
      <c r="N112" s="3388">
        <f t="shared" si="35"/>
        <v>0.69497510000000007</v>
      </c>
    </row>
    <row r="113" spans="1:14">
      <c r="A113" s="3806" t="s">
        <v>3318</v>
      </c>
      <c r="B113" s="3806"/>
      <c r="C113" s="3806"/>
      <c r="D113" s="3806"/>
      <c r="E113" s="3806"/>
      <c r="F113" s="3806"/>
      <c r="G113" s="3806"/>
      <c r="H113" s="3806"/>
      <c r="I113" s="3806"/>
      <c r="J113" s="380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3.36</v>
      </c>
      <c r="C116" s="3400" t="s">
        <v>3320</v>
      </c>
      <c r="D116" s="3401">
        <f>SUMPRODUCT((A118:A122=F116)*(B117:M117=H116)*B118:M122)</f>
        <v>0.95979999999999999</v>
      </c>
      <c r="E116" s="2000" t="s">
        <v>3321</v>
      </c>
      <c r="F116" s="3402" t="str">
        <f>E2</f>
        <v>商业</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0.95979999999999999</v>
      </c>
      <c r="C118" s="3388">
        <f>B118</f>
        <v>0.95979999999999999</v>
      </c>
      <c r="D118" s="3388">
        <f>ROUND(0.949-0.014*B116,4)</f>
        <v>0.90200000000000002</v>
      </c>
      <c r="E118" s="3388">
        <f>D118</f>
        <v>0.90200000000000002</v>
      </c>
      <c r="F118" s="3388">
        <f>E118</f>
        <v>0.90200000000000002</v>
      </c>
      <c r="G118" s="3388">
        <f>F118</f>
        <v>0.90200000000000002</v>
      </c>
      <c r="H118" s="3388">
        <f>G118</f>
        <v>0.90200000000000002</v>
      </c>
      <c r="I118" s="3388">
        <f>ROUND(0.8486-0.018*B116,4)</f>
        <v>0.78810000000000002</v>
      </c>
      <c r="J118" s="3388">
        <f t="shared" ref="J118:M122" si="36">I118</f>
        <v>0.78810000000000002</v>
      </c>
      <c r="K118" s="3388">
        <f t="shared" si="36"/>
        <v>0.78810000000000002</v>
      </c>
      <c r="L118" s="3388">
        <f t="shared" si="36"/>
        <v>0.78810000000000002</v>
      </c>
      <c r="M118" s="3411">
        <f t="shared" si="36"/>
        <v>0.78810000000000002</v>
      </c>
      <c r="N118" s="3398"/>
    </row>
    <row r="119" spans="1:14">
      <c r="A119" s="3410" t="s">
        <v>3336</v>
      </c>
      <c r="B119" s="3388">
        <f>ROUND(0.993-0.0112*B116,4)</f>
        <v>0.95540000000000003</v>
      </c>
      <c r="C119" s="3388">
        <f>B119</f>
        <v>0.95540000000000003</v>
      </c>
      <c r="D119" s="3388">
        <f>ROUND(0.9415-0.0142*B116,4)</f>
        <v>0.89380000000000004</v>
      </c>
      <c r="E119" s="3388">
        <f t="shared" ref="E119:H120" si="37">D119</f>
        <v>0.89380000000000004</v>
      </c>
      <c r="F119" s="3388">
        <f t="shared" si="37"/>
        <v>0.89380000000000004</v>
      </c>
      <c r="G119" s="3388">
        <f t="shared" si="37"/>
        <v>0.89380000000000004</v>
      </c>
      <c r="H119" s="3388">
        <f t="shared" si="37"/>
        <v>0.89380000000000004</v>
      </c>
      <c r="I119" s="3388">
        <f>ROUND(0.838-0.0182*B116,4)</f>
        <v>0.77680000000000005</v>
      </c>
      <c r="J119" s="3388">
        <f t="shared" si="36"/>
        <v>0.77680000000000005</v>
      </c>
      <c r="K119" s="3388">
        <f t="shared" si="36"/>
        <v>0.77680000000000005</v>
      </c>
      <c r="L119" s="3388">
        <f t="shared" si="36"/>
        <v>0.77680000000000005</v>
      </c>
      <c r="M119" s="3411">
        <f t="shared" si="36"/>
        <v>0.77680000000000005</v>
      </c>
      <c r="N119" s="3398"/>
    </row>
    <row r="120" spans="1:14">
      <c r="A120" s="3410" t="s">
        <v>3337</v>
      </c>
      <c r="B120" s="3388">
        <f>ROUND(0.9448-0.0115*B116,4)</f>
        <v>0.90620000000000001</v>
      </c>
      <c r="C120" s="3388">
        <f>B120</f>
        <v>0.90620000000000001</v>
      </c>
      <c r="D120" s="3388">
        <f>ROUND(0.937-0.0145*B116,4)</f>
        <v>0.88829999999999998</v>
      </c>
      <c r="E120" s="3388">
        <f t="shared" si="37"/>
        <v>0.88829999999999998</v>
      </c>
      <c r="F120" s="3388">
        <f t="shared" si="37"/>
        <v>0.88829999999999998</v>
      </c>
      <c r="G120" s="3388">
        <f t="shared" si="37"/>
        <v>0.88829999999999998</v>
      </c>
      <c r="H120" s="3388">
        <f t="shared" si="37"/>
        <v>0.88829999999999998</v>
      </c>
      <c r="I120" s="3388">
        <f>ROUND(0.7965-0.0185*B116,4)</f>
        <v>0.73429999999999995</v>
      </c>
      <c r="J120" s="3388">
        <f t="shared" si="36"/>
        <v>0.73429999999999995</v>
      </c>
      <c r="K120" s="3388">
        <f t="shared" si="36"/>
        <v>0.73429999999999995</v>
      </c>
      <c r="L120" s="3388">
        <f t="shared" si="36"/>
        <v>0.73429999999999995</v>
      </c>
      <c r="M120" s="3411">
        <f t="shared" si="36"/>
        <v>0.73429999999999995</v>
      </c>
      <c r="N120" s="3398"/>
    </row>
    <row r="121" spans="1:14" ht="13.5" thickBot="1">
      <c r="A121" s="3412" t="s">
        <v>3338</v>
      </c>
      <c r="B121" s="3413">
        <f>ROUND(0.7836-0.012*B116,4)</f>
        <v>0.74329999999999996</v>
      </c>
      <c r="C121" s="3413">
        <f>B121</f>
        <v>0.74329999999999996</v>
      </c>
      <c r="D121" s="3413">
        <f>ROUND(0.753-0.015*B116,4)</f>
        <v>0.7026</v>
      </c>
      <c r="E121" s="3413">
        <f>D121</f>
        <v>0.7026</v>
      </c>
      <c r="F121" s="3413">
        <f>E121</f>
        <v>0.7026</v>
      </c>
      <c r="G121" s="3413">
        <f>ROUND(0.6612-0.018*B116,4)</f>
        <v>0.60070000000000001</v>
      </c>
      <c r="H121" s="3413">
        <f>G121</f>
        <v>0.60070000000000001</v>
      </c>
      <c r="I121" s="3413">
        <f>ROUND(0.5905-0.019*B116,4)</f>
        <v>0.52669999999999995</v>
      </c>
      <c r="J121" s="3413">
        <f t="shared" si="36"/>
        <v>0.52669999999999995</v>
      </c>
      <c r="K121" s="3413">
        <f t="shared" si="36"/>
        <v>0.52669999999999995</v>
      </c>
      <c r="L121" s="3413">
        <f t="shared" si="36"/>
        <v>0.52669999999999995</v>
      </c>
      <c r="M121" s="3414">
        <f t="shared" si="36"/>
        <v>0.52669999999999995</v>
      </c>
      <c r="N121" s="3398"/>
    </row>
    <row r="122" spans="1:14">
      <c r="A122" s="3415" t="s">
        <v>2615</v>
      </c>
      <c r="B122" s="3388">
        <f>ROUND(0.9404-0.0106*B116,4)</f>
        <v>0.90480000000000005</v>
      </c>
      <c r="C122" s="3388">
        <f>B122</f>
        <v>0.90480000000000005</v>
      </c>
      <c r="D122" s="3388">
        <f>ROUND(0.8955-0.0135*B116,4)</f>
        <v>0.85009999999999997</v>
      </c>
      <c r="E122" s="3388">
        <f t="shared" ref="E122:H122" si="38">D122</f>
        <v>0.85009999999999997</v>
      </c>
      <c r="F122" s="3388">
        <f t="shared" si="38"/>
        <v>0.85009999999999997</v>
      </c>
      <c r="G122" s="3388">
        <f t="shared" si="38"/>
        <v>0.85009999999999997</v>
      </c>
      <c r="H122" s="3388">
        <f t="shared" si="38"/>
        <v>0.85009999999999997</v>
      </c>
      <c r="I122" s="3388">
        <f>ROUND(0.7632-0.0166*B116,4)</f>
        <v>0.70740000000000003</v>
      </c>
      <c r="J122" s="3388">
        <f t="shared" si="36"/>
        <v>0.70740000000000003</v>
      </c>
      <c r="K122" s="3388">
        <f t="shared" si="36"/>
        <v>0.70740000000000003</v>
      </c>
      <c r="L122" s="3388">
        <f t="shared" si="36"/>
        <v>0.70740000000000003</v>
      </c>
      <c r="M122" s="3411">
        <f t="shared" si="36"/>
        <v>0.70740000000000003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4">
        <f ca="1">ROUND(IF(D2="——",C52/10000,C52/10000-E2),4)</f>
        <v>36043.663500000002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13761124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13761124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13761124</v>
      </c>
      <c r="D10" s="845">
        <f ca="1">IF(B1="",'数据-汇总表'!E6,IF(INDIRECT("'数据-取费表'!c"&amp;$G$1)="住宅",INDIRECT("'数据-取费表'!s"&amp;$G$1),INDIRECT("'数据-取费表'!k"&amp;$G$1)+INDIRECT("'数据-取费表'!s"&amp;$G$1)))</f>
        <v>68805.62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13761124</v>
      </c>
      <c r="D19" s="849">
        <f ca="1">D9+D10</f>
        <v>68805.62</v>
      </c>
      <c r="E19" s="211">
        <f>'数据-取费表'!B31</f>
        <v>200</v>
      </c>
      <c r="F19" s="231"/>
      <c r="G19" s="1856"/>
    </row>
    <row r="20" spans="1:7" s="214" customFormat="1" ht="13.5" customHeight="1">
      <c r="A20" s="255" t="s">
        <v>1574</v>
      </c>
      <c r="B20" s="210" t="s">
        <v>1575</v>
      </c>
      <c r="C20" s="232">
        <f ca="1">ROUND((C5+C19)*F20,0)</f>
        <v>550445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2354589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1165873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1165873</v>
      </c>
      <c r="D24" s="238"/>
      <c r="E24" s="238"/>
      <c r="F24" s="239"/>
      <c r="G24" s="240" t="s">
        <v>1586</v>
      </c>
    </row>
    <row r="25" spans="1:7" s="214" customFormat="1" ht="24">
      <c r="A25" s="780" t="s">
        <v>1476</v>
      </c>
      <c r="B25" s="215" t="s">
        <v>1587</v>
      </c>
      <c r="C25" s="1128">
        <f ca="1">ROUND(IF('数据-取费表'!B22&lt;=1,C20*F22*'数据-取费表'!B22/2,C20*(POWER((1+F22),'数据-取费表'!B22/2)-1)),0)</f>
        <v>22843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4772358</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4772358</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38156791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289866374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264215550</v>
      </c>
      <c r="D34" s="217"/>
      <c r="E34" s="220"/>
      <c r="F34" s="257"/>
      <c r="G34" s="219"/>
    </row>
    <row r="35" spans="1:7" ht="13.5" customHeight="1">
      <c r="A35" s="780" t="s">
        <v>351</v>
      </c>
      <c r="B35" s="215" t="s">
        <v>1527</v>
      </c>
      <c r="C35" s="220">
        <f ca="1">ROUND(C34*F35,0)</f>
        <v>7926467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13761124</v>
      </c>
      <c r="D37" s="217">
        <f ca="1">D19</f>
        <v>68805.62</v>
      </c>
      <c r="E37" s="249">
        <f>'数据-取费表'!B35</f>
        <v>200</v>
      </c>
      <c r="F37" s="259"/>
      <c r="G37" s="261"/>
    </row>
    <row r="38" spans="1:7" ht="13.5" customHeight="1">
      <c r="A38" s="780" t="s">
        <v>354</v>
      </c>
      <c r="B38" s="215" t="s">
        <v>1533</v>
      </c>
      <c r="C38" s="220">
        <f ca="1">ROUND(C34*F38,0)</f>
        <v>3963233</v>
      </c>
      <c r="D38" s="220"/>
      <c r="E38" s="220"/>
      <c r="F38" s="259">
        <f>'数据-取费表'!B36</f>
        <v>1.4999999999999999E-2</v>
      </c>
      <c r="G38" s="219" t="s">
        <v>1528</v>
      </c>
    </row>
    <row r="39" spans="1:7" s="214" customFormat="1" ht="13.5" customHeight="1">
      <c r="A39" s="255" t="s">
        <v>1534</v>
      </c>
      <c r="B39" s="210" t="s">
        <v>1535</v>
      </c>
      <c r="C39" s="232">
        <f ca="1">ROUND(C33*F20,0)</f>
        <v>5797327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12270044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12029455</v>
      </c>
      <c r="D42" s="238"/>
      <c r="E42" s="238"/>
      <c r="F42" s="239"/>
      <c r="G42" s="3800" t="s">
        <v>1591</v>
      </c>
    </row>
    <row r="43" spans="1:7" ht="13.5" customHeight="1">
      <c r="A43" s="780" t="s">
        <v>347</v>
      </c>
      <c r="B43" s="215" t="s">
        <v>1545</v>
      </c>
      <c r="C43" s="238">
        <f ca="1">ROUND(IF('数据-取费表'!B22&lt;=1,C39*F22*'数据-取费表'!B20/2,C39*(POWER((1+F22),'数据-取费表'!B20/2)-1)),0)</f>
        <v>240589</v>
      </c>
      <c r="D43" s="238"/>
      <c r="E43" s="238"/>
      <c r="F43" s="239"/>
      <c r="G43" s="3801"/>
    </row>
    <row r="44" spans="1:7" ht="13.5" customHeight="1">
      <c r="A44" s="780" t="s">
        <v>348</v>
      </c>
      <c r="B44" s="215" t="s">
        <v>1546</v>
      </c>
      <c r="C44" s="238">
        <f ca="1">ROUND(IF('数据-取费表'!B22&lt;=1,C40*F22*'数据-取费表'!B20/2,C40*(POWER((1+F22),'数据-取费表'!B20/2)-1)),4)</f>
        <v>8.0000000000000004E-4</v>
      </c>
      <c r="D44" s="238"/>
      <c r="E44" s="238"/>
      <c r="F44" s="239"/>
      <c r="G44" s="3802"/>
    </row>
    <row r="45" spans="1:7" s="214" customFormat="1" ht="13.5" customHeight="1">
      <c r="A45" s="255" t="s">
        <v>1547</v>
      </c>
      <c r="B45" s="244" t="s">
        <v>1513</v>
      </c>
      <c r="C45" s="245">
        <f ca="1">C46</f>
        <v>50262829</v>
      </c>
      <c r="D45" s="235">
        <f ca="1">C47</f>
        <v>3.3999999999999998E-3</v>
      </c>
      <c r="E45" s="236" t="s">
        <v>1539</v>
      </c>
      <c r="F45" s="246">
        <f ca="1">F27</f>
        <v>0.17</v>
      </c>
      <c r="G45" s="247" t="s">
        <v>1548</v>
      </c>
    </row>
    <row r="46" spans="1:7" s="214" customFormat="1" ht="13.5" customHeight="1">
      <c r="A46" s="780" t="s">
        <v>346</v>
      </c>
      <c r="B46" s="248" t="s">
        <v>1549</v>
      </c>
      <c r="C46" s="249">
        <f ca="1">ROUND((C33+C39)*F27,0)</f>
        <v>50262829</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388288969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322279844</v>
      </c>
      <c r="D51" s="232"/>
      <c r="E51" s="232"/>
      <c r="F51" s="264"/>
      <c r="G51" s="234" t="s">
        <v>1560</v>
      </c>
    </row>
    <row r="52" spans="1:7" s="208" customFormat="1" ht="16.5" thickBot="1">
      <c r="A52" s="265" t="s">
        <v>1561</v>
      </c>
      <c r="B52" s="266"/>
      <c r="C52" s="267">
        <f ca="1">C31+C51</f>
        <v>360436635</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68805.62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68805.62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1376</v>
      </c>
      <c r="D20" s="846">
        <f ca="1">IF(C1="",'数据-汇总表'!E6,IF(INDIRECT("'数据-取费表'!c"&amp;$K$1)="住宅",INDIRECT("'数据-取费表'!s"&amp;$K$1),INDIRECT("'数据-取费表'!k"&amp;$K$1)+INDIRECT("'数据-取费表'!s"&amp;$K$1)))</f>
        <v>68805.62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估价对象为北京市房地产，为所有。根据《国有土地使用证》[]，估价对象（分摊）出让国有建设用地使用权面积为11305.41平方米，建筑面积为68805.62平方米。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估价对象为北京市房地产,为开发建设的，该项目尚在开发建设中。根据《国有土地使用证》[]，估价对象（分摊）出让国有建设用地使用权面积为11305.41平方米，规划建筑面积为68805.62平方米。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5" t="s">
        <v>694</v>
      </c>
      <c r="C6" s="1074">
        <f ca="1">ROUND(F6*F8*F7*(1-F9),0)</f>
        <v>0</v>
      </c>
      <c r="D6" s="155" t="s">
        <v>2106</v>
      </c>
      <c r="E6" s="302" t="s">
        <v>696</v>
      </c>
      <c r="F6" s="303">
        <f ca="1">INDIRECT("'数据-取费表'!u"&amp;$G$1)</f>
        <v>0</v>
      </c>
      <c r="G6" s="1384"/>
      <c r="H6" s="1069" t="s">
        <v>398</v>
      </c>
      <c r="I6" s="3795" t="s">
        <v>694</v>
      </c>
      <c r="J6" s="301">
        <f ca="1">ROUND(M6*M8*M7*(1-M9),0)</f>
        <v>0</v>
      </c>
      <c r="K6" s="1376" t="s">
        <v>2107</v>
      </c>
      <c r="L6" s="302" t="s">
        <v>696</v>
      </c>
      <c r="M6" s="303">
        <f ca="1">INDIRECT("'数据-取费表'!z"&amp;$G$1)</f>
        <v>0</v>
      </c>
    </row>
    <row r="7" spans="1:37" ht="18" customHeight="1">
      <c r="A7" s="1073"/>
      <c r="B7" s="3796"/>
      <c r="C7" s="1075"/>
      <c r="D7" s="307"/>
      <c r="E7" s="1076" t="s">
        <v>697</v>
      </c>
      <c r="F7" s="303">
        <f ca="1">IF(INDIRECT("'数据-取费表'!ah"&amp;$G$1)="",INDIRECT("'数据-取费表'!k"&amp;$G$1),INDIRECT("'数据-取费表'!ah"&amp;$G$1))</f>
        <v>0</v>
      </c>
      <c r="G7" s="1384"/>
      <c r="H7" s="304"/>
      <c r="I7" s="3796"/>
      <c r="J7" s="306"/>
      <c r="K7" s="307"/>
      <c r="L7" s="302" t="s">
        <v>697</v>
      </c>
      <c r="M7" s="303">
        <f ca="1">F7</f>
        <v>0</v>
      </c>
    </row>
    <row r="8" spans="1:37" ht="18" customHeight="1">
      <c r="A8" s="304"/>
      <c r="B8" s="3796"/>
      <c r="C8" s="306"/>
      <c r="D8" s="307"/>
      <c r="E8" s="302" t="s">
        <v>698</v>
      </c>
      <c r="F8" s="303">
        <f ca="1">INDIRECT("'数据-取费表'!ai"&amp;$G$1)</f>
        <v>0</v>
      </c>
      <c r="G8" s="1384"/>
      <c r="H8" s="304"/>
      <c r="I8" s="3796"/>
      <c r="J8" s="306"/>
      <c r="K8" s="307"/>
      <c r="L8" s="302" t="s">
        <v>698</v>
      </c>
      <c r="M8" s="303">
        <f ca="1">INDIRECT("'数据-取费表'!ai"&amp;$G$1)</f>
        <v>0</v>
      </c>
    </row>
    <row r="9" spans="1:37" ht="18" customHeight="1">
      <c r="A9" s="304"/>
      <c r="B9" s="3797"/>
      <c r="C9" s="306"/>
      <c r="D9" s="307"/>
      <c r="E9" s="302" t="s">
        <v>699</v>
      </c>
      <c r="F9" s="312">
        <f ca="1">INDIRECT("'数据-取费表'!w"&amp;$G$1)</f>
        <v>0</v>
      </c>
      <c r="G9" s="1384"/>
      <c r="H9" s="304"/>
      <c r="I9" s="37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93" t="s">
        <v>837</v>
      </c>
      <c r="L53" s="379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828" t="s">
        <v>2320</v>
      </c>
      <c r="K2" s="382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830" t="s">
        <v>2330</v>
      </c>
      <c r="K3" s="383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830" t="s">
        <v>2332</v>
      </c>
      <c r="K4" s="383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836" t="s">
        <v>2336</v>
      </c>
      <c r="B6" s="3837"/>
      <c r="C6" s="3838"/>
      <c r="D6" s="2870"/>
      <c r="E6" s="2871"/>
      <c r="F6" s="2872"/>
      <c r="G6" s="2873"/>
      <c r="H6" s="2848"/>
      <c r="I6" s="2849"/>
      <c r="J6" s="3822">
        <v>1</v>
      </c>
      <c r="K6" s="382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822"/>
      <c r="K7" s="382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839" t="s">
        <v>2350</v>
      </c>
      <c r="C8" s="3840"/>
      <c r="D8" s="2889" t="s">
        <v>2351</v>
      </c>
      <c r="E8" s="2890" t="s">
        <v>2352</v>
      </c>
      <c r="F8" s="2891" t="s">
        <v>2353</v>
      </c>
      <c r="G8" s="2892"/>
      <c r="H8" s="2848"/>
      <c r="I8" s="2849"/>
      <c r="J8" s="3822"/>
      <c r="K8" s="382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839" t="s">
        <v>2356</v>
      </c>
      <c r="C9" s="3840"/>
      <c r="D9" s="2889">
        <f>ROUND(D6*E9,0)</f>
        <v>0</v>
      </c>
      <c r="E9" s="2893"/>
      <c r="F9" s="2894" t="s">
        <v>2357</v>
      </c>
      <c r="G9" s="2873"/>
      <c r="H9" s="2848"/>
      <c r="I9" s="2849"/>
      <c r="J9" s="3822"/>
      <c r="K9" s="3824"/>
      <c r="L9" s="2883" t="s">
        <v>2358</v>
      </c>
      <c r="M9" s="2884"/>
      <c r="N9" s="2860"/>
      <c r="O9" s="2885"/>
      <c r="P9" s="2885"/>
      <c r="Q9" s="2886">
        <v>365</v>
      </c>
      <c r="R9" s="2887">
        <f t="shared" si="0"/>
        <v>0</v>
      </c>
      <c r="S9" s="2841"/>
      <c r="T9" s="2841"/>
      <c r="U9" s="2841"/>
      <c r="V9" s="2849"/>
    </row>
    <row r="10" spans="1:22" s="2853" customFormat="1" ht="13.15" customHeight="1">
      <c r="A10" s="2888">
        <v>2</v>
      </c>
      <c r="B10" s="3839" t="s">
        <v>2359</v>
      </c>
      <c r="C10" s="3840"/>
      <c r="D10" s="2889">
        <f>ROUND(D6*E10,0)</f>
        <v>0</v>
      </c>
      <c r="E10" s="2893"/>
      <c r="F10" s="2894" t="s">
        <v>2360</v>
      </c>
      <c r="G10" s="2873"/>
      <c r="H10" s="2848"/>
      <c r="I10" s="2849"/>
      <c r="J10" s="3822"/>
      <c r="K10" s="3824"/>
      <c r="L10" s="2883" t="s">
        <v>2361</v>
      </c>
      <c r="M10" s="2884"/>
      <c r="N10" s="2860"/>
      <c r="O10" s="2885"/>
      <c r="P10" s="2885"/>
      <c r="Q10" s="2886">
        <v>365</v>
      </c>
      <c r="R10" s="2887">
        <f t="shared" si="0"/>
        <v>0</v>
      </c>
      <c r="S10" s="2841"/>
      <c r="T10" s="2841"/>
      <c r="U10" s="2841"/>
      <c r="V10" s="2849"/>
    </row>
    <row r="11" spans="1:22" s="2853" customFormat="1" ht="13.15" customHeight="1">
      <c r="A11" s="2888">
        <v>3</v>
      </c>
      <c r="B11" s="3839" t="s">
        <v>2362</v>
      </c>
      <c r="C11" s="3840"/>
      <c r="D11" s="2889">
        <f>D12+D14+D15+D16</f>
        <v>0</v>
      </c>
      <c r="E11" s="2895" t="e">
        <f>D11/D6</f>
        <v>#DIV/0!</v>
      </c>
      <c r="F11" s="2891"/>
      <c r="G11" s="2892"/>
      <c r="H11" s="2848"/>
      <c r="I11" s="2849"/>
      <c r="J11" s="3822"/>
      <c r="K11" s="382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832" t="s">
        <v>2365</v>
      </c>
      <c r="C12" s="3833"/>
      <c r="D12" s="2897">
        <f>ROUND(D13*1.2%*(1-30%),0)</f>
        <v>0</v>
      </c>
      <c r="E12" s="2898">
        <v>1.2E-2</v>
      </c>
      <c r="F12" s="2891" t="s">
        <v>2366</v>
      </c>
      <c r="G12" s="2892"/>
      <c r="H12" s="2848"/>
      <c r="I12" s="2849"/>
      <c r="J12" s="3822"/>
      <c r="K12" s="382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822"/>
      <c r="K13" s="382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832" t="s">
        <v>2371</v>
      </c>
      <c r="C14" s="3833"/>
      <c r="D14" s="2897">
        <f>ROUND(E14*B5/10000,0)</f>
        <v>0</v>
      </c>
      <c r="E14" s="2886"/>
      <c r="F14" s="2891" t="s">
        <v>2372</v>
      </c>
      <c r="G14" s="2892"/>
      <c r="H14" s="2848"/>
      <c r="I14" s="2849"/>
      <c r="J14" s="3822"/>
      <c r="K14" s="382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832" t="s">
        <v>2375</v>
      </c>
      <c r="C15" s="3833"/>
      <c r="D15" s="2897">
        <f>ROUND(D6*E15,0)</f>
        <v>0</v>
      </c>
      <c r="E15" s="2898">
        <v>5.5E-2</v>
      </c>
      <c r="F15" s="2891" t="s">
        <v>2376</v>
      </c>
      <c r="G15" s="2873"/>
      <c r="H15" s="2848"/>
      <c r="I15" s="2849"/>
      <c r="J15" s="3822">
        <v>2</v>
      </c>
      <c r="K15" s="382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832" t="s">
        <v>2384</v>
      </c>
      <c r="C16" s="3833"/>
      <c r="D16" s="2908">
        <f>D6*E16</f>
        <v>0</v>
      </c>
      <c r="E16" s="2909"/>
      <c r="F16" s="2894" t="s">
        <v>2385</v>
      </c>
      <c r="G16" s="2873"/>
      <c r="H16" s="2848"/>
      <c r="I16" s="2849"/>
      <c r="J16" s="3822"/>
      <c r="K16" s="382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834" t="s">
        <v>2387</v>
      </c>
      <c r="C17" s="3835"/>
      <c r="D17" s="2911">
        <f>ROUND(D6*E17,0)</f>
        <v>0</v>
      </c>
      <c r="E17" s="2912"/>
      <c r="F17" s="2913" t="s">
        <v>2388</v>
      </c>
      <c r="G17" s="2873"/>
      <c r="H17" s="2848"/>
      <c r="I17" s="2849"/>
      <c r="J17" s="3822"/>
      <c r="K17" s="382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822"/>
      <c r="K18" s="382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822"/>
      <c r="K19" s="382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22">
        <v>3</v>
      </c>
      <c r="K20" s="382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822"/>
      <c r="K21" s="382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822"/>
      <c r="K22" s="382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822"/>
      <c r="K23" s="382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822"/>
      <c r="K24" s="382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82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8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828" t="s">
        <v>2320</v>
      </c>
      <c r="K32" s="382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830" t="s">
        <v>2330</v>
      </c>
      <c r="K33" s="383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830" t="s">
        <v>2332</v>
      </c>
      <c r="K34" s="383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822">
        <v>1</v>
      </c>
      <c r="K36" s="382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822"/>
      <c r="K37" s="382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22"/>
      <c r="K38" s="382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822"/>
      <c r="K39" s="382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822"/>
      <c r="K40" s="382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82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8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68805.62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9" t="s">
        <v>1667</v>
      </c>
      <c r="D4" s="3760"/>
      <c r="E4" s="3761" t="s">
        <v>1668</v>
      </c>
      <c r="F4" s="3762"/>
      <c r="G4" s="3759" t="s">
        <v>1669</v>
      </c>
      <c r="H4" s="3760"/>
      <c r="I4" s="3759" t="s">
        <v>1670</v>
      </c>
      <c r="J4" s="3760"/>
      <c r="K4" s="1889" t="s">
        <v>1671</v>
      </c>
      <c r="L4" s="2715"/>
      <c r="M4" s="2716"/>
      <c r="N4" s="2716"/>
      <c r="O4" s="2716"/>
      <c r="P4" s="3845" t="s">
        <v>1672</v>
      </c>
      <c r="Q4" s="3846"/>
      <c r="R4" s="3849" t="s">
        <v>1668</v>
      </c>
      <c r="S4" s="3850"/>
      <c r="T4" s="3849" t="s">
        <v>1669</v>
      </c>
      <c r="U4" s="3850"/>
      <c r="V4" s="3776" t="s">
        <v>1670</v>
      </c>
      <c r="W4" s="3776"/>
      <c r="X4" s="1355"/>
      <c r="Y4" s="3849" t="s">
        <v>1672</v>
      </c>
      <c r="Z4" s="3850"/>
      <c r="AA4" s="3844" t="s">
        <v>1668</v>
      </c>
      <c r="AB4" s="3844" t="s">
        <v>1669</v>
      </c>
      <c r="AC4" s="3844" t="s">
        <v>1670</v>
      </c>
    </row>
    <row r="5" spans="1:29" ht="15">
      <c r="A5" s="358"/>
      <c r="B5" s="359"/>
      <c r="C5" s="3785" t="s">
        <v>1673</v>
      </c>
      <c r="D5" s="3780"/>
      <c r="E5" s="3851" t="s">
        <v>1674</v>
      </c>
      <c r="F5" s="3792"/>
      <c r="G5" s="3785" t="s">
        <v>1675</v>
      </c>
      <c r="H5" s="3780"/>
      <c r="I5" s="3785" t="s">
        <v>1676</v>
      </c>
      <c r="J5" s="3780"/>
      <c r="K5" s="1890"/>
      <c r="L5" s="2715"/>
      <c r="M5" s="2716"/>
      <c r="N5" s="2716"/>
      <c r="O5" s="2716"/>
      <c r="P5" s="3847"/>
      <c r="Q5" s="3766"/>
      <c r="R5" s="3771"/>
      <c r="S5" s="3772"/>
      <c r="T5" s="3771"/>
      <c r="U5" s="3772"/>
      <c r="V5" s="3776"/>
      <c r="W5" s="3776"/>
      <c r="X5" s="1355"/>
      <c r="Y5" s="3771"/>
      <c r="Z5" s="3772"/>
      <c r="AA5" s="3789"/>
      <c r="AB5" s="3789"/>
      <c r="AC5" s="3789"/>
    </row>
    <row r="6" spans="1:29" ht="15.75" thickBot="1">
      <c r="A6" s="360"/>
      <c r="B6" s="361"/>
      <c r="C6" s="3777" t="s">
        <v>1677</v>
      </c>
      <c r="D6" s="3778"/>
      <c r="E6" s="3786" t="s">
        <v>1677</v>
      </c>
      <c r="F6" s="3787"/>
      <c r="G6" s="3777" t="s">
        <v>1677</v>
      </c>
      <c r="H6" s="3778"/>
      <c r="I6" s="3777" t="s">
        <v>1677</v>
      </c>
      <c r="J6" s="3778"/>
      <c r="K6" s="1890" t="s">
        <v>1678</v>
      </c>
      <c r="L6" s="2715"/>
      <c r="M6" s="2716"/>
      <c r="N6" s="2716"/>
      <c r="O6" s="2716"/>
      <c r="P6" s="3848"/>
      <c r="Q6" s="3768"/>
      <c r="R6" s="3771"/>
      <c r="S6" s="3772"/>
      <c r="T6" s="3773"/>
      <c r="U6" s="3774"/>
      <c r="V6" s="3776"/>
      <c r="W6" s="3776"/>
      <c r="X6" s="1355"/>
      <c r="Y6" s="3773"/>
      <c r="Z6" s="3774"/>
      <c r="AA6" s="3790"/>
      <c r="AB6" s="3790"/>
      <c r="AC6" s="3790"/>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83" t="s">
        <v>1680</v>
      </c>
      <c r="Q7" s="3784"/>
      <c r="R7" s="701" t="s">
        <v>20</v>
      </c>
      <c r="S7" s="702">
        <f t="shared" ref="S7:S15" si="0">F7</f>
        <v>0</v>
      </c>
      <c r="T7" s="701" t="s">
        <v>20</v>
      </c>
      <c r="U7" s="702">
        <f t="shared" ref="U7:U15" si="1">H7</f>
        <v>0</v>
      </c>
      <c r="V7" s="701" t="s">
        <v>20</v>
      </c>
      <c r="W7" s="702">
        <f t="shared" ref="W7:W15" si="2">J7</f>
        <v>0</v>
      </c>
      <c r="X7" s="703"/>
      <c r="Y7" s="3783" t="s">
        <v>1680</v>
      </c>
      <c r="Z7" s="37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83" t="s">
        <v>1683</v>
      </c>
      <c r="Q8" s="3782"/>
      <c r="R8" s="701" t="s">
        <v>20</v>
      </c>
      <c r="S8" s="702">
        <f t="shared" si="0"/>
        <v>100</v>
      </c>
      <c r="T8" s="701" t="s">
        <v>20</v>
      </c>
      <c r="U8" s="702">
        <f t="shared" si="1"/>
        <v>100</v>
      </c>
      <c r="V8" s="701" t="s">
        <v>20</v>
      </c>
      <c r="W8" s="702">
        <f t="shared" si="2"/>
        <v>100</v>
      </c>
      <c r="X8" s="703"/>
      <c r="Y8" s="3783" t="s">
        <v>1683</v>
      </c>
      <c r="Z8" s="37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1"/>
      <c r="Q11" s="1343"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1"/>
      <c r="Q12" s="1343">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1"/>
      <c r="Q13" s="1343">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1"/>
      <c r="Q14" s="1343">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7" t="s">
        <v>1691</v>
      </c>
      <c r="Q15" s="1352" t="str">
        <f t="shared" si="6"/>
        <v>居住社区成熟度</v>
      </c>
      <c r="R15" s="705" t="s">
        <v>18</v>
      </c>
      <c r="S15" s="706">
        <f t="shared" si="0"/>
        <v>100</v>
      </c>
      <c r="T15" s="705" t="s">
        <v>18</v>
      </c>
      <c r="U15" s="706">
        <f t="shared" si="1"/>
        <v>100</v>
      </c>
      <c r="V15" s="705" t="s">
        <v>18</v>
      </c>
      <c r="W15" s="706">
        <f t="shared" si="2"/>
        <v>100</v>
      </c>
      <c r="X15" s="1355"/>
      <c r="Y15" s="374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8"/>
      <c r="Q16" s="1352"/>
      <c r="R16" s="705"/>
      <c r="S16" s="706"/>
      <c r="T16" s="705"/>
      <c r="U16" s="706"/>
      <c r="V16" s="705"/>
      <c r="W16" s="706"/>
      <c r="X16" s="1355"/>
      <c r="Y16" s="375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8"/>
      <c r="Q17" s="1352" t="str">
        <f>B17</f>
        <v>交通便捷度</v>
      </c>
      <c r="R17" s="705" t="s">
        <v>18</v>
      </c>
      <c r="S17" s="706">
        <f>F17</f>
        <v>100</v>
      </c>
      <c r="T17" s="705" t="s">
        <v>18</v>
      </c>
      <c r="U17" s="706">
        <f>H17</f>
        <v>100</v>
      </c>
      <c r="V17" s="705" t="s">
        <v>18</v>
      </c>
      <c r="W17" s="706">
        <f>J17</f>
        <v>100</v>
      </c>
      <c r="X17" s="1355"/>
      <c r="Y17" s="375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8"/>
      <c r="Q18" s="1352"/>
      <c r="R18" s="705"/>
      <c r="S18" s="706"/>
      <c r="T18" s="705"/>
      <c r="U18" s="706"/>
      <c r="V18" s="705"/>
      <c r="W18" s="706"/>
      <c r="X18" s="1355"/>
      <c r="Y18" s="375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8"/>
      <c r="Q19" s="1352" t="str">
        <f>B19</f>
        <v>公共配套设施</v>
      </c>
      <c r="R19" s="705" t="s">
        <v>18</v>
      </c>
      <c r="S19" s="706">
        <f>F19</f>
        <v>100</v>
      </c>
      <c r="T19" s="705" t="s">
        <v>18</v>
      </c>
      <c r="U19" s="706">
        <f>H19</f>
        <v>100</v>
      </c>
      <c r="V19" s="705" t="s">
        <v>18</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8"/>
      <c r="Q20" s="1352"/>
      <c r="R20" s="705"/>
      <c r="S20" s="706"/>
      <c r="T20" s="705"/>
      <c r="U20" s="706"/>
      <c r="V20" s="705"/>
      <c r="W20" s="706"/>
      <c r="X20" s="1355"/>
      <c r="Y20" s="375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8"/>
      <c r="Q22" s="1352"/>
      <c r="R22" s="705"/>
      <c r="S22" s="706"/>
      <c r="T22" s="705"/>
      <c r="U22" s="706"/>
      <c r="V22" s="705"/>
      <c r="W22" s="706"/>
      <c r="X22" s="1355"/>
      <c r="Y22" s="375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8"/>
      <c r="Q23" s="1352" t="str">
        <f>B23</f>
        <v>自然及人文环境</v>
      </c>
      <c r="R23" s="705" t="s">
        <v>18</v>
      </c>
      <c r="S23" s="706">
        <f>F23</f>
        <v>100</v>
      </c>
      <c r="T23" s="705" t="s">
        <v>18</v>
      </c>
      <c r="U23" s="706">
        <f>H23</f>
        <v>100</v>
      </c>
      <c r="V23" s="705" t="s">
        <v>18</v>
      </c>
      <c r="W23" s="706">
        <f>J23</f>
        <v>100</v>
      </c>
      <c r="X23" s="1355"/>
      <c r="Y23" s="375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8"/>
      <c r="Q24" s="1352"/>
      <c r="R24" s="705"/>
      <c r="S24" s="706"/>
      <c r="T24" s="705"/>
      <c r="U24" s="706"/>
      <c r="V24" s="705"/>
      <c r="W24" s="706"/>
      <c r="X24" s="1355"/>
      <c r="Y24" s="375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8"/>
      <c r="Q26" s="1352" t="str">
        <f t="shared" si="11"/>
        <v>朝向</v>
      </c>
      <c r="R26" s="705" t="s">
        <v>18</v>
      </c>
      <c r="S26" s="706">
        <f t="shared" si="12"/>
        <v>100</v>
      </c>
      <c r="T26" s="705" t="s">
        <v>18</v>
      </c>
      <c r="U26" s="706">
        <f t="shared" si="13"/>
        <v>100</v>
      </c>
      <c r="V26" s="705" t="s">
        <v>18</v>
      </c>
      <c r="W26" s="706">
        <f t="shared" si="14"/>
        <v>100</v>
      </c>
      <c r="X26" s="1355"/>
      <c r="Y26" s="375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8"/>
      <c r="Q27" s="1343">
        <f t="shared" si="11"/>
        <v>111</v>
      </c>
      <c r="R27" s="701" t="s">
        <v>18</v>
      </c>
      <c r="S27" s="702">
        <f t="shared" si="12"/>
        <v>100</v>
      </c>
      <c r="T27" s="701" t="s">
        <v>18</v>
      </c>
      <c r="U27" s="702">
        <f t="shared" si="13"/>
        <v>100</v>
      </c>
      <c r="V27" s="701" t="s">
        <v>18</v>
      </c>
      <c r="W27" s="702">
        <f t="shared" si="14"/>
        <v>100</v>
      </c>
      <c r="X27" s="703"/>
      <c r="Y27" s="375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8"/>
      <c r="Q28" s="1352">
        <f t="shared" si="11"/>
        <v>111</v>
      </c>
      <c r="R28" s="705" t="s">
        <v>18</v>
      </c>
      <c r="S28" s="706">
        <f t="shared" si="12"/>
        <v>100</v>
      </c>
      <c r="T28" s="705" t="s">
        <v>18</v>
      </c>
      <c r="U28" s="706">
        <f t="shared" si="13"/>
        <v>100</v>
      </c>
      <c r="V28" s="705" t="s">
        <v>18</v>
      </c>
      <c r="W28" s="706">
        <f t="shared" si="14"/>
        <v>100</v>
      </c>
      <c r="X28" s="1355"/>
      <c r="Y28" s="375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8"/>
      <c r="Q29" s="1352">
        <f t="shared" si="11"/>
        <v>111</v>
      </c>
      <c r="R29" s="705" t="s">
        <v>18</v>
      </c>
      <c r="S29" s="706">
        <f t="shared" si="12"/>
        <v>100</v>
      </c>
      <c r="T29" s="705" t="s">
        <v>18</v>
      </c>
      <c r="U29" s="706">
        <f t="shared" si="13"/>
        <v>100</v>
      </c>
      <c r="V29" s="705" t="s">
        <v>18</v>
      </c>
      <c r="W29" s="706">
        <f t="shared" si="14"/>
        <v>100</v>
      </c>
      <c r="X29" s="1355"/>
      <c r="Y29" s="375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8"/>
      <c r="Q30" s="1352">
        <f t="shared" si="11"/>
        <v>111</v>
      </c>
      <c r="R30" s="705" t="s">
        <v>18</v>
      </c>
      <c r="S30" s="706">
        <f t="shared" si="12"/>
        <v>100</v>
      </c>
      <c r="T30" s="705" t="s">
        <v>18</v>
      </c>
      <c r="U30" s="706">
        <f t="shared" si="13"/>
        <v>100</v>
      </c>
      <c r="V30" s="705" t="s">
        <v>18</v>
      </c>
      <c r="W30" s="706">
        <f t="shared" si="14"/>
        <v>100</v>
      </c>
      <c r="X30" s="1355"/>
      <c r="Y30" s="375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8"/>
      <c r="Q31" s="1352">
        <f t="shared" si="11"/>
        <v>111</v>
      </c>
      <c r="R31" s="705" t="s">
        <v>18</v>
      </c>
      <c r="S31" s="706">
        <f t="shared" si="12"/>
        <v>100</v>
      </c>
      <c r="T31" s="705" t="s">
        <v>18</v>
      </c>
      <c r="U31" s="706">
        <f t="shared" si="13"/>
        <v>100</v>
      </c>
      <c r="V31" s="705" t="s">
        <v>18</v>
      </c>
      <c r="W31" s="706">
        <f t="shared" si="14"/>
        <v>100</v>
      </c>
      <c r="X31" s="1355"/>
      <c r="Y31" s="375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1" t="s">
        <v>1696</v>
      </c>
      <c r="Q32" s="1352" t="str">
        <f t="shared" si="11"/>
        <v>建筑类型</v>
      </c>
      <c r="R32" s="705" t="s">
        <v>18</v>
      </c>
      <c r="S32" s="706">
        <f t="shared" si="12"/>
        <v>100</v>
      </c>
      <c r="T32" s="705" t="s">
        <v>18</v>
      </c>
      <c r="U32" s="706">
        <f t="shared" si="13"/>
        <v>100</v>
      </c>
      <c r="V32" s="705" t="s">
        <v>18</v>
      </c>
      <c r="W32" s="706">
        <f t="shared" si="14"/>
        <v>100</v>
      </c>
      <c r="X32" s="1355"/>
      <c r="Y32" s="375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2"/>
      <c r="Q33" s="707" t="str">
        <f t="shared" si="11"/>
        <v>项目建筑规模</v>
      </c>
      <c r="R33" s="708" t="s">
        <v>18</v>
      </c>
      <c r="S33" s="709" t="e">
        <f t="shared" si="12"/>
        <v>#N/A</v>
      </c>
      <c r="T33" s="708" t="s">
        <v>18</v>
      </c>
      <c r="U33" s="709" t="e">
        <f t="shared" si="13"/>
        <v>#N/A</v>
      </c>
      <c r="V33" s="708" t="s">
        <v>18</v>
      </c>
      <c r="W33" s="709" t="e">
        <f t="shared" si="14"/>
        <v>#N/A</v>
      </c>
      <c r="X33" s="710"/>
      <c r="Y33" s="375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2"/>
      <c r="Q34" s="1352" t="str">
        <f t="shared" si="11"/>
        <v>建筑结构</v>
      </c>
      <c r="R34" s="705" t="s">
        <v>18</v>
      </c>
      <c r="S34" s="706">
        <f t="shared" si="12"/>
        <v>100</v>
      </c>
      <c r="T34" s="705" t="s">
        <v>18</v>
      </c>
      <c r="U34" s="706">
        <f t="shared" si="13"/>
        <v>100</v>
      </c>
      <c r="V34" s="705" t="s">
        <v>18</v>
      </c>
      <c r="W34" s="706">
        <f t="shared" si="14"/>
        <v>100</v>
      </c>
      <c r="X34" s="1355"/>
      <c r="Y34" s="375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2"/>
      <c r="Q35" s="1352" t="str">
        <f t="shared" si="11"/>
        <v>建筑品质</v>
      </c>
      <c r="R35" s="705" t="s">
        <v>18</v>
      </c>
      <c r="S35" s="706">
        <f t="shared" si="12"/>
        <v>100</v>
      </c>
      <c r="T35" s="705" t="s">
        <v>18</v>
      </c>
      <c r="U35" s="706">
        <f t="shared" si="13"/>
        <v>100</v>
      </c>
      <c r="V35" s="705" t="s">
        <v>18</v>
      </c>
      <c r="W35" s="706">
        <f t="shared" si="14"/>
        <v>100</v>
      </c>
      <c r="X35" s="1355"/>
      <c r="Y35" s="375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2"/>
      <c r="Q36" s="1352" t="str">
        <f t="shared" si="11"/>
        <v>公共部分装修</v>
      </c>
      <c r="R36" s="705" t="s">
        <v>18</v>
      </c>
      <c r="S36" s="706">
        <f t="shared" si="12"/>
        <v>100</v>
      </c>
      <c r="T36" s="705" t="s">
        <v>18</v>
      </c>
      <c r="U36" s="706">
        <f t="shared" si="13"/>
        <v>100</v>
      </c>
      <c r="V36" s="705" t="s">
        <v>18</v>
      </c>
      <c r="W36" s="706">
        <f t="shared" si="14"/>
        <v>100</v>
      </c>
      <c r="X36" s="1355"/>
      <c r="Y36" s="375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2"/>
      <c r="Q37" s="1343" t="str">
        <f t="shared" si="11"/>
        <v>成新度</v>
      </c>
      <c r="R37" s="701" t="s">
        <v>18</v>
      </c>
      <c r="S37" s="702" t="e">
        <f t="shared" si="12"/>
        <v>#N/A</v>
      </c>
      <c r="T37" s="701" t="s">
        <v>18</v>
      </c>
      <c r="U37" s="702" t="e">
        <f t="shared" si="13"/>
        <v>#N/A</v>
      </c>
      <c r="V37" s="701" t="s">
        <v>18</v>
      </c>
      <c r="W37" s="702" t="e">
        <f t="shared" si="14"/>
        <v>#N/A</v>
      </c>
      <c r="X37" s="703"/>
      <c r="Y37" s="375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2" t="s">
        <v>1696</v>
      </c>
      <c r="Q38" s="1352" t="str">
        <f t="shared" si="11"/>
        <v>物业管理</v>
      </c>
      <c r="R38" s="705" t="s">
        <v>18</v>
      </c>
      <c r="S38" s="706">
        <f t="shared" si="12"/>
        <v>100</v>
      </c>
      <c r="T38" s="705" t="s">
        <v>18</v>
      </c>
      <c r="U38" s="706">
        <f t="shared" si="13"/>
        <v>100</v>
      </c>
      <c r="V38" s="705" t="s">
        <v>18</v>
      </c>
      <c r="W38" s="706">
        <f t="shared" si="14"/>
        <v>100</v>
      </c>
      <c r="X38" s="1355"/>
      <c r="Y38" s="375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2"/>
      <c r="Q39" s="1352" t="str">
        <f t="shared" si="11"/>
        <v>市政基础设施</v>
      </c>
      <c r="R39" s="705" t="s">
        <v>18</v>
      </c>
      <c r="S39" s="706">
        <f t="shared" si="12"/>
        <v>100</v>
      </c>
      <c r="T39" s="705" t="s">
        <v>18</v>
      </c>
      <c r="U39" s="706">
        <f t="shared" si="13"/>
        <v>100</v>
      </c>
      <c r="V39" s="705" t="s">
        <v>18</v>
      </c>
      <c r="W39" s="706">
        <f t="shared" si="14"/>
        <v>100</v>
      </c>
      <c r="X39" s="1355"/>
      <c r="Y39" s="375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2"/>
      <c r="Q40" s="1352" t="str">
        <f t="shared" si="11"/>
        <v>房型</v>
      </c>
      <c r="R40" s="705" t="s">
        <v>18</v>
      </c>
      <c r="S40" s="706">
        <f t="shared" si="12"/>
        <v>100</v>
      </c>
      <c r="T40" s="705" t="s">
        <v>18</v>
      </c>
      <c r="U40" s="706">
        <f t="shared" si="13"/>
        <v>100</v>
      </c>
      <c r="V40" s="705" t="s">
        <v>18</v>
      </c>
      <c r="W40" s="706">
        <f t="shared" si="14"/>
        <v>100</v>
      </c>
      <c r="X40" s="1355"/>
      <c r="Y40" s="375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2"/>
      <c r="Q41" s="707" t="str">
        <f t="shared" si="11"/>
        <v>单套/主力户型建筑面积</v>
      </c>
      <c r="R41" s="708" t="s">
        <v>18</v>
      </c>
      <c r="S41" s="709">
        <f t="shared" si="12"/>
        <v>100</v>
      </c>
      <c r="T41" s="708" t="s">
        <v>18</v>
      </c>
      <c r="U41" s="709">
        <f t="shared" si="13"/>
        <v>100</v>
      </c>
      <c r="V41" s="708" t="s">
        <v>18</v>
      </c>
      <c r="W41" s="709">
        <f t="shared" si="14"/>
        <v>100</v>
      </c>
      <c r="X41" s="710"/>
      <c r="Y41" s="375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2"/>
      <c r="Q42" s="1352" t="str">
        <f t="shared" si="11"/>
        <v>内部装修</v>
      </c>
      <c r="R42" s="705" t="s">
        <v>18</v>
      </c>
      <c r="S42" s="706">
        <f t="shared" si="12"/>
        <v>100</v>
      </c>
      <c r="T42" s="705" t="s">
        <v>18</v>
      </c>
      <c r="U42" s="706">
        <f t="shared" si="13"/>
        <v>100</v>
      </c>
      <c r="V42" s="705" t="s">
        <v>18</v>
      </c>
      <c r="W42" s="706">
        <f t="shared" si="14"/>
        <v>100</v>
      </c>
      <c r="X42" s="1355"/>
      <c r="Y42" s="375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2"/>
      <c r="Q43" s="1352" t="str">
        <f t="shared" si="11"/>
        <v>内部装修维护情况</v>
      </c>
      <c r="R43" s="705" t="s">
        <v>18</v>
      </c>
      <c r="S43" s="706">
        <f t="shared" si="12"/>
        <v>100</v>
      </c>
      <c r="T43" s="705" t="s">
        <v>18</v>
      </c>
      <c r="U43" s="706">
        <f t="shared" si="13"/>
        <v>100</v>
      </c>
      <c r="V43" s="705" t="s">
        <v>18</v>
      </c>
      <c r="W43" s="706">
        <f t="shared" si="14"/>
        <v>100</v>
      </c>
      <c r="X43" s="1355"/>
      <c r="Y43" s="375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2"/>
      <c r="Q44" s="1343">
        <f t="shared" si="11"/>
        <v>111</v>
      </c>
      <c r="R44" s="701" t="s">
        <v>18</v>
      </c>
      <c r="S44" s="702">
        <f t="shared" si="12"/>
        <v>100</v>
      </c>
      <c r="T44" s="701" t="s">
        <v>18</v>
      </c>
      <c r="U44" s="702">
        <f t="shared" si="13"/>
        <v>100</v>
      </c>
      <c r="V44" s="701" t="s">
        <v>18</v>
      </c>
      <c r="W44" s="702">
        <f t="shared" si="14"/>
        <v>100</v>
      </c>
      <c r="X44" s="703"/>
      <c r="Y44" s="375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2"/>
      <c r="Q45" s="1352">
        <f t="shared" si="11"/>
        <v>111</v>
      </c>
      <c r="R45" s="705" t="s">
        <v>18</v>
      </c>
      <c r="S45" s="706">
        <f t="shared" si="12"/>
        <v>100</v>
      </c>
      <c r="T45" s="705" t="s">
        <v>18</v>
      </c>
      <c r="U45" s="706">
        <f t="shared" si="13"/>
        <v>100</v>
      </c>
      <c r="V45" s="705" t="s">
        <v>18</v>
      </c>
      <c r="W45" s="706">
        <f t="shared" si="14"/>
        <v>100</v>
      </c>
      <c r="X45" s="1355"/>
      <c r="Y45" s="375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3"/>
      <c r="Q46" s="1352">
        <f t="shared" si="11"/>
        <v>111</v>
      </c>
      <c r="R46" s="705" t="s">
        <v>17</v>
      </c>
      <c r="S46" s="706">
        <f t="shared" si="12"/>
        <v>100</v>
      </c>
      <c r="T46" s="705" t="s">
        <v>17</v>
      </c>
      <c r="U46" s="706">
        <f t="shared" si="13"/>
        <v>100</v>
      </c>
      <c r="V46" s="705" t="s">
        <v>17</v>
      </c>
      <c r="W46" s="706">
        <f t="shared" si="14"/>
        <v>100</v>
      </c>
      <c r="X46" s="1355"/>
      <c r="Y46" s="375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2" t="str">
        <f>A47</f>
        <v>成交单价（元/平方米）</v>
      </c>
      <c r="Q47" s="3742"/>
      <c r="R47" s="3743">
        <f>E47</f>
        <v>0</v>
      </c>
      <c r="S47" s="3743"/>
      <c r="T47" s="3743">
        <f>G47</f>
        <v>0</v>
      </c>
      <c r="U47" s="3743"/>
      <c r="V47" s="3743">
        <f>I47</f>
        <v>0</v>
      </c>
      <c r="W47" s="374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68805.62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9" t="s">
        <v>1770</v>
      </c>
      <c r="D4" s="3760"/>
      <c r="E4" s="3761" t="s">
        <v>1771</v>
      </c>
      <c r="F4" s="3762"/>
      <c r="G4" s="3759" t="s">
        <v>1772</v>
      </c>
      <c r="H4" s="3760"/>
      <c r="I4" s="3759" t="s">
        <v>1773</v>
      </c>
      <c r="J4" s="3760"/>
      <c r="K4" s="559" t="s">
        <v>1774</v>
      </c>
      <c r="L4" s="2715"/>
      <c r="M4" s="2716"/>
      <c r="N4" s="2716"/>
      <c r="O4" s="2716"/>
      <c r="P4" s="3845" t="s">
        <v>1775</v>
      </c>
      <c r="Q4" s="3846"/>
      <c r="R4" s="3849" t="s">
        <v>1771</v>
      </c>
      <c r="S4" s="3850"/>
      <c r="T4" s="3849" t="s">
        <v>1772</v>
      </c>
      <c r="U4" s="3850"/>
      <c r="V4" s="3776" t="s">
        <v>1773</v>
      </c>
      <c r="W4" s="3776"/>
      <c r="X4" s="1355"/>
      <c r="Y4" s="3849" t="s">
        <v>1775</v>
      </c>
      <c r="Z4" s="3850"/>
      <c r="AA4" s="3844" t="s">
        <v>1771</v>
      </c>
      <c r="AB4" s="3776" t="s">
        <v>1772</v>
      </c>
      <c r="AC4" s="3844" t="s">
        <v>1773</v>
      </c>
    </row>
    <row r="5" spans="1:29" ht="15">
      <c r="A5" s="358"/>
      <c r="B5" s="359"/>
      <c r="C5" s="3785" t="s">
        <v>1673</v>
      </c>
      <c r="D5" s="3780"/>
      <c r="E5" s="3851" t="s">
        <v>1674</v>
      </c>
      <c r="F5" s="3792"/>
      <c r="G5" s="3785" t="s">
        <v>1675</v>
      </c>
      <c r="H5" s="3780"/>
      <c r="I5" s="3785" t="s">
        <v>1676</v>
      </c>
      <c r="J5" s="3780"/>
      <c r="K5" s="559"/>
      <c r="L5" s="2715"/>
      <c r="M5" s="2716"/>
      <c r="N5" s="2716"/>
      <c r="O5" s="2716"/>
      <c r="P5" s="3847"/>
      <c r="Q5" s="3766"/>
      <c r="R5" s="3771"/>
      <c r="S5" s="3772"/>
      <c r="T5" s="3771"/>
      <c r="U5" s="3772"/>
      <c r="V5" s="3776"/>
      <c r="W5" s="3776"/>
      <c r="X5" s="1355"/>
      <c r="Y5" s="3771"/>
      <c r="Z5" s="3772"/>
      <c r="AA5" s="3789"/>
      <c r="AB5" s="3776"/>
      <c r="AC5" s="3789"/>
    </row>
    <row r="6" spans="1:29" ht="15.75" thickBot="1">
      <c r="A6" s="360"/>
      <c r="B6" s="361"/>
      <c r="C6" s="3777" t="s">
        <v>1677</v>
      </c>
      <c r="D6" s="3778"/>
      <c r="E6" s="3786" t="s">
        <v>1677</v>
      </c>
      <c r="F6" s="3787"/>
      <c r="G6" s="3777" t="s">
        <v>1677</v>
      </c>
      <c r="H6" s="3778"/>
      <c r="I6" s="3777" t="s">
        <v>1677</v>
      </c>
      <c r="J6" s="3778"/>
      <c r="K6" s="559" t="s">
        <v>1678</v>
      </c>
      <c r="L6" s="2715"/>
      <c r="M6" s="2716"/>
      <c r="N6" s="2716"/>
      <c r="O6" s="2716"/>
      <c r="P6" s="3848"/>
      <c r="Q6" s="3768"/>
      <c r="R6" s="3771"/>
      <c r="S6" s="3772"/>
      <c r="T6" s="3773"/>
      <c r="U6" s="3774"/>
      <c r="V6" s="3776"/>
      <c r="W6" s="3776"/>
      <c r="X6" s="1355"/>
      <c r="Y6" s="3773"/>
      <c r="Z6" s="3774"/>
      <c r="AA6" s="3790"/>
      <c r="AB6" s="3776"/>
      <c r="AC6" s="3790"/>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3" t="s">
        <v>1680</v>
      </c>
      <c r="Q7" s="3784"/>
      <c r="R7" s="701" t="s">
        <v>14</v>
      </c>
      <c r="S7" s="702">
        <f t="shared" ref="S7:S15" si="0">F7</f>
        <v>0</v>
      </c>
      <c r="T7" s="701" t="s">
        <v>14</v>
      </c>
      <c r="U7" s="702">
        <f t="shared" ref="U7:U15" si="1">H7</f>
        <v>0</v>
      </c>
      <c r="V7" s="701" t="s">
        <v>14</v>
      </c>
      <c r="W7" s="702">
        <f t="shared" ref="W7:W15" si="2">J7</f>
        <v>0</v>
      </c>
      <c r="X7" s="703"/>
      <c r="Y7" s="3783" t="s">
        <v>1680</v>
      </c>
      <c r="Z7" s="37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3" t="s">
        <v>1683</v>
      </c>
      <c r="Q8" s="3782"/>
      <c r="R8" s="701" t="s">
        <v>14</v>
      </c>
      <c r="S8" s="702">
        <f t="shared" si="0"/>
        <v>100</v>
      </c>
      <c r="T8" s="701" t="s">
        <v>14</v>
      </c>
      <c r="U8" s="702">
        <f t="shared" si="1"/>
        <v>100</v>
      </c>
      <c r="V8" s="701" t="s">
        <v>14</v>
      </c>
      <c r="W8" s="702">
        <f t="shared" si="2"/>
        <v>100</v>
      </c>
      <c r="X8" s="703"/>
      <c r="Y8" s="3783" t="s">
        <v>1683</v>
      </c>
      <c r="Z8" s="37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1"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1"/>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1"/>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1"/>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1"/>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1"/>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7" t="s">
        <v>1691</v>
      </c>
      <c r="Q15" s="1352" t="str">
        <f t="shared" si="6"/>
        <v>商业繁华度</v>
      </c>
      <c r="R15" s="705" t="s">
        <v>14</v>
      </c>
      <c r="S15" s="706">
        <f t="shared" si="0"/>
        <v>100</v>
      </c>
      <c r="T15" s="705" t="s">
        <v>14</v>
      </c>
      <c r="U15" s="706">
        <f t="shared" si="1"/>
        <v>100</v>
      </c>
      <c r="V15" s="705" t="s">
        <v>14</v>
      </c>
      <c r="W15" s="706">
        <f t="shared" si="2"/>
        <v>100</v>
      </c>
      <c r="X15" s="1355"/>
      <c r="Y15" s="374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8"/>
      <c r="Q16" s="1352"/>
      <c r="R16" s="705"/>
      <c r="S16" s="706"/>
      <c r="T16" s="705"/>
      <c r="U16" s="706"/>
      <c r="V16" s="705"/>
      <c r="W16" s="706"/>
      <c r="X16" s="1355"/>
      <c r="Y16" s="375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8"/>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8"/>
      <c r="Q18" s="1352"/>
      <c r="R18" s="705"/>
      <c r="S18" s="706"/>
      <c r="T18" s="705"/>
      <c r="U18" s="706"/>
      <c r="V18" s="705"/>
      <c r="W18" s="706"/>
      <c r="X18" s="1355"/>
      <c r="Y18" s="375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8"/>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8"/>
      <c r="Q20" s="1352"/>
      <c r="R20" s="705"/>
      <c r="S20" s="706"/>
      <c r="T20" s="705"/>
      <c r="U20" s="706"/>
      <c r="V20" s="705"/>
      <c r="W20" s="706"/>
      <c r="X20" s="1355"/>
      <c r="Y20" s="375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8"/>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8"/>
      <c r="Q22" s="1352"/>
      <c r="R22" s="705"/>
      <c r="S22" s="706"/>
      <c r="T22" s="705"/>
      <c r="U22" s="706"/>
      <c r="V22" s="705"/>
      <c r="W22" s="706"/>
      <c r="X22" s="1355"/>
      <c r="Y22" s="375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8"/>
      <c r="Q23" s="1352" t="str">
        <f>B23</f>
        <v>自然及人文环境</v>
      </c>
      <c r="R23" s="705" t="s">
        <v>14</v>
      </c>
      <c r="S23" s="706">
        <f>F23</f>
        <v>100</v>
      </c>
      <c r="T23" s="705" t="s">
        <v>14</v>
      </c>
      <c r="U23" s="706">
        <f>H23</f>
        <v>100</v>
      </c>
      <c r="V23" s="705" t="s">
        <v>14</v>
      </c>
      <c r="W23" s="706">
        <f>J23</f>
        <v>100</v>
      </c>
      <c r="X23" s="1355"/>
      <c r="Y23" s="375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8"/>
      <c r="Q24" s="1352"/>
      <c r="R24" s="705"/>
      <c r="S24" s="706"/>
      <c r="T24" s="705"/>
      <c r="U24" s="706"/>
      <c r="V24" s="705"/>
      <c r="W24" s="706"/>
      <c r="X24" s="1355"/>
      <c r="Y24" s="375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8"/>
      <c r="Q25" s="1352" t="str">
        <f t="shared" ref="Q25:Q46" si="11">B25</f>
        <v>临街状况</v>
      </c>
      <c r="R25" s="705" t="s">
        <v>14</v>
      </c>
      <c r="S25" s="706">
        <f>F25</f>
        <v>100</v>
      </c>
      <c r="T25" s="705" t="s">
        <v>14</v>
      </c>
      <c r="U25" s="706">
        <f>H25</f>
        <v>100</v>
      </c>
      <c r="V25" s="705" t="s">
        <v>14</v>
      </c>
      <c r="W25" s="706">
        <f>J25</f>
        <v>100</v>
      </c>
      <c r="X25" s="1355"/>
      <c r="Y25" s="375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8"/>
      <c r="Q26" s="1352" t="str">
        <f t="shared" si="11"/>
        <v>平面位置/可视性</v>
      </c>
      <c r="R26" s="705" t="s">
        <v>14</v>
      </c>
      <c r="S26" s="706">
        <f>F26</f>
        <v>100</v>
      </c>
      <c r="T26" s="705" t="s">
        <v>14</v>
      </c>
      <c r="U26" s="706">
        <f>H26</f>
        <v>100</v>
      </c>
      <c r="V26" s="705" t="s">
        <v>14</v>
      </c>
      <c r="W26" s="706">
        <f>J26</f>
        <v>100</v>
      </c>
      <c r="X26" s="1355"/>
      <c r="Y26" s="375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8"/>
      <c r="Q27" s="1343" t="str">
        <f t="shared" si="11"/>
        <v>人流量</v>
      </c>
      <c r="R27" s="701" t="s">
        <v>14</v>
      </c>
      <c r="S27" s="702">
        <f>F27</f>
        <v>100</v>
      </c>
      <c r="T27" s="701" t="s">
        <v>14</v>
      </c>
      <c r="U27" s="702">
        <f>H27</f>
        <v>100</v>
      </c>
      <c r="V27" s="701" t="s">
        <v>14</v>
      </c>
      <c r="W27" s="702">
        <f>J27</f>
        <v>100</v>
      </c>
      <c r="X27" s="703"/>
      <c r="Y27" s="375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8"/>
      <c r="Q29" s="1352">
        <f t="shared" si="11"/>
        <v>111</v>
      </c>
      <c r="R29" s="705" t="s">
        <v>14</v>
      </c>
      <c r="S29" s="706">
        <f t="shared" si="12"/>
        <v>100</v>
      </c>
      <c r="T29" s="705" t="s">
        <v>14</v>
      </c>
      <c r="U29" s="706">
        <f t="shared" si="13"/>
        <v>100</v>
      </c>
      <c r="V29" s="705" t="s">
        <v>14</v>
      </c>
      <c r="W29" s="706">
        <f t="shared" si="14"/>
        <v>100</v>
      </c>
      <c r="X29" s="1355"/>
      <c r="Y29" s="375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8"/>
      <c r="Q30" s="1352">
        <f t="shared" si="11"/>
        <v>111</v>
      </c>
      <c r="R30" s="705" t="s">
        <v>14</v>
      </c>
      <c r="S30" s="706">
        <f t="shared" si="12"/>
        <v>100</v>
      </c>
      <c r="T30" s="705" t="s">
        <v>14</v>
      </c>
      <c r="U30" s="706">
        <f t="shared" si="13"/>
        <v>100</v>
      </c>
      <c r="V30" s="705" t="s">
        <v>14</v>
      </c>
      <c r="W30" s="706">
        <f t="shared" si="14"/>
        <v>100</v>
      </c>
      <c r="X30" s="1355"/>
      <c r="Y30" s="375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8"/>
      <c r="Q31" s="1352">
        <f t="shared" si="11"/>
        <v>111</v>
      </c>
      <c r="R31" s="705" t="s">
        <v>14</v>
      </c>
      <c r="S31" s="706">
        <f t="shared" si="12"/>
        <v>100</v>
      </c>
      <c r="T31" s="705" t="s">
        <v>14</v>
      </c>
      <c r="U31" s="706">
        <f t="shared" si="13"/>
        <v>100</v>
      </c>
      <c r="V31" s="705" t="s">
        <v>14</v>
      </c>
      <c r="W31" s="706">
        <f t="shared" si="14"/>
        <v>100</v>
      </c>
      <c r="X31" s="1355"/>
      <c r="Y31" s="375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1" t="s">
        <v>1696</v>
      </c>
      <c r="Q32" s="1352" t="str">
        <f t="shared" si="11"/>
        <v>商业类型</v>
      </c>
      <c r="R32" s="705" t="s">
        <v>14</v>
      </c>
      <c r="S32" s="706">
        <f t="shared" si="12"/>
        <v>100</v>
      </c>
      <c r="T32" s="705" t="s">
        <v>14</v>
      </c>
      <c r="U32" s="706">
        <f t="shared" si="13"/>
        <v>100</v>
      </c>
      <c r="V32" s="705" t="s">
        <v>14</v>
      </c>
      <c r="W32" s="706">
        <f t="shared" si="14"/>
        <v>100</v>
      </c>
      <c r="X32" s="1355"/>
      <c r="Y32" s="375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2"/>
      <c r="Q33" s="707" t="str">
        <f t="shared" si="11"/>
        <v>项目建筑规模</v>
      </c>
      <c r="R33" s="708" t="s">
        <v>14</v>
      </c>
      <c r="S33" s="709" t="e">
        <f t="shared" si="12"/>
        <v>#N/A</v>
      </c>
      <c r="T33" s="708" t="s">
        <v>14</v>
      </c>
      <c r="U33" s="709" t="e">
        <f t="shared" si="13"/>
        <v>#N/A</v>
      </c>
      <c r="V33" s="708" t="s">
        <v>14</v>
      </c>
      <c r="W33" s="709" t="e">
        <f t="shared" si="14"/>
        <v>#N/A</v>
      </c>
      <c r="X33" s="710"/>
      <c r="Y33" s="375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2"/>
      <c r="Q34" s="1352" t="str">
        <f t="shared" si="11"/>
        <v>建筑结构</v>
      </c>
      <c r="R34" s="705" t="s">
        <v>14</v>
      </c>
      <c r="S34" s="706">
        <f t="shared" si="12"/>
        <v>100</v>
      </c>
      <c r="T34" s="705" t="s">
        <v>14</v>
      </c>
      <c r="U34" s="706">
        <f t="shared" si="13"/>
        <v>100</v>
      </c>
      <c r="V34" s="705" t="s">
        <v>14</v>
      </c>
      <c r="W34" s="706">
        <f t="shared" si="14"/>
        <v>100</v>
      </c>
      <c r="X34" s="1355"/>
      <c r="Y34" s="375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2"/>
      <c r="Q35" s="1352" t="str">
        <f t="shared" si="11"/>
        <v>公共部分装修</v>
      </c>
      <c r="R35" s="705" t="s">
        <v>14</v>
      </c>
      <c r="S35" s="706">
        <f t="shared" si="12"/>
        <v>100</v>
      </c>
      <c r="T35" s="705" t="s">
        <v>14</v>
      </c>
      <c r="U35" s="706">
        <f t="shared" si="13"/>
        <v>100</v>
      </c>
      <c r="V35" s="705" t="s">
        <v>14</v>
      </c>
      <c r="W35" s="706">
        <f t="shared" si="14"/>
        <v>100</v>
      </c>
      <c r="X35" s="1355"/>
      <c r="Y35" s="375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2"/>
      <c r="Q36" s="1352" t="str">
        <f t="shared" si="11"/>
        <v>成新度</v>
      </c>
      <c r="R36" s="705" t="s">
        <v>14</v>
      </c>
      <c r="S36" s="706" t="e">
        <f t="shared" si="12"/>
        <v>#N/A</v>
      </c>
      <c r="T36" s="705" t="s">
        <v>14</v>
      </c>
      <c r="U36" s="706" t="e">
        <f t="shared" si="13"/>
        <v>#N/A</v>
      </c>
      <c r="V36" s="705" t="s">
        <v>14</v>
      </c>
      <c r="W36" s="706" t="e">
        <f t="shared" si="14"/>
        <v>#N/A</v>
      </c>
      <c r="X36" s="1355"/>
      <c r="Y36" s="375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2"/>
      <c r="Q37" s="1343" t="str">
        <f t="shared" si="11"/>
        <v>市政基础设施</v>
      </c>
      <c r="R37" s="701" t="s">
        <v>14</v>
      </c>
      <c r="S37" s="702">
        <f t="shared" si="12"/>
        <v>100</v>
      </c>
      <c r="T37" s="701" t="s">
        <v>14</v>
      </c>
      <c r="U37" s="702">
        <f t="shared" si="13"/>
        <v>100</v>
      </c>
      <c r="V37" s="701" t="s">
        <v>14</v>
      </c>
      <c r="W37" s="702">
        <f t="shared" si="14"/>
        <v>100</v>
      </c>
      <c r="X37" s="703"/>
      <c r="Y37" s="375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2" t="s">
        <v>1696</v>
      </c>
      <c r="Q38" s="1352" t="str">
        <f t="shared" si="11"/>
        <v>业态</v>
      </c>
      <c r="R38" s="705" t="s">
        <v>14</v>
      </c>
      <c r="S38" s="706">
        <f t="shared" si="12"/>
        <v>100</v>
      </c>
      <c r="T38" s="705" t="s">
        <v>14</v>
      </c>
      <c r="U38" s="706">
        <f t="shared" si="13"/>
        <v>100</v>
      </c>
      <c r="V38" s="705" t="s">
        <v>14</v>
      </c>
      <c r="W38" s="706">
        <f t="shared" si="14"/>
        <v>100</v>
      </c>
      <c r="X38" s="1355"/>
      <c r="Y38" s="375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2"/>
      <c r="Q39" s="1352" t="str">
        <f t="shared" si="11"/>
        <v>层高</v>
      </c>
      <c r="R39" s="705" t="s">
        <v>14</v>
      </c>
      <c r="S39" s="706">
        <f t="shared" si="12"/>
        <v>100</v>
      </c>
      <c r="T39" s="705" t="s">
        <v>14</v>
      </c>
      <c r="U39" s="706">
        <f t="shared" si="13"/>
        <v>100</v>
      </c>
      <c r="V39" s="705" t="s">
        <v>14</v>
      </c>
      <c r="W39" s="706">
        <f t="shared" si="14"/>
        <v>100</v>
      </c>
      <c r="X39" s="1355"/>
      <c r="Y39" s="375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2"/>
      <c r="Q40" s="1352" t="str">
        <f t="shared" si="11"/>
        <v>单套建筑面积</v>
      </c>
      <c r="R40" s="705" t="s">
        <v>14</v>
      </c>
      <c r="S40" s="706">
        <f t="shared" si="12"/>
        <v>100</v>
      </c>
      <c r="T40" s="705" t="s">
        <v>14</v>
      </c>
      <c r="U40" s="706">
        <f t="shared" si="13"/>
        <v>100</v>
      </c>
      <c r="V40" s="705" t="s">
        <v>14</v>
      </c>
      <c r="W40" s="706">
        <f t="shared" si="14"/>
        <v>100</v>
      </c>
      <c r="X40" s="1355"/>
      <c r="Y40" s="375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2"/>
      <c r="Q42" s="1352" t="str">
        <f t="shared" si="11"/>
        <v>内部装修</v>
      </c>
      <c r="R42" s="705" t="s">
        <v>14</v>
      </c>
      <c r="S42" s="706">
        <f t="shared" si="12"/>
        <v>100</v>
      </c>
      <c r="T42" s="705" t="s">
        <v>14</v>
      </c>
      <c r="U42" s="706">
        <f t="shared" si="13"/>
        <v>100</v>
      </c>
      <c r="V42" s="705" t="s">
        <v>14</v>
      </c>
      <c r="W42" s="706">
        <f t="shared" si="14"/>
        <v>100</v>
      </c>
      <c r="X42" s="1355"/>
      <c r="Y42" s="375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2"/>
      <c r="Q43" s="1352" t="str">
        <f t="shared" si="11"/>
        <v>内部装修维护情况</v>
      </c>
      <c r="R43" s="705" t="s">
        <v>14</v>
      </c>
      <c r="S43" s="706">
        <f t="shared" si="12"/>
        <v>100</v>
      </c>
      <c r="T43" s="705" t="s">
        <v>14</v>
      </c>
      <c r="U43" s="706">
        <f t="shared" si="13"/>
        <v>100</v>
      </c>
      <c r="V43" s="705" t="s">
        <v>14</v>
      </c>
      <c r="W43" s="706">
        <f t="shared" si="14"/>
        <v>100</v>
      </c>
      <c r="X43" s="1355"/>
      <c r="Y43" s="375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2"/>
      <c r="Q44" s="1343">
        <f t="shared" si="11"/>
        <v>111</v>
      </c>
      <c r="R44" s="701" t="s">
        <v>14</v>
      </c>
      <c r="S44" s="702">
        <f t="shared" si="12"/>
        <v>100</v>
      </c>
      <c r="T44" s="701" t="s">
        <v>14</v>
      </c>
      <c r="U44" s="702">
        <f t="shared" si="13"/>
        <v>100</v>
      </c>
      <c r="V44" s="701" t="s">
        <v>14</v>
      </c>
      <c r="W44" s="702">
        <f t="shared" si="14"/>
        <v>100</v>
      </c>
      <c r="X44" s="703"/>
      <c r="Y44" s="375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2"/>
      <c r="Q45" s="1352">
        <f t="shared" si="11"/>
        <v>111</v>
      </c>
      <c r="R45" s="705" t="s">
        <v>14</v>
      </c>
      <c r="S45" s="706">
        <f t="shared" si="12"/>
        <v>100</v>
      </c>
      <c r="T45" s="705" t="s">
        <v>14</v>
      </c>
      <c r="U45" s="706">
        <f t="shared" si="13"/>
        <v>100</v>
      </c>
      <c r="V45" s="705" t="s">
        <v>14</v>
      </c>
      <c r="W45" s="706">
        <f t="shared" si="14"/>
        <v>100</v>
      </c>
      <c r="X45" s="1355"/>
      <c r="Y45" s="375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3"/>
      <c r="Q46" s="1352">
        <f t="shared" si="11"/>
        <v>111</v>
      </c>
      <c r="R46" s="705" t="s">
        <v>14</v>
      </c>
      <c r="S46" s="706">
        <f t="shared" si="12"/>
        <v>100</v>
      </c>
      <c r="T46" s="705" t="s">
        <v>14</v>
      </c>
      <c r="U46" s="706">
        <f t="shared" si="13"/>
        <v>100</v>
      </c>
      <c r="V46" s="705" t="s">
        <v>14</v>
      </c>
      <c r="W46" s="706">
        <f t="shared" si="14"/>
        <v>100</v>
      </c>
      <c r="X46" s="1355"/>
      <c r="Y46" s="375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2" t="str">
        <f>A47</f>
        <v>成交单价（元/平方米）</v>
      </c>
      <c r="Q47" s="3742"/>
      <c r="R47" s="3776">
        <f>E47</f>
        <v>0</v>
      </c>
      <c r="S47" s="3776"/>
      <c r="T47" s="3776">
        <f>G47</f>
        <v>0</v>
      </c>
      <c r="U47" s="3776"/>
      <c r="V47" s="3776">
        <f>I47</f>
        <v>0</v>
      </c>
      <c r="W47" s="377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68805.62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9" t="s">
        <v>1770</v>
      </c>
      <c r="D4" s="3760"/>
      <c r="E4" s="3761" t="s">
        <v>1771</v>
      </c>
      <c r="F4" s="3762"/>
      <c r="G4" s="3759" t="s">
        <v>1772</v>
      </c>
      <c r="H4" s="3760"/>
      <c r="I4" s="3759" t="s">
        <v>1773</v>
      </c>
      <c r="J4" s="3760"/>
      <c r="K4" s="559" t="s">
        <v>1774</v>
      </c>
      <c r="L4" s="913"/>
      <c r="M4" s="914"/>
      <c r="N4" s="914"/>
      <c r="O4" s="914"/>
      <c r="P4" s="3845" t="s">
        <v>1775</v>
      </c>
      <c r="Q4" s="3846"/>
      <c r="R4" s="3849" t="s">
        <v>1771</v>
      </c>
      <c r="S4" s="3850"/>
      <c r="T4" s="3849" t="s">
        <v>1772</v>
      </c>
      <c r="U4" s="3850"/>
      <c r="V4" s="3776" t="s">
        <v>1773</v>
      </c>
      <c r="W4" s="3776"/>
      <c r="X4" s="1355"/>
      <c r="Y4" s="3849" t="s">
        <v>1775</v>
      </c>
      <c r="Z4" s="3850"/>
      <c r="AA4" s="3844" t="s">
        <v>1771</v>
      </c>
      <c r="AB4" s="3789" t="s">
        <v>1772</v>
      </c>
      <c r="AC4" s="3844" t="s">
        <v>1773</v>
      </c>
    </row>
    <row r="5" spans="1:29" ht="15">
      <c r="A5" s="358"/>
      <c r="B5" s="359"/>
      <c r="C5" s="3785" t="s">
        <v>1673</v>
      </c>
      <c r="D5" s="3780"/>
      <c r="E5" s="3851" t="s">
        <v>1674</v>
      </c>
      <c r="F5" s="3792"/>
      <c r="G5" s="3785" t="s">
        <v>1675</v>
      </c>
      <c r="H5" s="3780"/>
      <c r="I5" s="3785" t="s">
        <v>1676</v>
      </c>
      <c r="J5" s="3780"/>
      <c r="K5" s="559"/>
      <c r="L5" s="913"/>
      <c r="M5" s="914"/>
      <c r="N5" s="914"/>
      <c r="O5" s="914"/>
      <c r="P5" s="3847"/>
      <c r="Q5" s="3766"/>
      <c r="R5" s="3771"/>
      <c r="S5" s="3772"/>
      <c r="T5" s="3771"/>
      <c r="U5" s="3772"/>
      <c r="V5" s="3776"/>
      <c r="W5" s="3776"/>
      <c r="X5" s="1355"/>
      <c r="Y5" s="3771"/>
      <c r="Z5" s="3772"/>
      <c r="AA5" s="3789"/>
      <c r="AB5" s="3789"/>
      <c r="AC5" s="3789"/>
    </row>
    <row r="6" spans="1:29" ht="15.75" thickBot="1">
      <c r="A6" s="360"/>
      <c r="B6" s="361"/>
      <c r="C6" s="3777" t="s">
        <v>1677</v>
      </c>
      <c r="D6" s="3778"/>
      <c r="E6" s="3786" t="s">
        <v>1677</v>
      </c>
      <c r="F6" s="3787"/>
      <c r="G6" s="3777" t="s">
        <v>1677</v>
      </c>
      <c r="H6" s="3778"/>
      <c r="I6" s="3777" t="s">
        <v>1677</v>
      </c>
      <c r="J6" s="3778"/>
      <c r="K6" s="559" t="s">
        <v>1678</v>
      </c>
      <c r="L6" s="913"/>
      <c r="M6" s="914"/>
      <c r="N6" s="914"/>
      <c r="O6" s="914"/>
      <c r="P6" s="3848"/>
      <c r="Q6" s="3768"/>
      <c r="R6" s="3771"/>
      <c r="S6" s="3772"/>
      <c r="T6" s="3773"/>
      <c r="U6" s="3774"/>
      <c r="V6" s="3776"/>
      <c r="W6" s="3776"/>
      <c r="X6" s="1355"/>
      <c r="Y6" s="3773"/>
      <c r="Z6" s="3774"/>
      <c r="AA6" s="3790"/>
      <c r="AB6" s="3790"/>
      <c r="AC6" s="3790"/>
    </row>
    <row r="7" spans="1:29" s="108" customFormat="1" ht="15.75" thickBot="1">
      <c r="A7" s="362" t="s">
        <v>1679</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783" t="s">
        <v>1680</v>
      </c>
      <c r="Q7" s="3784"/>
      <c r="R7" s="701" t="s">
        <v>14</v>
      </c>
      <c r="S7" s="702">
        <f t="shared" ref="S7:S15" si="0">F7</f>
        <v>0</v>
      </c>
      <c r="T7" s="701" t="s">
        <v>14</v>
      </c>
      <c r="U7" s="702">
        <f t="shared" ref="U7:U15" si="1">H7</f>
        <v>0</v>
      </c>
      <c r="V7" s="701" t="s">
        <v>14</v>
      </c>
      <c r="W7" s="702">
        <f t="shared" ref="W7:W15" si="2">J7</f>
        <v>0</v>
      </c>
      <c r="X7" s="703"/>
      <c r="Y7" s="3783" t="s">
        <v>1680</v>
      </c>
      <c r="Z7" s="37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3" t="s">
        <v>1683</v>
      </c>
      <c r="Q8" s="3782"/>
      <c r="R8" s="701" t="s">
        <v>14</v>
      </c>
      <c r="S8" s="702">
        <f t="shared" si="0"/>
        <v>100</v>
      </c>
      <c r="T8" s="701" t="s">
        <v>14</v>
      </c>
      <c r="U8" s="702">
        <f t="shared" si="1"/>
        <v>100</v>
      </c>
      <c r="V8" s="701" t="s">
        <v>14</v>
      </c>
      <c r="W8" s="702">
        <f t="shared" si="2"/>
        <v>100</v>
      </c>
      <c r="X8" s="703"/>
      <c r="Y8" s="3783" t="s">
        <v>1683</v>
      </c>
      <c r="Z8" s="37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2"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2"/>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2"/>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2"/>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2"/>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2"/>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9" t="s">
        <v>1691</v>
      </c>
      <c r="Q15" s="1352" t="str">
        <f t="shared" si="6"/>
        <v>产业集聚程度</v>
      </c>
      <c r="R15" s="705" t="s">
        <v>14</v>
      </c>
      <c r="S15" s="706">
        <f t="shared" si="0"/>
        <v>100</v>
      </c>
      <c r="T15" s="705" t="s">
        <v>14</v>
      </c>
      <c r="U15" s="706">
        <f t="shared" si="1"/>
        <v>100</v>
      </c>
      <c r="V15" s="705" t="s">
        <v>14</v>
      </c>
      <c r="W15" s="706">
        <f t="shared" si="2"/>
        <v>100</v>
      </c>
      <c r="X15" s="1355"/>
      <c r="Y15" s="374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0"/>
      <c r="Q16" s="1352"/>
      <c r="R16" s="705"/>
      <c r="S16" s="706"/>
      <c r="T16" s="705"/>
      <c r="U16" s="706"/>
      <c r="V16" s="705"/>
      <c r="W16" s="706"/>
      <c r="X16" s="1355"/>
      <c r="Y16" s="375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0"/>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0"/>
      <c r="Q18" s="1352"/>
      <c r="R18" s="705"/>
      <c r="S18" s="706"/>
      <c r="T18" s="705"/>
      <c r="U18" s="706"/>
      <c r="V18" s="705"/>
      <c r="W18" s="706"/>
      <c r="X18" s="1355"/>
      <c r="Y18" s="375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0"/>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0"/>
      <c r="Q20" s="1352"/>
      <c r="R20" s="705"/>
      <c r="S20" s="706"/>
      <c r="T20" s="705"/>
      <c r="U20" s="706"/>
      <c r="V20" s="705"/>
      <c r="W20" s="706"/>
      <c r="X20" s="1355"/>
      <c r="Y20" s="375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0"/>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0"/>
      <c r="Q22" s="1352"/>
      <c r="R22" s="705"/>
      <c r="S22" s="706"/>
      <c r="T22" s="705"/>
      <c r="U22" s="706"/>
      <c r="V22" s="705"/>
      <c r="W22" s="706"/>
      <c r="X22" s="1355"/>
      <c r="Y22" s="375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0"/>
      <c r="Q23" s="1352" t="str">
        <f>B23</f>
        <v>环境质量</v>
      </c>
      <c r="R23" s="705" t="s">
        <v>14</v>
      </c>
      <c r="S23" s="706">
        <f>F23</f>
        <v>100</v>
      </c>
      <c r="T23" s="705" t="s">
        <v>14</v>
      </c>
      <c r="U23" s="706">
        <f>H23</f>
        <v>100</v>
      </c>
      <c r="V23" s="705" t="s">
        <v>14</v>
      </c>
      <c r="W23" s="706">
        <f>J23</f>
        <v>100</v>
      </c>
      <c r="X23" s="1355"/>
      <c r="Y23" s="375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0"/>
      <c r="Q24" s="1352"/>
      <c r="R24" s="705"/>
      <c r="S24" s="706"/>
      <c r="T24" s="705"/>
      <c r="U24" s="706"/>
      <c r="V24" s="705"/>
      <c r="W24" s="706"/>
      <c r="X24" s="1355"/>
      <c r="Y24" s="375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0"/>
      <c r="Q25" s="1352">
        <f>B25</f>
        <v>111</v>
      </c>
      <c r="R25" s="705" t="s">
        <v>14</v>
      </c>
      <c r="S25" s="706">
        <f>F25</f>
        <v>100</v>
      </c>
      <c r="T25" s="705" t="s">
        <v>14</v>
      </c>
      <c r="U25" s="706">
        <f>H25</f>
        <v>100</v>
      </c>
      <c r="V25" s="705" t="s">
        <v>14</v>
      </c>
      <c r="W25" s="706">
        <f>J25</f>
        <v>100</v>
      </c>
      <c r="X25" s="1355"/>
      <c r="Y25" s="375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0"/>
      <c r="Q26" s="1352">
        <f t="shared" ref="Q26:Q40" si="11">B26</f>
        <v>111</v>
      </c>
      <c r="R26" s="705" t="s">
        <v>14</v>
      </c>
      <c r="S26" s="706">
        <f>F26</f>
        <v>100</v>
      </c>
      <c r="T26" s="705" t="s">
        <v>14</v>
      </c>
      <c r="U26" s="706">
        <f>H26</f>
        <v>100</v>
      </c>
      <c r="V26" s="705" t="s">
        <v>14</v>
      </c>
      <c r="W26" s="706">
        <f>J26</f>
        <v>100</v>
      </c>
      <c r="X26" s="1355"/>
      <c r="Y26" s="375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0"/>
      <c r="Q27" s="1343">
        <f t="shared" si="11"/>
        <v>111</v>
      </c>
      <c r="R27" s="701" t="s">
        <v>14</v>
      </c>
      <c r="S27" s="702">
        <f>F27</f>
        <v>100</v>
      </c>
      <c r="T27" s="701" t="s">
        <v>14</v>
      </c>
      <c r="U27" s="702">
        <f>H27</f>
        <v>100</v>
      </c>
      <c r="V27" s="701" t="s">
        <v>14</v>
      </c>
      <c r="W27" s="702">
        <f>J27</f>
        <v>100</v>
      </c>
      <c r="X27" s="703"/>
      <c r="Y27" s="375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0"/>
      <c r="Q28" s="1352">
        <f t="shared" si="11"/>
        <v>111</v>
      </c>
      <c r="R28" s="705" t="s">
        <v>14</v>
      </c>
      <c r="S28" s="706">
        <f t="shared" ref="S28:S40" si="12">F28</f>
        <v>100</v>
      </c>
      <c r="T28" s="705" t="s">
        <v>14</v>
      </c>
      <c r="U28" s="706">
        <f t="shared" ref="U28:U40" si="13">H28</f>
        <v>100</v>
      </c>
      <c r="V28" s="705" t="s">
        <v>14</v>
      </c>
      <c r="W28" s="706">
        <f t="shared" ref="W28:W40" si="14">J28</f>
        <v>100</v>
      </c>
      <c r="X28" s="1355"/>
      <c r="Y28" s="375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2" t="s">
        <v>1696</v>
      </c>
      <c r="Q29" s="1352" t="str">
        <f t="shared" si="11"/>
        <v>建筑类型</v>
      </c>
      <c r="R29" s="705" t="s">
        <v>14</v>
      </c>
      <c r="S29" s="706">
        <f t="shared" si="12"/>
        <v>100</v>
      </c>
      <c r="T29" s="705" t="s">
        <v>14</v>
      </c>
      <c r="U29" s="706">
        <f t="shared" si="13"/>
        <v>100</v>
      </c>
      <c r="V29" s="705" t="s">
        <v>14</v>
      </c>
      <c r="W29" s="706">
        <f t="shared" si="14"/>
        <v>100</v>
      </c>
      <c r="X29" s="1355"/>
      <c r="Y29" s="375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4"/>
      <c r="Q30" s="707" t="str">
        <f t="shared" si="11"/>
        <v>项目建筑规模</v>
      </c>
      <c r="R30" s="708" t="s">
        <v>14</v>
      </c>
      <c r="S30" s="709" t="e">
        <f t="shared" si="12"/>
        <v>#N/A</v>
      </c>
      <c r="T30" s="708" t="s">
        <v>14</v>
      </c>
      <c r="U30" s="709" t="e">
        <f t="shared" si="13"/>
        <v>#N/A</v>
      </c>
      <c r="V30" s="708" t="s">
        <v>14</v>
      </c>
      <c r="W30" s="709" t="e">
        <f t="shared" si="14"/>
        <v>#N/A</v>
      </c>
      <c r="X30" s="710"/>
      <c r="Y30" s="375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4"/>
      <c r="Q31" s="1352" t="str">
        <f t="shared" si="11"/>
        <v>建筑结构</v>
      </c>
      <c r="R31" s="705" t="s">
        <v>14</v>
      </c>
      <c r="S31" s="706">
        <f t="shared" si="12"/>
        <v>100</v>
      </c>
      <c r="T31" s="705" t="s">
        <v>14</v>
      </c>
      <c r="U31" s="706">
        <f t="shared" si="13"/>
        <v>100</v>
      </c>
      <c r="V31" s="705" t="s">
        <v>14</v>
      </c>
      <c r="W31" s="706">
        <f t="shared" si="14"/>
        <v>100</v>
      </c>
      <c r="X31" s="1355"/>
      <c r="Y31" s="375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4"/>
      <c r="Q32" s="1352" t="str">
        <f t="shared" si="11"/>
        <v>公共部分装修</v>
      </c>
      <c r="R32" s="705" t="s">
        <v>14</v>
      </c>
      <c r="S32" s="706">
        <f t="shared" si="12"/>
        <v>100</v>
      </c>
      <c r="T32" s="705" t="s">
        <v>14</v>
      </c>
      <c r="U32" s="706">
        <f t="shared" si="13"/>
        <v>100</v>
      </c>
      <c r="V32" s="705" t="s">
        <v>14</v>
      </c>
      <c r="W32" s="706">
        <f t="shared" si="14"/>
        <v>100</v>
      </c>
      <c r="X32" s="1355"/>
      <c r="Y32" s="375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4"/>
      <c r="Q33" s="1352" t="str">
        <f t="shared" si="11"/>
        <v>成新度</v>
      </c>
      <c r="R33" s="705" t="s">
        <v>14</v>
      </c>
      <c r="S33" s="706" t="e">
        <f t="shared" si="12"/>
        <v>#N/A</v>
      </c>
      <c r="T33" s="705" t="s">
        <v>14</v>
      </c>
      <c r="U33" s="706" t="e">
        <f t="shared" si="13"/>
        <v>#N/A</v>
      </c>
      <c r="V33" s="705" t="s">
        <v>14</v>
      </c>
      <c r="W33" s="706" t="e">
        <f t="shared" si="14"/>
        <v>#N/A</v>
      </c>
      <c r="X33" s="1355"/>
      <c r="Y33" s="375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4"/>
      <c r="Q34" s="1343" t="str">
        <f t="shared" si="11"/>
        <v>物业管理</v>
      </c>
      <c r="R34" s="701" t="s">
        <v>14</v>
      </c>
      <c r="S34" s="702">
        <f t="shared" si="12"/>
        <v>100</v>
      </c>
      <c r="T34" s="701" t="s">
        <v>14</v>
      </c>
      <c r="U34" s="702">
        <f t="shared" si="13"/>
        <v>100</v>
      </c>
      <c r="V34" s="701" t="s">
        <v>14</v>
      </c>
      <c r="W34" s="702">
        <f t="shared" si="14"/>
        <v>100</v>
      </c>
      <c r="X34" s="703"/>
      <c r="Y34" s="375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4" t="s">
        <v>1696</v>
      </c>
      <c r="Q35" s="1352" t="str">
        <f t="shared" si="11"/>
        <v>市政基础设施</v>
      </c>
      <c r="R35" s="705" t="s">
        <v>14</v>
      </c>
      <c r="S35" s="706">
        <f t="shared" si="12"/>
        <v>100</v>
      </c>
      <c r="T35" s="705" t="s">
        <v>14</v>
      </c>
      <c r="U35" s="706">
        <f t="shared" si="13"/>
        <v>100</v>
      </c>
      <c r="V35" s="705" t="s">
        <v>14</v>
      </c>
      <c r="W35" s="706">
        <f t="shared" si="14"/>
        <v>100</v>
      </c>
      <c r="X35" s="1355"/>
      <c r="Y35" s="375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4"/>
      <c r="Q36" s="1352" t="str">
        <f t="shared" si="11"/>
        <v>内部装修</v>
      </c>
      <c r="R36" s="705" t="s">
        <v>14</v>
      </c>
      <c r="S36" s="706">
        <f t="shared" si="12"/>
        <v>100</v>
      </c>
      <c r="T36" s="705" t="s">
        <v>14</v>
      </c>
      <c r="U36" s="706">
        <f t="shared" si="13"/>
        <v>100</v>
      </c>
      <c r="V36" s="705" t="s">
        <v>14</v>
      </c>
      <c r="W36" s="706">
        <f t="shared" si="14"/>
        <v>100</v>
      </c>
      <c r="X36" s="1355"/>
      <c r="Y36" s="375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4"/>
      <c r="Q37" s="1352" t="str">
        <f t="shared" si="11"/>
        <v>内部装修状况</v>
      </c>
      <c r="R37" s="705" t="s">
        <v>14</v>
      </c>
      <c r="S37" s="706">
        <f t="shared" si="12"/>
        <v>100</v>
      </c>
      <c r="T37" s="705" t="s">
        <v>14</v>
      </c>
      <c r="U37" s="706">
        <f t="shared" si="13"/>
        <v>100</v>
      </c>
      <c r="V37" s="705" t="s">
        <v>14</v>
      </c>
      <c r="W37" s="706">
        <f t="shared" si="14"/>
        <v>100</v>
      </c>
      <c r="X37" s="1355"/>
      <c r="Y37" s="375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4"/>
      <c r="Q38" s="707">
        <f t="shared" si="11"/>
        <v>111</v>
      </c>
      <c r="R38" s="708" t="s">
        <v>14</v>
      </c>
      <c r="S38" s="709">
        <f t="shared" si="12"/>
        <v>100</v>
      </c>
      <c r="T38" s="708" t="s">
        <v>14</v>
      </c>
      <c r="U38" s="709">
        <f t="shared" si="13"/>
        <v>100</v>
      </c>
      <c r="V38" s="708" t="s">
        <v>14</v>
      </c>
      <c r="W38" s="709">
        <f t="shared" si="14"/>
        <v>100</v>
      </c>
      <c r="X38" s="710"/>
      <c r="Y38" s="375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4"/>
      <c r="Q39" s="1352">
        <f t="shared" si="11"/>
        <v>111</v>
      </c>
      <c r="R39" s="705" t="s">
        <v>14</v>
      </c>
      <c r="S39" s="706">
        <f t="shared" si="12"/>
        <v>100</v>
      </c>
      <c r="T39" s="705" t="s">
        <v>14</v>
      </c>
      <c r="U39" s="706">
        <f t="shared" si="13"/>
        <v>100</v>
      </c>
      <c r="V39" s="705" t="s">
        <v>14</v>
      </c>
      <c r="W39" s="706">
        <f t="shared" si="14"/>
        <v>100</v>
      </c>
      <c r="X39" s="1355"/>
      <c r="Y39" s="375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5"/>
      <c r="Q40" s="1352">
        <f t="shared" si="11"/>
        <v>111</v>
      </c>
      <c r="R40" s="705" t="s">
        <v>14</v>
      </c>
      <c r="S40" s="706">
        <f t="shared" si="12"/>
        <v>100</v>
      </c>
      <c r="T40" s="705" t="s">
        <v>14</v>
      </c>
      <c r="U40" s="706">
        <f t="shared" si="13"/>
        <v>100</v>
      </c>
      <c r="V40" s="705" t="s">
        <v>14</v>
      </c>
      <c r="W40" s="706">
        <f t="shared" si="14"/>
        <v>100</v>
      </c>
      <c r="X40" s="1355"/>
      <c r="Y40" s="375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2" t="str">
        <f>A41</f>
        <v>成交单价（元/平方米）</v>
      </c>
      <c r="Q41" s="3742"/>
      <c r="R41" s="3743">
        <f>E41</f>
        <v>0</v>
      </c>
      <c r="S41" s="3743"/>
      <c r="T41" s="3743">
        <f>G41</f>
        <v>0</v>
      </c>
      <c r="U41" s="3743"/>
      <c r="V41" s="3743">
        <f>I41</f>
        <v>0</v>
      </c>
      <c r="W41" s="374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1" t="str">
        <f>A43</f>
        <v>估价对象XX用房的比较价值（楼面单价，元/平方米）</v>
      </c>
      <c r="Q43" s="3842"/>
      <c r="R43" s="3843" t="e">
        <f>IF(F1="售价",ROUND(IF(D42="简单平均",AVERAGE(R42:V42),R42*F42+T42*H42+V42*J42),0),ROUND(IF(D42="简单平均",AVERAGE(R42:V42),R42*F42+T42*H42+V42*J42),1))</f>
        <v>#DIV/0!</v>
      </c>
      <c r="S43" s="3843"/>
      <c r="T43" s="3843"/>
      <c r="U43" s="3843"/>
      <c r="V43" s="3843"/>
      <c r="W43" s="384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9" t="s">
        <v>1770</v>
      </c>
      <c r="D4" s="3760"/>
      <c r="E4" s="3761" t="s">
        <v>1771</v>
      </c>
      <c r="F4" s="3762"/>
      <c r="G4" s="3759" t="s">
        <v>1772</v>
      </c>
      <c r="H4" s="3760"/>
      <c r="I4" s="3759" t="s">
        <v>1773</v>
      </c>
      <c r="J4" s="3760"/>
      <c r="K4" s="559" t="s">
        <v>1774</v>
      </c>
      <c r="L4" s="2715"/>
      <c r="M4" s="2716"/>
      <c r="N4" s="2716"/>
      <c r="O4" s="2716"/>
      <c r="P4" s="3845" t="s">
        <v>1775</v>
      </c>
      <c r="Q4" s="3846"/>
      <c r="R4" s="3849" t="s">
        <v>1771</v>
      </c>
      <c r="S4" s="3850"/>
      <c r="T4" s="3849" t="s">
        <v>1772</v>
      </c>
      <c r="U4" s="3850"/>
      <c r="V4" s="3776" t="s">
        <v>1773</v>
      </c>
      <c r="W4" s="3776"/>
      <c r="X4" s="1355"/>
      <c r="Y4" s="3849" t="s">
        <v>1775</v>
      </c>
      <c r="Z4" s="3850"/>
      <c r="AA4" s="3844" t="s">
        <v>1771</v>
      </c>
      <c r="AB4" s="3789" t="s">
        <v>1772</v>
      </c>
      <c r="AC4" s="3844" t="s">
        <v>1773</v>
      </c>
    </row>
    <row r="5" spans="1:29" ht="15">
      <c r="A5" s="358"/>
      <c r="B5" s="359"/>
      <c r="C5" s="3785" t="s">
        <v>1673</v>
      </c>
      <c r="D5" s="3780"/>
      <c r="E5" s="3851" t="s">
        <v>1674</v>
      </c>
      <c r="F5" s="3792"/>
      <c r="G5" s="3785" t="s">
        <v>1675</v>
      </c>
      <c r="H5" s="3780"/>
      <c r="I5" s="3785" t="s">
        <v>1676</v>
      </c>
      <c r="J5" s="3780"/>
      <c r="K5" s="559"/>
      <c r="L5" s="2715"/>
      <c r="M5" s="2716"/>
      <c r="N5" s="2716"/>
      <c r="O5" s="2716"/>
      <c r="P5" s="3847"/>
      <c r="Q5" s="3766"/>
      <c r="R5" s="3771"/>
      <c r="S5" s="3772"/>
      <c r="T5" s="3771"/>
      <c r="U5" s="3772"/>
      <c r="V5" s="3776"/>
      <c r="W5" s="3776"/>
      <c r="X5" s="1355"/>
      <c r="Y5" s="3771"/>
      <c r="Z5" s="3772"/>
      <c r="AA5" s="3789"/>
      <c r="AB5" s="3789"/>
      <c r="AC5" s="3789"/>
    </row>
    <row r="6" spans="1:29" ht="15.75" thickBot="1">
      <c r="A6" s="360"/>
      <c r="B6" s="361"/>
      <c r="C6" s="3777" t="s">
        <v>1677</v>
      </c>
      <c r="D6" s="3778"/>
      <c r="E6" s="3786" t="s">
        <v>1677</v>
      </c>
      <c r="F6" s="3787"/>
      <c r="G6" s="3777" t="s">
        <v>1677</v>
      </c>
      <c r="H6" s="3778"/>
      <c r="I6" s="3777" t="s">
        <v>1677</v>
      </c>
      <c r="J6" s="3778"/>
      <c r="K6" s="559" t="s">
        <v>1678</v>
      </c>
      <c r="L6" s="2715"/>
      <c r="M6" s="2716"/>
      <c r="N6" s="2716"/>
      <c r="O6" s="2716"/>
      <c r="P6" s="3848"/>
      <c r="Q6" s="3768"/>
      <c r="R6" s="3771"/>
      <c r="S6" s="3772"/>
      <c r="T6" s="3773"/>
      <c r="U6" s="3774"/>
      <c r="V6" s="3776"/>
      <c r="W6" s="3776"/>
      <c r="X6" s="1355"/>
      <c r="Y6" s="3773"/>
      <c r="Z6" s="3774"/>
      <c r="AA6" s="3790"/>
      <c r="AB6" s="3790"/>
      <c r="AC6" s="3790"/>
    </row>
    <row r="7" spans="1:29" s="108" customFormat="1" ht="15.75" thickBot="1">
      <c r="A7" s="362" t="s">
        <v>1679</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3" t="s">
        <v>1680</v>
      </c>
      <c r="Q7" s="3784"/>
      <c r="R7" s="701" t="s">
        <v>14</v>
      </c>
      <c r="S7" s="702">
        <f t="shared" ref="S7:S14" si="0">F7</f>
        <v>0</v>
      </c>
      <c r="T7" s="701" t="s">
        <v>14</v>
      </c>
      <c r="U7" s="702">
        <f t="shared" ref="U7:U14" si="1">H7</f>
        <v>0</v>
      </c>
      <c r="V7" s="701" t="s">
        <v>14</v>
      </c>
      <c r="W7" s="702">
        <f t="shared" ref="W7:W14" si="2">J7</f>
        <v>0</v>
      </c>
      <c r="X7" s="703"/>
      <c r="Y7" s="3783" t="s">
        <v>1680</v>
      </c>
      <c r="Z7" s="37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3" t="s">
        <v>1683</v>
      </c>
      <c r="Q8" s="3782"/>
      <c r="R8" s="701" t="s">
        <v>14</v>
      </c>
      <c r="S8" s="702">
        <f t="shared" si="0"/>
        <v>100</v>
      </c>
      <c r="T8" s="701" t="s">
        <v>14</v>
      </c>
      <c r="U8" s="702">
        <f t="shared" si="1"/>
        <v>100</v>
      </c>
      <c r="V8" s="701" t="s">
        <v>14</v>
      </c>
      <c r="W8" s="702">
        <f t="shared" si="2"/>
        <v>100</v>
      </c>
      <c r="X8" s="703"/>
      <c r="Y8" s="3783" t="s">
        <v>1683</v>
      </c>
      <c r="Z8" s="37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2"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2"/>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2"/>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2"/>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2"/>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9" t="s">
        <v>1691</v>
      </c>
      <c r="Q14" s="1352" t="str">
        <f t="shared" si="6"/>
        <v>交通便捷度</v>
      </c>
      <c r="R14" s="705" t="s">
        <v>14</v>
      </c>
      <c r="S14" s="706">
        <f t="shared" si="0"/>
        <v>100</v>
      </c>
      <c r="T14" s="705" t="s">
        <v>14</v>
      </c>
      <c r="U14" s="706">
        <f t="shared" si="1"/>
        <v>100</v>
      </c>
      <c r="V14" s="705" t="s">
        <v>14</v>
      </c>
      <c r="W14" s="706">
        <f t="shared" si="2"/>
        <v>100</v>
      </c>
      <c r="X14" s="1355"/>
      <c r="Y14" s="374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0"/>
      <c r="Q15" s="1352"/>
      <c r="R15" s="705"/>
      <c r="S15" s="706"/>
      <c r="T15" s="705"/>
      <c r="U15" s="706"/>
      <c r="V15" s="705"/>
      <c r="W15" s="706"/>
      <c r="X15" s="1355"/>
      <c r="Y15" s="375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0"/>
      <c r="Q16" s="1352" t="str">
        <f>B16</f>
        <v>公共配套设施</v>
      </c>
      <c r="R16" s="705" t="s">
        <v>14</v>
      </c>
      <c r="S16" s="706">
        <f>F16</f>
        <v>100</v>
      </c>
      <c r="T16" s="705" t="s">
        <v>14</v>
      </c>
      <c r="U16" s="706">
        <f>H16</f>
        <v>100</v>
      </c>
      <c r="V16" s="705" t="s">
        <v>14</v>
      </c>
      <c r="W16" s="706">
        <f>J16</f>
        <v>100</v>
      </c>
      <c r="X16" s="1355"/>
      <c r="Y16" s="375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0"/>
      <c r="Q17" s="1352"/>
      <c r="R17" s="705"/>
      <c r="S17" s="706"/>
      <c r="T17" s="705"/>
      <c r="U17" s="706"/>
      <c r="V17" s="705"/>
      <c r="W17" s="706"/>
      <c r="X17" s="1355"/>
      <c r="Y17" s="375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0"/>
      <c r="Q18" s="1352" t="str">
        <f>B18</f>
        <v>基础设施水平</v>
      </c>
      <c r="R18" s="705" t="s">
        <v>14</v>
      </c>
      <c r="S18" s="706">
        <f>F18</f>
        <v>100</v>
      </c>
      <c r="T18" s="705" t="s">
        <v>14</v>
      </c>
      <c r="U18" s="706">
        <f>H18</f>
        <v>100</v>
      </c>
      <c r="V18" s="705" t="s">
        <v>14</v>
      </c>
      <c r="W18" s="706">
        <f>J18</f>
        <v>100</v>
      </c>
      <c r="X18" s="1355"/>
      <c r="Y18" s="375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0"/>
      <c r="Q19" s="1352"/>
      <c r="R19" s="705"/>
      <c r="S19" s="706"/>
      <c r="T19" s="705"/>
      <c r="U19" s="706"/>
      <c r="V19" s="705"/>
      <c r="W19" s="706"/>
      <c r="X19" s="1355"/>
      <c r="Y19" s="375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0"/>
      <c r="Q20" s="1352" t="str">
        <f>B20</f>
        <v>自然及人文环境</v>
      </c>
      <c r="R20" s="705" t="s">
        <v>14</v>
      </c>
      <c r="S20" s="706">
        <f>F20</f>
        <v>100</v>
      </c>
      <c r="T20" s="705" t="s">
        <v>14</v>
      </c>
      <c r="U20" s="706">
        <f>H20</f>
        <v>100</v>
      </c>
      <c r="V20" s="705" t="s">
        <v>14</v>
      </c>
      <c r="W20" s="706">
        <f>J20</f>
        <v>100</v>
      </c>
      <c r="X20" s="1355"/>
      <c r="Y20" s="375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0"/>
      <c r="Q21" s="1352"/>
      <c r="R21" s="705"/>
      <c r="S21" s="706"/>
      <c r="T21" s="705"/>
      <c r="U21" s="706"/>
      <c r="V21" s="705"/>
      <c r="W21" s="706"/>
      <c r="X21" s="1355"/>
      <c r="Y21" s="375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0"/>
      <c r="Q22" s="1352" t="str">
        <f>B22</f>
        <v>楼层</v>
      </c>
      <c r="R22" s="705" t="s">
        <v>14</v>
      </c>
      <c r="S22" s="706">
        <f>F22</f>
        <v>100</v>
      </c>
      <c r="T22" s="705" t="s">
        <v>14</v>
      </c>
      <c r="U22" s="706">
        <f>H22</f>
        <v>100</v>
      </c>
      <c r="V22" s="705" t="s">
        <v>14</v>
      </c>
      <c r="W22" s="706">
        <f>J22</f>
        <v>100</v>
      </c>
      <c r="X22" s="1355"/>
      <c r="Y22" s="375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0"/>
      <c r="Q23" s="1352">
        <f>B23</f>
        <v>111</v>
      </c>
      <c r="R23" s="705" t="s">
        <v>14</v>
      </c>
      <c r="S23" s="706">
        <f>F23</f>
        <v>100</v>
      </c>
      <c r="T23" s="705" t="s">
        <v>14</v>
      </c>
      <c r="U23" s="706">
        <f>H23</f>
        <v>100</v>
      </c>
      <c r="V23" s="705" t="s">
        <v>14</v>
      </c>
      <c r="W23" s="706">
        <f>J23</f>
        <v>100</v>
      </c>
      <c r="X23" s="1355"/>
      <c r="Y23" s="375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0"/>
      <c r="Q24" s="1352">
        <f t="shared" ref="Q24:Q36" si="11">B24</f>
        <v>111</v>
      </c>
      <c r="R24" s="705" t="s">
        <v>14</v>
      </c>
      <c r="S24" s="706">
        <f>F24</f>
        <v>100</v>
      </c>
      <c r="T24" s="705" t="s">
        <v>14</v>
      </c>
      <c r="U24" s="706">
        <f>H24</f>
        <v>100</v>
      </c>
      <c r="V24" s="705" t="s">
        <v>14</v>
      </c>
      <c r="W24" s="706">
        <f>J24</f>
        <v>100</v>
      </c>
      <c r="X24" s="1355"/>
      <c r="Y24" s="375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0"/>
      <c r="Q25" s="1343">
        <f t="shared" si="11"/>
        <v>111</v>
      </c>
      <c r="R25" s="701" t="s">
        <v>14</v>
      </c>
      <c r="S25" s="702">
        <f>F25</f>
        <v>100</v>
      </c>
      <c r="T25" s="701" t="s">
        <v>14</v>
      </c>
      <c r="U25" s="702">
        <f>H25</f>
        <v>100</v>
      </c>
      <c r="V25" s="701" t="s">
        <v>14</v>
      </c>
      <c r="W25" s="702">
        <f>J25</f>
        <v>100</v>
      </c>
      <c r="X25" s="703"/>
      <c r="Y25" s="375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4"/>
      <c r="Q27" s="707" t="str">
        <f t="shared" si="11"/>
        <v>项目停车位配比</v>
      </c>
      <c r="R27" s="708" t="s">
        <v>14</v>
      </c>
      <c r="S27" s="709">
        <f t="shared" si="12"/>
        <v>100</v>
      </c>
      <c r="T27" s="708" t="s">
        <v>14</v>
      </c>
      <c r="U27" s="709">
        <f t="shared" si="13"/>
        <v>100</v>
      </c>
      <c r="V27" s="708" t="s">
        <v>14</v>
      </c>
      <c r="W27" s="709">
        <f t="shared" si="14"/>
        <v>100</v>
      </c>
      <c r="X27" s="710"/>
      <c r="Y27" s="375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4"/>
      <c r="Q28" s="1352" t="str">
        <f t="shared" si="11"/>
        <v>公共部分装修</v>
      </c>
      <c r="R28" s="705" t="s">
        <v>14</v>
      </c>
      <c r="S28" s="706">
        <f t="shared" si="12"/>
        <v>100</v>
      </c>
      <c r="T28" s="705" t="s">
        <v>14</v>
      </c>
      <c r="U28" s="706">
        <f t="shared" si="13"/>
        <v>100</v>
      </c>
      <c r="V28" s="705" t="s">
        <v>14</v>
      </c>
      <c r="W28" s="706">
        <f t="shared" si="14"/>
        <v>100</v>
      </c>
      <c r="X28" s="1355"/>
      <c r="Y28" s="375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4"/>
      <c r="Q29" s="1352" t="str">
        <f t="shared" si="11"/>
        <v>成新率</v>
      </c>
      <c r="R29" s="705" t="s">
        <v>14</v>
      </c>
      <c r="S29" s="706" t="e">
        <f t="shared" si="12"/>
        <v>#N/A</v>
      </c>
      <c r="T29" s="705" t="s">
        <v>14</v>
      </c>
      <c r="U29" s="706" t="e">
        <f t="shared" si="13"/>
        <v>#N/A</v>
      </c>
      <c r="V29" s="705" t="s">
        <v>14</v>
      </c>
      <c r="W29" s="706" t="e">
        <f t="shared" si="14"/>
        <v>#N/A</v>
      </c>
      <c r="X29" s="1355"/>
      <c r="Y29" s="375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4"/>
      <c r="Q30" s="1352" t="str">
        <f t="shared" si="11"/>
        <v>物业等级</v>
      </c>
      <c r="R30" s="705" t="s">
        <v>14</v>
      </c>
      <c r="S30" s="706">
        <f t="shared" si="12"/>
        <v>100</v>
      </c>
      <c r="T30" s="705" t="s">
        <v>14</v>
      </c>
      <c r="U30" s="706">
        <f t="shared" si="13"/>
        <v>100</v>
      </c>
      <c r="V30" s="705" t="s">
        <v>14</v>
      </c>
      <c r="W30" s="706">
        <f t="shared" si="14"/>
        <v>100</v>
      </c>
      <c r="X30" s="1355"/>
      <c r="Y30" s="375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4"/>
      <c r="Q31" s="1343" t="str">
        <f t="shared" si="11"/>
        <v>停车位面积</v>
      </c>
      <c r="R31" s="701" t="s">
        <v>14</v>
      </c>
      <c r="S31" s="702" t="e">
        <f t="shared" si="12"/>
        <v>#N/A</v>
      </c>
      <c r="T31" s="701" t="s">
        <v>14</v>
      </c>
      <c r="U31" s="702" t="e">
        <f t="shared" si="13"/>
        <v>#N/A</v>
      </c>
      <c r="V31" s="701" t="s">
        <v>14</v>
      </c>
      <c r="W31" s="702" t="e">
        <f t="shared" si="14"/>
        <v>#N/A</v>
      </c>
      <c r="X31" s="703"/>
      <c r="Y31" s="375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4" t="s">
        <v>1696</v>
      </c>
      <c r="Q32" s="1352" t="str">
        <f t="shared" si="11"/>
        <v>车位类型</v>
      </c>
      <c r="R32" s="705" t="s">
        <v>14</v>
      </c>
      <c r="S32" s="706">
        <f t="shared" si="12"/>
        <v>100</v>
      </c>
      <c r="T32" s="705" t="s">
        <v>14</v>
      </c>
      <c r="U32" s="706">
        <f t="shared" si="13"/>
        <v>100</v>
      </c>
      <c r="V32" s="705" t="s">
        <v>14</v>
      </c>
      <c r="W32" s="706">
        <f t="shared" si="14"/>
        <v>100</v>
      </c>
      <c r="X32" s="1355"/>
      <c r="Y32" s="375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4"/>
      <c r="Q33" s="1352" t="str">
        <f t="shared" si="11"/>
        <v>是否直接入户</v>
      </c>
      <c r="R33" s="705" t="s">
        <v>14</v>
      </c>
      <c r="S33" s="706">
        <f t="shared" si="12"/>
        <v>100</v>
      </c>
      <c r="T33" s="705" t="s">
        <v>14</v>
      </c>
      <c r="U33" s="706">
        <f t="shared" si="13"/>
        <v>100</v>
      </c>
      <c r="V33" s="705" t="s">
        <v>14</v>
      </c>
      <c r="W33" s="706">
        <f t="shared" si="14"/>
        <v>100</v>
      </c>
      <c r="X33" s="1355"/>
      <c r="Y33" s="375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4"/>
      <c r="Q34" s="1352">
        <f t="shared" si="11"/>
        <v>111</v>
      </c>
      <c r="R34" s="705" t="s">
        <v>14</v>
      </c>
      <c r="S34" s="706">
        <f t="shared" si="12"/>
        <v>100</v>
      </c>
      <c r="T34" s="705" t="s">
        <v>14</v>
      </c>
      <c r="U34" s="706">
        <f t="shared" si="13"/>
        <v>100</v>
      </c>
      <c r="V34" s="705" t="s">
        <v>14</v>
      </c>
      <c r="W34" s="706">
        <f t="shared" si="14"/>
        <v>100</v>
      </c>
      <c r="X34" s="1355"/>
      <c r="Y34" s="375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4"/>
      <c r="Q35" s="707">
        <f t="shared" si="11"/>
        <v>111</v>
      </c>
      <c r="R35" s="708" t="s">
        <v>14</v>
      </c>
      <c r="S35" s="709">
        <f t="shared" si="12"/>
        <v>100</v>
      </c>
      <c r="T35" s="708" t="s">
        <v>14</v>
      </c>
      <c r="U35" s="709">
        <f t="shared" si="13"/>
        <v>100</v>
      </c>
      <c r="V35" s="708" t="s">
        <v>14</v>
      </c>
      <c r="W35" s="709">
        <f t="shared" si="14"/>
        <v>100</v>
      </c>
      <c r="X35" s="710"/>
      <c r="Y35" s="375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4"/>
      <c r="Q36" s="1352">
        <f t="shared" si="11"/>
        <v>111</v>
      </c>
      <c r="R36" s="705" t="s">
        <v>14</v>
      </c>
      <c r="S36" s="706">
        <f t="shared" si="12"/>
        <v>100</v>
      </c>
      <c r="T36" s="705" t="s">
        <v>14</v>
      </c>
      <c r="U36" s="706">
        <f t="shared" si="13"/>
        <v>100</v>
      </c>
      <c r="V36" s="705" t="s">
        <v>14</v>
      </c>
      <c r="W36" s="706">
        <f t="shared" si="14"/>
        <v>100</v>
      </c>
      <c r="X36" s="1355"/>
      <c r="Y36" s="375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42" t="str">
        <f>A37</f>
        <v>成交单价</v>
      </c>
      <c r="Q37" s="3742"/>
      <c r="R37" s="3743">
        <f>E37</f>
        <v>0</v>
      </c>
      <c r="S37" s="3743"/>
      <c r="T37" s="3743">
        <f>G37</f>
        <v>0</v>
      </c>
      <c r="U37" s="3743"/>
      <c r="V37" s="3743">
        <f>I37</f>
        <v>0</v>
      </c>
      <c r="W37" s="374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41" t="str">
        <f>A39</f>
        <v>估价对象XX用房的比较价值（楼面单价，元/平方米）</v>
      </c>
      <c r="Q39" s="3842"/>
      <c r="R39" s="3853" t="e">
        <f>IF(F1="售价",ROUND(IF(D38="简单平均",AVERAGE(R38:W38),R38*F38+T38*H38+V38*J38),0),ROUND(IF(D38="简单平均",AVERAGE(R38:V38),R38*F38+T38*H38+V38*J38),1))</f>
        <v>#DIV/0!</v>
      </c>
      <c r="S39" s="3853"/>
      <c r="T39" s="3853"/>
      <c r="U39" s="3853"/>
      <c r="V39" s="3853"/>
      <c r="W39" s="38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9" t="s">
        <v>1770</v>
      </c>
      <c r="D4" s="3760"/>
      <c r="E4" s="3761" t="s">
        <v>1771</v>
      </c>
      <c r="F4" s="3762"/>
      <c r="G4" s="3759" t="s">
        <v>1772</v>
      </c>
      <c r="H4" s="3760"/>
      <c r="I4" s="3759" t="s">
        <v>1773</v>
      </c>
      <c r="J4" s="3760"/>
      <c r="K4" s="559" t="s">
        <v>1774</v>
      </c>
      <c r="L4" s="2715"/>
      <c r="M4" s="2716"/>
      <c r="N4" s="2716"/>
      <c r="O4" s="2716"/>
      <c r="P4" s="3845" t="s">
        <v>1775</v>
      </c>
      <c r="Q4" s="3846"/>
      <c r="R4" s="3849" t="s">
        <v>1771</v>
      </c>
      <c r="S4" s="3850"/>
      <c r="T4" s="3849" t="s">
        <v>1772</v>
      </c>
      <c r="U4" s="3850"/>
      <c r="V4" s="3776" t="s">
        <v>1773</v>
      </c>
      <c r="W4" s="3776"/>
      <c r="X4" s="1355"/>
      <c r="Y4" s="3849" t="s">
        <v>1775</v>
      </c>
      <c r="Z4" s="3850"/>
      <c r="AA4" s="3844" t="s">
        <v>1771</v>
      </c>
      <c r="AB4" s="3789" t="s">
        <v>1772</v>
      </c>
      <c r="AC4" s="3844" t="s">
        <v>1773</v>
      </c>
    </row>
    <row r="5" spans="1:29" ht="15">
      <c r="A5" s="358"/>
      <c r="B5" s="359"/>
      <c r="C5" s="3785" t="s">
        <v>1673</v>
      </c>
      <c r="D5" s="3780"/>
      <c r="E5" s="3851" t="s">
        <v>1674</v>
      </c>
      <c r="F5" s="3792"/>
      <c r="G5" s="3785" t="s">
        <v>1675</v>
      </c>
      <c r="H5" s="3780"/>
      <c r="I5" s="3785" t="s">
        <v>1676</v>
      </c>
      <c r="J5" s="3780"/>
      <c r="K5" s="559"/>
      <c r="L5" s="2715"/>
      <c r="M5" s="2716"/>
      <c r="N5" s="2716"/>
      <c r="O5" s="2716"/>
      <c r="P5" s="3847"/>
      <c r="Q5" s="3766"/>
      <c r="R5" s="3771"/>
      <c r="S5" s="3772"/>
      <c r="T5" s="3771"/>
      <c r="U5" s="3772"/>
      <c r="V5" s="3776"/>
      <c r="W5" s="3776"/>
      <c r="X5" s="1355"/>
      <c r="Y5" s="3771"/>
      <c r="Z5" s="3772"/>
      <c r="AA5" s="3789"/>
      <c r="AB5" s="3789"/>
      <c r="AC5" s="3789"/>
    </row>
    <row r="6" spans="1:29" ht="15.75" thickBot="1">
      <c r="A6" s="360"/>
      <c r="B6" s="361"/>
      <c r="C6" s="3777" t="s">
        <v>1677</v>
      </c>
      <c r="D6" s="3778"/>
      <c r="E6" s="3786" t="s">
        <v>1677</v>
      </c>
      <c r="F6" s="3787"/>
      <c r="G6" s="3777" t="s">
        <v>1677</v>
      </c>
      <c r="H6" s="3778"/>
      <c r="I6" s="3777" t="s">
        <v>1677</v>
      </c>
      <c r="J6" s="3778"/>
      <c r="K6" s="559" t="s">
        <v>1678</v>
      </c>
      <c r="L6" s="2715"/>
      <c r="M6" s="2716"/>
      <c r="N6" s="2716"/>
      <c r="O6" s="2716"/>
      <c r="P6" s="3848"/>
      <c r="Q6" s="3768"/>
      <c r="R6" s="3771"/>
      <c r="S6" s="3772"/>
      <c r="T6" s="3773"/>
      <c r="U6" s="3774"/>
      <c r="V6" s="3776"/>
      <c r="W6" s="3776"/>
      <c r="X6" s="1355"/>
      <c r="Y6" s="3773"/>
      <c r="Z6" s="3774"/>
      <c r="AA6" s="3790"/>
      <c r="AB6" s="3790"/>
      <c r="AC6" s="3790"/>
    </row>
    <row r="7" spans="1:29" s="108" customFormat="1" ht="15.75" thickBot="1">
      <c r="A7" s="362" t="s">
        <v>1679</v>
      </c>
      <c r="B7" s="363"/>
      <c r="C7" s="364">
        <f>'数据-取费表'!B2</f>
        <v>44991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3" t="s">
        <v>1680</v>
      </c>
      <c r="Q7" s="3784"/>
      <c r="R7" s="701" t="s">
        <v>14</v>
      </c>
      <c r="S7" s="702">
        <f t="shared" ref="S7:S14" si="0">F7</f>
        <v>0</v>
      </c>
      <c r="T7" s="701" t="s">
        <v>14</v>
      </c>
      <c r="U7" s="702">
        <f t="shared" ref="U7:U14" si="1">H7</f>
        <v>0</v>
      </c>
      <c r="V7" s="701" t="s">
        <v>14</v>
      </c>
      <c r="W7" s="702">
        <f t="shared" ref="W7:W14" si="2">J7</f>
        <v>0</v>
      </c>
      <c r="X7" s="703"/>
      <c r="Y7" s="3783" t="s">
        <v>1680</v>
      </c>
      <c r="Z7" s="37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3" t="s">
        <v>1683</v>
      </c>
      <c r="Q8" s="3782"/>
      <c r="R8" s="701" t="s">
        <v>14</v>
      </c>
      <c r="S8" s="702">
        <f t="shared" si="0"/>
        <v>100</v>
      </c>
      <c r="T8" s="701" t="s">
        <v>14</v>
      </c>
      <c r="U8" s="702">
        <f t="shared" si="1"/>
        <v>100</v>
      </c>
      <c r="V8" s="701" t="s">
        <v>14</v>
      </c>
      <c r="W8" s="702">
        <f t="shared" si="2"/>
        <v>100</v>
      </c>
      <c r="X8" s="703"/>
      <c r="Y8" s="3783" t="s">
        <v>1683</v>
      </c>
      <c r="Z8" s="37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2"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2"/>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2"/>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2"/>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2"/>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9" t="s">
        <v>1691</v>
      </c>
      <c r="Q14" s="1352" t="str">
        <f t="shared" si="6"/>
        <v>交通便捷度</v>
      </c>
      <c r="R14" s="705" t="s">
        <v>14</v>
      </c>
      <c r="S14" s="706">
        <f t="shared" si="0"/>
        <v>100</v>
      </c>
      <c r="T14" s="705" t="s">
        <v>14</v>
      </c>
      <c r="U14" s="706">
        <f t="shared" si="1"/>
        <v>100</v>
      </c>
      <c r="V14" s="705" t="s">
        <v>14</v>
      </c>
      <c r="W14" s="706">
        <f t="shared" si="2"/>
        <v>100</v>
      </c>
      <c r="X14" s="1355"/>
      <c r="Y14" s="374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0"/>
      <c r="Q15" s="1352"/>
      <c r="R15" s="705"/>
      <c r="S15" s="706"/>
      <c r="T15" s="705"/>
      <c r="U15" s="706"/>
      <c r="V15" s="705"/>
      <c r="W15" s="706"/>
      <c r="X15" s="1355"/>
      <c r="Y15" s="375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0"/>
      <c r="Q16" s="1352" t="str">
        <f>B16</f>
        <v>公共配套设施</v>
      </c>
      <c r="R16" s="705" t="s">
        <v>14</v>
      </c>
      <c r="S16" s="706">
        <f>F16</f>
        <v>100</v>
      </c>
      <c r="T16" s="705" t="s">
        <v>14</v>
      </c>
      <c r="U16" s="706">
        <f>H16</f>
        <v>100</v>
      </c>
      <c r="V16" s="705" t="s">
        <v>14</v>
      </c>
      <c r="W16" s="706">
        <f>J16</f>
        <v>100</v>
      </c>
      <c r="X16" s="1355"/>
      <c r="Y16" s="375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0"/>
      <c r="Q17" s="1352"/>
      <c r="R17" s="705"/>
      <c r="S17" s="706"/>
      <c r="T17" s="705"/>
      <c r="U17" s="706"/>
      <c r="V17" s="705"/>
      <c r="W17" s="706"/>
      <c r="X17" s="1355"/>
      <c r="Y17" s="375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0"/>
      <c r="Q18" s="1352" t="str">
        <f>B18</f>
        <v>基础设施水平</v>
      </c>
      <c r="R18" s="705" t="s">
        <v>14</v>
      </c>
      <c r="S18" s="706">
        <f>F18</f>
        <v>100</v>
      </c>
      <c r="T18" s="705" t="s">
        <v>14</v>
      </c>
      <c r="U18" s="706">
        <f>H18</f>
        <v>100</v>
      </c>
      <c r="V18" s="705" t="s">
        <v>14</v>
      </c>
      <c r="W18" s="706">
        <f>J18</f>
        <v>100</v>
      </c>
      <c r="X18" s="1355"/>
      <c r="Y18" s="375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0"/>
      <c r="Q19" s="1352"/>
      <c r="R19" s="705"/>
      <c r="S19" s="706"/>
      <c r="T19" s="705"/>
      <c r="U19" s="706"/>
      <c r="V19" s="705"/>
      <c r="W19" s="706"/>
      <c r="X19" s="1355"/>
      <c r="Y19" s="375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0"/>
      <c r="Q20" s="1352" t="str">
        <f>B20</f>
        <v>自然及人文环境</v>
      </c>
      <c r="R20" s="705" t="s">
        <v>14</v>
      </c>
      <c r="S20" s="706">
        <f>F20</f>
        <v>100</v>
      </c>
      <c r="T20" s="705" t="s">
        <v>14</v>
      </c>
      <c r="U20" s="706">
        <f>H20</f>
        <v>100</v>
      </c>
      <c r="V20" s="705" t="s">
        <v>14</v>
      </c>
      <c r="W20" s="706">
        <f>J20</f>
        <v>100</v>
      </c>
      <c r="X20" s="1355"/>
      <c r="Y20" s="375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0"/>
      <c r="Q21" s="1352"/>
      <c r="R21" s="705"/>
      <c r="S21" s="706"/>
      <c r="T21" s="705"/>
      <c r="U21" s="706"/>
      <c r="V21" s="705"/>
      <c r="W21" s="706"/>
      <c r="X21" s="1355"/>
      <c r="Y21" s="375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0"/>
      <c r="Q22" s="1352" t="str">
        <f>B22</f>
        <v>楼层</v>
      </c>
      <c r="R22" s="705" t="s">
        <v>14</v>
      </c>
      <c r="S22" s="706">
        <f>F22</f>
        <v>100</v>
      </c>
      <c r="T22" s="705" t="s">
        <v>14</v>
      </c>
      <c r="U22" s="706">
        <f>H22</f>
        <v>100</v>
      </c>
      <c r="V22" s="705" t="s">
        <v>14</v>
      </c>
      <c r="W22" s="706">
        <f>J22</f>
        <v>100</v>
      </c>
      <c r="X22" s="1355"/>
      <c r="Y22" s="375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0"/>
      <c r="Q23" s="1352">
        <f>B23</f>
        <v>111</v>
      </c>
      <c r="R23" s="705" t="s">
        <v>14</v>
      </c>
      <c r="S23" s="706">
        <f>F23</f>
        <v>100</v>
      </c>
      <c r="T23" s="705" t="s">
        <v>14</v>
      </c>
      <c r="U23" s="706">
        <f>H23</f>
        <v>100</v>
      </c>
      <c r="V23" s="705" t="s">
        <v>14</v>
      </c>
      <c r="W23" s="706">
        <f>J23</f>
        <v>100</v>
      </c>
      <c r="X23" s="1355"/>
      <c r="Y23" s="375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0"/>
      <c r="Q24" s="1352">
        <f t="shared" ref="Q24:Q34" si="11">B24</f>
        <v>111</v>
      </c>
      <c r="R24" s="705" t="s">
        <v>14</v>
      </c>
      <c r="S24" s="706">
        <f>F24</f>
        <v>100</v>
      </c>
      <c r="T24" s="705" t="s">
        <v>14</v>
      </c>
      <c r="U24" s="706">
        <f>H24</f>
        <v>100</v>
      </c>
      <c r="V24" s="705" t="s">
        <v>14</v>
      </c>
      <c r="W24" s="706">
        <f>J24</f>
        <v>100</v>
      </c>
      <c r="X24" s="1355"/>
      <c r="Y24" s="375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0"/>
      <c r="Q25" s="1343">
        <f t="shared" si="11"/>
        <v>111</v>
      </c>
      <c r="R25" s="701" t="s">
        <v>14</v>
      </c>
      <c r="S25" s="702">
        <f>F25</f>
        <v>100</v>
      </c>
      <c r="T25" s="701" t="s">
        <v>14</v>
      </c>
      <c r="U25" s="702">
        <f>H25</f>
        <v>100</v>
      </c>
      <c r="V25" s="701" t="s">
        <v>14</v>
      </c>
      <c r="W25" s="702">
        <f>J25</f>
        <v>100</v>
      </c>
      <c r="X25" s="703"/>
      <c r="Y25" s="375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4"/>
      <c r="Q27" s="707" t="str">
        <f t="shared" si="11"/>
        <v>成新率</v>
      </c>
      <c r="R27" s="708" t="s">
        <v>14</v>
      </c>
      <c r="S27" s="709" t="e">
        <f t="shared" si="12"/>
        <v>#N/A</v>
      </c>
      <c r="T27" s="708" t="s">
        <v>14</v>
      </c>
      <c r="U27" s="709" t="e">
        <f t="shared" si="13"/>
        <v>#N/A</v>
      </c>
      <c r="V27" s="708" t="s">
        <v>14</v>
      </c>
      <c r="W27" s="709" t="e">
        <f t="shared" si="14"/>
        <v>#N/A</v>
      </c>
      <c r="X27" s="710"/>
      <c r="Y27" s="375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4"/>
      <c r="Q28" s="1352" t="str">
        <f t="shared" si="11"/>
        <v>物业等级</v>
      </c>
      <c r="R28" s="705" t="s">
        <v>14</v>
      </c>
      <c r="S28" s="706">
        <f t="shared" si="12"/>
        <v>100</v>
      </c>
      <c r="T28" s="705" t="s">
        <v>14</v>
      </c>
      <c r="U28" s="706">
        <f t="shared" si="13"/>
        <v>100</v>
      </c>
      <c r="V28" s="705" t="s">
        <v>14</v>
      </c>
      <c r="W28" s="706">
        <f t="shared" si="14"/>
        <v>100</v>
      </c>
      <c r="X28" s="1355"/>
      <c r="Y28" s="375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4"/>
      <c r="Q29" s="1352" t="str">
        <f t="shared" si="11"/>
        <v>有无电梯</v>
      </c>
      <c r="R29" s="705" t="s">
        <v>14</v>
      </c>
      <c r="S29" s="706">
        <f t="shared" si="12"/>
        <v>100</v>
      </c>
      <c r="T29" s="705" t="s">
        <v>14</v>
      </c>
      <c r="U29" s="706">
        <f t="shared" si="13"/>
        <v>100</v>
      </c>
      <c r="V29" s="705" t="s">
        <v>14</v>
      </c>
      <c r="W29" s="706">
        <f t="shared" si="14"/>
        <v>100</v>
      </c>
      <c r="X29" s="1355"/>
      <c r="Y29" s="375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4"/>
      <c r="Q30" s="1352" t="str">
        <f t="shared" si="11"/>
        <v>建筑面积</v>
      </c>
      <c r="R30" s="705" t="s">
        <v>14</v>
      </c>
      <c r="S30" s="706" t="e">
        <f t="shared" si="12"/>
        <v>#N/A</v>
      </c>
      <c r="T30" s="705" t="s">
        <v>14</v>
      </c>
      <c r="U30" s="706" t="e">
        <f t="shared" si="13"/>
        <v>#N/A</v>
      </c>
      <c r="V30" s="705" t="s">
        <v>14</v>
      </c>
      <c r="W30" s="706" t="e">
        <f t="shared" si="14"/>
        <v>#N/A</v>
      </c>
      <c r="X30" s="1355"/>
      <c r="Y30" s="375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4"/>
      <c r="Q31" s="1343" t="str">
        <f t="shared" si="11"/>
        <v>是否封闭</v>
      </c>
      <c r="R31" s="701" t="s">
        <v>14</v>
      </c>
      <c r="S31" s="702">
        <f t="shared" si="12"/>
        <v>100</v>
      </c>
      <c r="T31" s="701" t="s">
        <v>14</v>
      </c>
      <c r="U31" s="702">
        <f t="shared" si="13"/>
        <v>100</v>
      </c>
      <c r="V31" s="701" t="s">
        <v>14</v>
      </c>
      <c r="W31" s="702">
        <f t="shared" si="14"/>
        <v>100</v>
      </c>
      <c r="X31" s="703"/>
      <c r="Y31" s="375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4" t="s">
        <v>1696</v>
      </c>
      <c r="Q32" s="1352">
        <f t="shared" si="11"/>
        <v>111</v>
      </c>
      <c r="R32" s="705" t="s">
        <v>14</v>
      </c>
      <c r="S32" s="706">
        <f t="shared" si="12"/>
        <v>100</v>
      </c>
      <c r="T32" s="705" t="s">
        <v>14</v>
      </c>
      <c r="U32" s="706">
        <f t="shared" si="13"/>
        <v>100</v>
      </c>
      <c r="V32" s="705" t="s">
        <v>14</v>
      </c>
      <c r="W32" s="706">
        <f t="shared" si="14"/>
        <v>100</v>
      </c>
      <c r="X32" s="1355"/>
      <c r="Y32" s="375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4"/>
      <c r="Q33" s="1352">
        <f t="shared" si="11"/>
        <v>111</v>
      </c>
      <c r="R33" s="705" t="s">
        <v>14</v>
      </c>
      <c r="S33" s="706">
        <f t="shared" si="12"/>
        <v>100</v>
      </c>
      <c r="T33" s="705" t="s">
        <v>14</v>
      </c>
      <c r="U33" s="706">
        <f t="shared" si="13"/>
        <v>100</v>
      </c>
      <c r="V33" s="705" t="s">
        <v>14</v>
      </c>
      <c r="W33" s="706">
        <f t="shared" si="14"/>
        <v>100</v>
      </c>
      <c r="X33" s="1355"/>
      <c r="Y33" s="375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4"/>
      <c r="Q34" s="1352">
        <f t="shared" si="11"/>
        <v>111</v>
      </c>
      <c r="R34" s="705" t="s">
        <v>14</v>
      </c>
      <c r="S34" s="706">
        <f t="shared" si="12"/>
        <v>100</v>
      </c>
      <c r="T34" s="705" t="s">
        <v>14</v>
      </c>
      <c r="U34" s="706">
        <f t="shared" si="13"/>
        <v>100</v>
      </c>
      <c r="V34" s="705" t="s">
        <v>14</v>
      </c>
      <c r="W34" s="706">
        <f t="shared" si="14"/>
        <v>100</v>
      </c>
      <c r="X34" s="1355"/>
      <c r="Y34" s="375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2" t="str">
        <f>A35</f>
        <v>成交单价（元/平方米）</v>
      </c>
      <c r="Q35" s="3742"/>
      <c r="R35" s="3743">
        <f>E35</f>
        <v>0</v>
      </c>
      <c r="S35" s="3743"/>
      <c r="T35" s="3743">
        <f>G35</f>
        <v>0</v>
      </c>
      <c r="U35" s="3743"/>
      <c r="V35" s="3743">
        <f>I35</f>
        <v>0</v>
      </c>
      <c r="W35" s="374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41" t="str">
        <f>A37</f>
        <v>估价对象XX用房的比较价值（楼面单价，元/平方米）</v>
      </c>
      <c r="Q37" s="3842"/>
      <c r="R37" s="3853" t="e">
        <f>IF(F1="售价",ROUND(IF(D36="简单平均",AVERAGE(R36:W36),R36*F36+T36*H36+V36*J36),0),ROUND(IF(D36="简单平均",AVERAGE(R36:V36),R36*F36+T36*H36+V36*J36),1))</f>
        <v>#DIV/0!</v>
      </c>
      <c r="S37" s="3853"/>
      <c r="T37" s="3853"/>
      <c r="U37" s="3853"/>
      <c r="V37" s="3853"/>
      <c r="W37" s="38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9" t="s">
        <v>1770</v>
      </c>
      <c r="D4" s="3760"/>
      <c r="E4" s="3761" t="s">
        <v>1771</v>
      </c>
      <c r="F4" s="3762"/>
      <c r="G4" s="3759" t="s">
        <v>1772</v>
      </c>
      <c r="H4" s="3760"/>
      <c r="I4" s="3759" t="s">
        <v>1773</v>
      </c>
      <c r="J4" s="3760"/>
      <c r="K4" s="559" t="s">
        <v>1774</v>
      </c>
      <c r="L4" s="2715"/>
      <c r="M4" s="2716"/>
      <c r="N4" s="2716"/>
      <c r="O4" s="2716"/>
      <c r="P4" s="3845" t="s">
        <v>1775</v>
      </c>
      <c r="Q4" s="3846"/>
      <c r="R4" s="3849" t="s">
        <v>1771</v>
      </c>
      <c r="S4" s="3850"/>
      <c r="T4" s="3849" t="s">
        <v>1772</v>
      </c>
      <c r="U4" s="3850"/>
      <c r="V4" s="3776" t="s">
        <v>1773</v>
      </c>
      <c r="W4" s="3776"/>
      <c r="X4" s="1355"/>
      <c r="Y4" s="3849" t="s">
        <v>1775</v>
      </c>
      <c r="Z4" s="3850"/>
      <c r="AA4" s="3844" t="s">
        <v>1771</v>
      </c>
      <c r="AB4" s="3789" t="s">
        <v>1772</v>
      </c>
      <c r="AC4" s="3844" t="s">
        <v>1773</v>
      </c>
    </row>
    <row r="5" spans="1:30" ht="15">
      <c r="A5" s="358"/>
      <c r="B5" s="359"/>
      <c r="C5" s="3785" t="s">
        <v>1673</v>
      </c>
      <c r="D5" s="3780"/>
      <c r="E5" s="3851" t="s">
        <v>1674</v>
      </c>
      <c r="F5" s="3792"/>
      <c r="G5" s="3785" t="s">
        <v>1675</v>
      </c>
      <c r="H5" s="3780"/>
      <c r="I5" s="3785" t="s">
        <v>1676</v>
      </c>
      <c r="J5" s="3780"/>
      <c r="K5" s="559"/>
      <c r="L5" s="2715"/>
      <c r="M5" s="2716"/>
      <c r="N5" s="2716"/>
      <c r="O5" s="2716"/>
      <c r="P5" s="3847"/>
      <c r="Q5" s="3766"/>
      <c r="R5" s="3771"/>
      <c r="S5" s="3772"/>
      <c r="T5" s="3771"/>
      <c r="U5" s="3772"/>
      <c r="V5" s="3776"/>
      <c r="W5" s="3776"/>
      <c r="X5" s="1355"/>
      <c r="Y5" s="3771"/>
      <c r="Z5" s="3772"/>
      <c r="AA5" s="3789"/>
      <c r="AB5" s="3789"/>
      <c r="AC5" s="3789"/>
    </row>
    <row r="6" spans="1:30" ht="15.75" thickBot="1">
      <c r="A6" s="360"/>
      <c r="B6" s="361"/>
      <c r="C6" s="3777" t="s">
        <v>1677</v>
      </c>
      <c r="D6" s="3778"/>
      <c r="E6" s="3786" t="s">
        <v>1677</v>
      </c>
      <c r="F6" s="3787"/>
      <c r="G6" s="3777" t="s">
        <v>1677</v>
      </c>
      <c r="H6" s="3778"/>
      <c r="I6" s="3777" t="s">
        <v>1677</v>
      </c>
      <c r="J6" s="3778"/>
      <c r="K6" s="559" t="s">
        <v>1678</v>
      </c>
      <c r="L6" s="2715"/>
      <c r="M6" s="2716"/>
      <c r="N6" s="2716"/>
      <c r="O6" s="2716"/>
      <c r="P6" s="3848"/>
      <c r="Q6" s="3768"/>
      <c r="R6" s="3771"/>
      <c r="S6" s="3772"/>
      <c r="T6" s="3773"/>
      <c r="U6" s="3774"/>
      <c r="V6" s="3776"/>
      <c r="W6" s="3776"/>
      <c r="X6" s="1355"/>
      <c r="Y6" s="3773"/>
      <c r="Z6" s="3774"/>
      <c r="AA6" s="3790"/>
      <c r="AB6" s="3790"/>
      <c r="AC6" s="3790"/>
    </row>
    <row r="7" spans="1:30" s="108" customFormat="1" ht="15.75" thickBot="1">
      <c r="A7" s="362" t="s">
        <v>1679</v>
      </c>
      <c r="B7" s="363"/>
      <c r="C7" s="364">
        <f>'数据-取费表'!B2</f>
        <v>44991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3" t="s">
        <v>1680</v>
      </c>
      <c r="Q7" s="3784"/>
      <c r="R7" s="701" t="s">
        <v>14</v>
      </c>
      <c r="S7" s="702">
        <f t="shared" ref="S7:S15" si="0">F7</f>
        <v>0</v>
      </c>
      <c r="T7" s="701" t="s">
        <v>14</v>
      </c>
      <c r="U7" s="702">
        <f t="shared" ref="U7:U15" si="1">H7</f>
        <v>0</v>
      </c>
      <c r="V7" s="701" t="s">
        <v>14</v>
      </c>
      <c r="W7" s="702">
        <f t="shared" ref="W7:W15" si="2">J7</f>
        <v>0</v>
      </c>
      <c r="X7" s="703"/>
      <c r="Y7" s="3783" t="s">
        <v>1680</v>
      </c>
      <c r="Z7" s="37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3" t="s">
        <v>1683</v>
      </c>
      <c r="Q8" s="3782"/>
      <c r="R8" s="701" t="s">
        <v>14</v>
      </c>
      <c r="S8" s="702">
        <f t="shared" si="0"/>
        <v>0</v>
      </c>
      <c r="T8" s="701" t="s">
        <v>14</v>
      </c>
      <c r="U8" s="702">
        <f t="shared" si="1"/>
        <v>0</v>
      </c>
      <c r="V8" s="701" t="s">
        <v>14</v>
      </c>
      <c r="W8" s="702">
        <f t="shared" si="2"/>
        <v>0</v>
      </c>
      <c r="X8" s="703"/>
      <c r="Y8" s="3783" t="s">
        <v>1683</v>
      </c>
      <c r="Z8" s="37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2"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42"/>
      <c r="Q10" s="1343" t="str">
        <f t="shared" si="6"/>
        <v>土地使用年限（年）</v>
      </c>
      <c r="R10" s="701" t="s">
        <v>14</v>
      </c>
      <c r="S10" s="702">
        <f t="shared" si="0"/>
        <v>118</v>
      </c>
      <c r="T10" s="701" t="s">
        <v>14</v>
      </c>
      <c r="U10" s="702">
        <f t="shared" si="1"/>
        <v>118</v>
      </c>
      <c r="V10" s="701" t="s">
        <v>14</v>
      </c>
      <c r="W10" s="702">
        <f t="shared" si="2"/>
        <v>118</v>
      </c>
      <c r="X10" s="703"/>
      <c r="Y10" s="3648"/>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2"/>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2"/>
      <c r="Q12" s="1343"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2"/>
      <c r="Q13" s="1343">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2"/>
      <c r="Q14" s="1343">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9" t="s">
        <v>1691</v>
      </c>
      <c r="Q15" s="1352" t="str">
        <f t="shared" si="6"/>
        <v>居住社区成熟度</v>
      </c>
      <c r="R15" s="705" t="s">
        <v>14</v>
      </c>
      <c r="S15" s="706">
        <f t="shared" si="0"/>
        <v>100</v>
      </c>
      <c r="T15" s="705" t="s">
        <v>14</v>
      </c>
      <c r="U15" s="706">
        <f t="shared" si="1"/>
        <v>100</v>
      </c>
      <c r="V15" s="705" t="s">
        <v>14</v>
      </c>
      <c r="W15" s="706">
        <f t="shared" si="2"/>
        <v>100</v>
      </c>
      <c r="X15" s="1355"/>
      <c r="Y15" s="374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0"/>
      <c r="Q16" s="1352"/>
      <c r="R16" s="705"/>
      <c r="S16" s="706"/>
      <c r="T16" s="705"/>
      <c r="U16" s="706"/>
      <c r="V16" s="705"/>
      <c r="W16" s="706"/>
      <c r="X16" s="1355"/>
      <c r="Y16" s="375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0"/>
      <c r="Q17" s="1352" t="str">
        <f>B17</f>
        <v>商业繁华度</v>
      </c>
      <c r="R17" s="705" t="s">
        <v>14</v>
      </c>
      <c r="S17" s="706">
        <f>F17</f>
        <v>100</v>
      </c>
      <c r="T17" s="705" t="s">
        <v>14</v>
      </c>
      <c r="U17" s="706">
        <f>H17</f>
        <v>100</v>
      </c>
      <c r="V17" s="705" t="s">
        <v>14</v>
      </c>
      <c r="W17" s="706">
        <f>J17</f>
        <v>100</v>
      </c>
      <c r="X17" s="1355"/>
      <c r="Y17" s="375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0"/>
      <c r="Q18" s="1352"/>
      <c r="R18" s="705"/>
      <c r="S18" s="706"/>
      <c r="T18" s="705"/>
      <c r="U18" s="706"/>
      <c r="V18" s="705"/>
      <c r="W18" s="706"/>
      <c r="X18" s="1355"/>
      <c r="Y18" s="375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0"/>
      <c r="Q19" s="1352" t="str">
        <f>B19</f>
        <v>办公集聚程度</v>
      </c>
      <c r="R19" s="705" t="s">
        <v>14</v>
      </c>
      <c r="S19" s="706">
        <f>F19</f>
        <v>100</v>
      </c>
      <c r="T19" s="705" t="s">
        <v>14</v>
      </c>
      <c r="U19" s="706">
        <f>H19</f>
        <v>100</v>
      </c>
      <c r="V19" s="705" t="s">
        <v>14</v>
      </c>
      <c r="W19" s="706">
        <f>J19</f>
        <v>100</v>
      </c>
      <c r="X19" s="1355"/>
      <c r="Y19" s="375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0"/>
      <c r="Q20" s="1352"/>
      <c r="R20" s="705"/>
      <c r="S20" s="706"/>
      <c r="T20" s="705"/>
      <c r="U20" s="706"/>
      <c r="V20" s="705"/>
      <c r="W20" s="706"/>
      <c r="X20" s="1355"/>
      <c r="Y20" s="375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0"/>
      <c r="Q21" s="1352" t="str">
        <f>B21</f>
        <v>交通便捷度</v>
      </c>
      <c r="R21" s="705" t="s">
        <v>14</v>
      </c>
      <c r="S21" s="706">
        <f>F21</f>
        <v>100</v>
      </c>
      <c r="T21" s="705" t="s">
        <v>14</v>
      </c>
      <c r="U21" s="706">
        <f>H21</f>
        <v>100</v>
      </c>
      <c r="V21" s="705" t="s">
        <v>14</v>
      </c>
      <c r="W21" s="706">
        <f>J21</f>
        <v>100</v>
      </c>
      <c r="X21" s="1355"/>
      <c r="Y21" s="375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0"/>
      <c r="Q22" s="1352"/>
      <c r="R22" s="705"/>
      <c r="S22" s="706"/>
      <c r="T22" s="705"/>
      <c r="U22" s="706"/>
      <c r="V22" s="705"/>
      <c r="W22" s="706"/>
      <c r="X22" s="1355"/>
      <c r="Y22" s="375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0"/>
      <c r="Q23" s="1352" t="str">
        <f t="shared" ref="Q23:Q37" si="8">B23</f>
        <v>区域土地利用方向</v>
      </c>
      <c r="R23" s="705" t="s">
        <v>14</v>
      </c>
      <c r="S23" s="706">
        <f>F23</f>
        <v>100</v>
      </c>
      <c r="T23" s="705" t="s">
        <v>14</v>
      </c>
      <c r="U23" s="706">
        <f>H23</f>
        <v>100</v>
      </c>
      <c r="V23" s="705" t="s">
        <v>14</v>
      </c>
      <c r="W23" s="706">
        <f>J23</f>
        <v>100</v>
      </c>
      <c r="X23" s="1355"/>
      <c r="Y23" s="375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0"/>
      <c r="Q24" s="1352"/>
      <c r="R24" s="705"/>
      <c r="S24" s="706"/>
      <c r="T24" s="705"/>
      <c r="U24" s="706"/>
      <c r="V24" s="705"/>
      <c r="W24" s="706"/>
      <c r="X24" s="1355"/>
      <c r="Y24" s="375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0"/>
      <c r="Q25" s="1352" t="str">
        <f t="shared" si="8"/>
        <v>自然及人文环境状况</v>
      </c>
      <c r="R25" s="705" t="s">
        <v>14</v>
      </c>
      <c r="S25" s="706">
        <f>F25</f>
        <v>100</v>
      </c>
      <c r="T25" s="705" t="s">
        <v>14</v>
      </c>
      <c r="U25" s="706">
        <f>H25</f>
        <v>100</v>
      </c>
      <c r="V25" s="705" t="s">
        <v>14</v>
      </c>
      <c r="W25" s="706">
        <f>J25</f>
        <v>100</v>
      </c>
      <c r="X25" s="1355"/>
      <c r="Y25" s="375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0"/>
      <c r="Q26" s="1352"/>
      <c r="R26" s="705"/>
      <c r="S26" s="706"/>
      <c r="T26" s="705"/>
      <c r="U26" s="706"/>
      <c r="V26" s="705"/>
      <c r="W26" s="706"/>
      <c r="X26" s="1355"/>
      <c r="Y26" s="375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0"/>
      <c r="Q27" s="1343" t="str">
        <f t="shared" si="8"/>
        <v>公共配套设施</v>
      </c>
      <c r="R27" s="701" t="s">
        <v>14</v>
      </c>
      <c r="S27" s="702">
        <f>F27</f>
        <v>100</v>
      </c>
      <c r="T27" s="701" t="s">
        <v>14</v>
      </c>
      <c r="U27" s="702">
        <f>H27</f>
        <v>100</v>
      </c>
      <c r="V27" s="701" t="s">
        <v>14</v>
      </c>
      <c r="W27" s="702">
        <f>J27</f>
        <v>100</v>
      </c>
      <c r="X27" s="703"/>
      <c r="Y27" s="375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0"/>
      <c r="Q28" s="1343"/>
      <c r="R28" s="701"/>
      <c r="S28" s="702"/>
      <c r="T28" s="701"/>
      <c r="U28" s="702"/>
      <c r="V28" s="701"/>
      <c r="W28" s="702"/>
      <c r="X28" s="703"/>
      <c r="Y28" s="375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0"/>
      <c r="Q29" s="1343" t="str">
        <f t="shared" ref="Q29" si="9">B29</f>
        <v>基础设施水平</v>
      </c>
      <c r="R29" s="701" t="s">
        <v>14</v>
      </c>
      <c r="S29" s="702">
        <f>F29</f>
        <v>100</v>
      </c>
      <c r="T29" s="701" t="s">
        <v>14</v>
      </c>
      <c r="U29" s="702">
        <f>H29</f>
        <v>100</v>
      </c>
      <c r="V29" s="701" t="s">
        <v>14</v>
      </c>
      <c r="W29" s="702">
        <f>J29</f>
        <v>100</v>
      </c>
      <c r="X29" s="703"/>
      <c r="Y29" s="375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0"/>
      <c r="Q30" s="1343"/>
      <c r="R30" s="701"/>
      <c r="S30" s="702"/>
      <c r="T30" s="701"/>
      <c r="U30" s="702"/>
      <c r="V30" s="701"/>
      <c r="W30" s="702"/>
      <c r="X30" s="703"/>
      <c r="Y30" s="375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0"/>
      <c r="Q32" s="1352" t="str">
        <f t="shared" si="8"/>
        <v>毗邻道路的类型与等级</v>
      </c>
      <c r="R32" s="705" t="s">
        <v>14</v>
      </c>
      <c r="S32" s="706">
        <f t="shared" si="10"/>
        <v>100</v>
      </c>
      <c r="T32" s="705" t="s">
        <v>14</v>
      </c>
      <c r="U32" s="706">
        <f t="shared" si="11"/>
        <v>100</v>
      </c>
      <c r="V32" s="705" t="s">
        <v>14</v>
      </c>
      <c r="W32" s="706">
        <f t="shared" si="12"/>
        <v>100</v>
      </c>
      <c r="X32" s="1355"/>
      <c r="Y32" s="375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0"/>
      <c r="Q33" s="1352"/>
      <c r="R33" s="705"/>
      <c r="S33" s="706"/>
      <c r="T33" s="705"/>
      <c r="U33" s="706"/>
      <c r="V33" s="705"/>
      <c r="W33" s="706"/>
      <c r="X33" s="1355"/>
      <c r="Y33" s="375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0"/>
      <c r="Q34" s="1352" t="str">
        <f t="shared" si="8"/>
        <v>土地级别</v>
      </c>
      <c r="R34" s="705" t="s">
        <v>14</v>
      </c>
      <c r="S34" s="706">
        <f t="shared" si="10"/>
        <v>100</v>
      </c>
      <c r="T34" s="705" t="s">
        <v>14</v>
      </c>
      <c r="U34" s="706">
        <f t="shared" si="11"/>
        <v>100</v>
      </c>
      <c r="V34" s="705" t="s">
        <v>14</v>
      </c>
      <c r="W34" s="706">
        <f t="shared" si="12"/>
        <v>100</v>
      </c>
      <c r="X34" s="1355"/>
      <c r="Y34" s="375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0"/>
      <c r="Q35" s="1352">
        <f t="shared" si="8"/>
        <v>111</v>
      </c>
      <c r="R35" s="705" t="s">
        <v>14</v>
      </c>
      <c r="S35" s="706">
        <f t="shared" si="10"/>
        <v>100</v>
      </c>
      <c r="T35" s="705" t="s">
        <v>14</v>
      </c>
      <c r="U35" s="706">
        <f t="shared" si="11"/>
        <v>100</v>
      </c>
      <c r="V35" s="705" t="s">
        <v>14</v>
      </c>
      <c r="W35" s="706">
        <f t="shared" si="12"/>
        <v>100</v>
      </c>
      <c r="X35" s="1355"/>
      <c r="Y35" s="375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52" t="s">
        <v>1696</v>
      </c>
      <c r="Q36" s="1352">
        <f t="shared" si="8"/>
        <v>111</v>
      </c>
      <c r="R36" s="705" t="s">
        <v>14</v>
      </c>
      <c r="S36" s="706">
        <f t="shared" si="10"/>
        <v>100</v>
      </c>
      <c r="T36" s="705" t="s">
        <v>14</v>
      </c>
      <c r="U36" s="706">
        <f t="shared" si="11"/>
        <v>100</v>
      </c>
      <c r="V36" s="705" t="s">
        <v>14</v>
      </c>
      <c r="W36" s="706">
        <f t="shared" si="12"/>
        <v>100</v>
      </c>
      <c r="X36" s="1355"/>
      <c r="Y36" s="375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4"/>
      <c r="Q37" s="1352">
        <f t="shared" si="8"/>
        <v>111</v>
      </c>
      <c r="R37" s="708" t="s">
        <v>14</v>
      </c>
      <c r="S37" s="709">
        <f t="shared" si="10"/>
        <v>100</v>
      </c>
      <c r="T37" s="708" t="s">
        <v>14</v>
      </c>
      <c r="U37" s="709">
        <f t="shared" si="11"/>
        <v>100</v>
      </c>
      <c r="V37" s="708" t="s">
        <v>14</v>
      </c>
      <c r="W37" s="709">
        <f t="shared" si="12"/>
        <v>100</v>
      </c>
      <c r="X37" s="710"/>
      <c r="Y37" s="375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4"/>
      <c r="Q38" s="1352" t="str">
        <f>B38</f>
        <v>宗地面积</v>
      </c>
      <c r="R38" s="705" t="s">
        <v>14</v>
      </c>
      <c r="S38" s="706" t="e">
        <f t="shared" si="10"/>
        <v>#N/A</v>
      </c>
      <c r="T38" s="705" t="s">
        <v>14</v>
      </c>
      <c r="U38" s="706" t="e">
        <f t="shared" si="11"/>
        <v>#N/A</v>
      </c>
      <c r="V38" s="705" t="s">
        <v>14</v>
      </c>
      <c r="W38" s="706" t="e">
        <f t="shared" si="12"/>
        <v>#N/A</v>
      </c>
      <c r="X38" s="1355"/>
      <c r="Y38" s="375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4"/>
      <c r="Q39" s="1352" t="str">
        <f t="shared" ref="Q39:Q45" si="14">B39</f>
        <v>宗地形状</v>
      </c>
      <c r="R39" s="705" t="s">
        <v>14</v>
      </c>
      <c r="S39" s="706">
        <f t="shared" si="10"/>
        <v>100</v>
      </c>
      <c r="T39" s="705" t="s">
        <v>14</v>
      </c>
      <c r="U39" s="706">
        <f t="shared" si="11"/>
        <v>100</v>
      </c>
      <c r="V39" s="705" t="s">
        <v>14</v>
      </c>
      <c r="W39" s="706">
        <f t="shared" si="12"/>
        <v>100</v>
      </c>
      <c r="X39" s="1355"/>
      <c r="Y39" s="375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4"/>
      <c r="Q40" s="1352" t="str">
        <f t="shared" si="14"/>
        <v>临街宽度及深度</v>
      </c>
      <c r="R40" s="705" t="s">
        <v>14</v>
      </c>
      <c r="S40" s="706">
        <f t="shared" si="10"/>
        <v>100</v>
      </c>
      <c r="T40" s="705" t="s">
        <v>14</v>
      </c>
      <c r="U40" s="706">
        <f t="shared" si="11"/>
        <v>100</v>
      </c>
      <c r="V40" s="705" t="s">
        <v>14</v>
      </c>
      <c r="W40" s="706">
        <f t="shared" si="12"/>
        <v>100</v>
      </c>
      <c r="X40" s="1355"/>
      <c r="Y40" s="375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4"/>
      <c r="Q41" s="1352" t="str">
        <f t="shared" si="14"/>
        <v>宗地开发程度</v>
      </c>
      <c r="R41" s="701" t="s">
        <v>14</v>
      </c>
      <c r="S41" s="702">
        <f t="shared" si="10"/>
        <v>100</v>
      </c>
      <c r="T41" s="701" t="s">
        <v>14</v>
      </c>
      <c r="U41" s="702">
        <f t="shared" si="11"/>
        <v>100</v>
      </c>
      <c r="V41" s="701" t="s">
        <v>14</v>
      </c>
      <c r="W41" s="702">
        <f t="shared" si="12"/>
        <v>100</v>
      </c>
      <c r="X41" s="703"/>
      <c r="Y41" s="375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4" t="s">
        <v>1696</v>
      </c>
      <c r="Q42" s="1352" t="str">
        <f t="shared" si="14"/>
        <v>工程地质条件</v>
      </c>
      <c r="R42" s="705" t="s">
        <v>14</v>
      </c>
      <c r="S42" s="706">
        <f t="shared" si="10"/>
        <v>100</v>
      </c>
      <c r="T42" s="705" t="s">
        <v>14</v>
      </c>
      <c r="U42" s="706">
        <f t="shared" si="11"/>
        <v>100</v>
      </c>
      <c r="V42" s="705" t="s">
        <v>14</v>
      </c>
      <c r="W42" s="706">
        <f t="shared" si="12"/>
        <v>100</v>
      </c>
      <c r="X42" s="1355"/>
      <c r="Y42" s="375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4"/>
      <c r="Q43" s="1352">
        <f t="shared" si="14"/>
        <v>111</v>
      </c>
      <c r="R43" s="705" t="s">
        <v>14</v>
      </c>
      <c r="S43" s="706">
        <f t="shared" si="10"/>
        <v>100</v>
      </c>
      <c r="T43" s="705" t="s">
        <v>14</v>
      </c>
      <c r="U43" s="706">
        <f t="shared" si="11"/>
        <v>100</v>
      </c>
      <c r="V43" s="705" t="s">
        <v>14</v>
      </c>
      <c r="W43" s="706">
        <f t="shared" si="12"/>
        <v>100</v>
      </c>
      <c r="X43" s="1355"/>
      <c r="Y43" s="375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4"/>
      <c r="Q44" s="1352">
        <f t="shared" si="14"/>
        <v>111</v>
      </c>
      <c r="R44" s="705" t="s">
        <v>14</v>
      </c>
      <c r="S44" s="706">
        <f t="shared" si="10"/>
        <v>100</v>
      </c>
      <c r="T44" s="705" t="s">
        <v>14</v>
      </c>
      <c r="U44" s="706">
        <f t="shared" si="11"/>
        <v>100</v>
      </c>
      <c r="V44" s="705" t="s">
        <v>14</v>
      </c>
      <c r="W44" s="706">
        <f t="shared" si="12"/>
        <v>100</v>
      </c>
      <c r="X44" s="1355"/>
      <c r="Y44" s="375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4"/>
      <c r="Q45" s="1352">
        <f t="shared" si="14"/>
        <v>111</v>
      </c>
      <c r="R45" s="708" t="s">
        <v>14</v>
      </c>
      <c r="S45" s="709">
        <f t="shared" si="10"/>
        <v>100</v>
      </c>
      <c r="T45" s="708" t="s">
        <v>14</v>
      </c>
      <c r="U45" s="709">
        <f t="shared" si="11"/>
        <v>100</v>
      </c>
      <c r="V45" s="708" t="s">
        <v>14</v>
      </c>
      <c r="W45" s="709">
        <f t="shared" si="12"/>
        <v>100</v>
      </c>
      <c r="X45" s="710"/>
      <c r="Y45" s="375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2" t="str">
        <f>A46</f>
        <v>成交单价</v>
      </c>
      <c r="Q46" s="3742"/>
      <c r="R46" s="3776">
        <f>E46</f>
        <v>0</v>
      </c>
      <c r="S46" s="3776"/>
      <c r="T46" s="3776">
        <f>G46</f>
        <v>0</v>
      </c>
      <c r="U46" s="3776"/>
      <c r="V46" s="3776">
        <f>I46</f>
        <v>0</v>
      </c>
      <c r="W46" s="377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2" t="str">
        <f>A47</f>
        <v>比较价值（元/平方米）</v>
      </c>
      <c r="Q47" s="3742"/>
      <c r="R47" s="3854" t="e">
        <f>ROUND(PRODUCT(R46,AA7:AA45),0)</f>
        <v>#DIV/0!</v>
      </c>
      <c r="S47" s="3854"/>
      <c r="T47" s="3854" t="e">
        <f>ROUND(PRODUCT(T46,AB7:AB45),0)</f>
        <v>#DIV/0!</v>
      </c>
      <c r="U47" s="3854"/>
      <c r="V47" s="3854" t="e">
        <f>ROUND(PRODUCT(V46,AC7:AC45),0)</f>
        <v>#DIV/0!</v>
      </c>
      <c r="W47" s="38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41" t="str">
        <f>A48</f>
        <v>估价对象XX用房的比较价值（楼面单价，元/平方米）</v>
      </c>
      <c r="Q48" s="3842"/>
      <c r="R48" s="3855" t="e">
        <f>ROUND(IF(D47="简单平均",AVERAGE(R47:W47),R47*F47+T47*H47+V47*J47),0)</f>
        <v>#DIV/0!</v>
      </c>
      <c r="S48" s="3855"/>
      <c r="T48" s="3855"/>
      <c r="U48" s="3855"/>
      <c r="V48" s="3855"/>
      <c r="W48" s="38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9" t="s">
        <v>1887</v>
      </c>
      <c r="H55" s="38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37408.559999999998</v>
      </c>
      <c r="F56" s="886" t="e">
        <f t="shared" ref="F56:F64" si="15">ROUND(B56*E56/10000,0)</f>
        <v>#DIV/0!</v>
      </c>
      <c r="G56" s="3741"/>
      <c r="H56" s="374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21393.3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58801.86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9" t="s">
        <v>1770</v>
      </c>
      <c r="D4" s="3760"/>
      <c r="E4" s="3761" t="s">
        <v>1771</v>
      </c>
      <c r="F4" s="3762"/>
      <c r="G4" s="3759" t="s">
        <v>1772</v>
      </c>
      <c r="H4" s="3760"/>
      <c r="I4" s="3759" t="s">
        <v>1773</v>
      </c>
      <c r="J4" s="3760"/>
      <c r="K4" s="559" t="s">
        <v>1774</v>
      </c>
      <c r="L4" s="2715"/>
      <c r="M4" s="2716"/>
      <c r="N4" s="2716"/>
      <c r="O4" s="2716"/>
      <c r="P4" s="3845" t="s">
        <v>1775</v>
      </c>
      <c r="Q4" s="3846"/>
      <c r="R4" s="3849" t="s">
        <v>1771</v>
      </c>
      <c r="S4" s="3850"/>
      <c r="T4" s="3849" t="s">
        <v>1772</v>
      </c>
      <c r="U4" s="3850"/>
      <c r="V4" s="3776" t="s">
        <v>1773</v>
      </c>
      <c r="W4" s="3776"/>
      <c r="X4" s="1355"/>
      <c r="Y4" s="3849" t="s">
        <v>1775</v>
      </c>
      <c r="Z4" s="3850"/>
      <c r="AA4" s="3844" t="s">
        <v>1771</v>
      </c>
      <c r="AB4" s="3789" t="s">
        <v>1772</v>
      </c>
      <c r="AC4" s="3844" t="s">
        <v>1773</v>
      </c>
    </row>
    <row r="5" spans="1:29" ht="15">
      <c r="A5" s="358"/>
      <c r="B5" s="359"/>
      <c r="C5" s="3785" t="s">
        <v>1673</v>
      </c>
      <c r="D5" s="3780"/>
      <c r="E5" s="3851" t="s">
        <v>1674</v>
      </c>
      <c r="F5" s="3792"/>
      <c r="G5" s="3785" t="s">
        <v>1675</v>
      </c>
      <c r="H5" s="3780"/>
      <c r="I5" s="3785" t="s">
        <v>1676</v>
      </c>
      <c r="J5" s="3780"/>
      <c r="K5" s="559"/>
      <c r="L5" s="2715"/>
      <c r="M5" s="2716"/>
      <c r="N5" s="2716"/>
      <c r="O5" s="2716"/>
      <c r="P5" s="3847"/>
      <c r="Q5" s="3766"/>
      <c r="R5" s="3771"/>
      <c r="S5" s="3772"/>
      <c r="T5" s="3771"/>
      <c r="U5" s="3772"/>
      <c r="V5" s="3776"/>
      <c r="W5" s="3776"/>
      <c r="X5" s="1355"/>
      <c r="Y5" s="3771"/>
      <c r="Z5" s="3772"/>
      <c r="AA5" s="3789"/>
      <c r="AB5" s="3789"/>
      <c r="AC5" s="3789"/>
    </row>
    <row r="6" spans="1:29" ht="15.75" thickBot="1">
      <c r="A6" s="360"/>
      <c r="B6" s="361"/>
      <c r="C6" s="3857" t="s">
        <v>1919</v>
      </c>
      <c r="D6" s="3858"/>
      <c r="E6" s="3859" t="s">
        <v>1919</v>
      </c>
      <c r="F6" s="3860"/>
      <c r="G6" s="3857" t="s">
        <v>1919</v>
      </c>
      <c r="H6" s="3858"/>
      <c r="I6" s="3857" t="s">
        <v>1919</v>
      </c>
      <c r="J6" s="3858"/>
      <c r="K6" s="559" t="s">
        <v>1678</v>
      </c>
      <c r="L6" s="2715"/>
      <c r="M6" s="2716"/>
      <c r="N6" s="2716"/>
      <c r="O6" s="2716"/>
      <c r="P6" s="3848"/>
      <c r="Q6" s="3768"/>
      <c r="R6" s="3771"/>
      <c r="S6" s="3772"/>
      <c r="T6" s="3773"/>
      <c r="U6" s="3774"/>
      <c r="V6" s="3776"/>
      <c r="W6" s="3776"/>
      <c r="X6" s="1355"/>
      <c r="Y6" s="3773"/>
      <c r="Z6" s="3774"/>
      <c r="AA6" s="3790"/>
      <c r="AB6" s="3790"/>
      <c r="AC6" s="3790"/>
    </row>
    <row r="7" spans="1:29" s="108" customFormat="1" ht="15.75" thickBot="1">
      <c r="A7" s="362" t="s">
        <v>1679</v>
      </c>
      <c r="B7" s="363"/>
      <c r="C7" s="364">
        <f>'数据-取费表'!B2</f>
        <v>44991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3" t="s">
        <v>1680</v>
      </c>
      <c r="Q7" s="3784"/>
      <c r="R7" s="701" t="s">
        <v>14</v>
      </c>
      <c r="S7" s="702">
        <f t="shared" ref="S7:S15" si="0">F7</f>
        <v>0</v>
      </c>
      <c r="T7" s="701" t="s">
        <v>14</v>
      </c>
      <c r="U7" s="702">
        <f t="shared" ref="U7:U15" si="1">H7</f>
        <v>0</v>
      </c>
      <c r="V7" s="701" t="s">
        <v>14</v>
      </c>
      <c r="W7" s="702">
        <f t="shared" ref="W7:W15" si="2">J7</f>
        <v>0</v>
      </c>
      <c r="X7" s="703"/>
      <c r="Y7" s="3783" t="s">
        <v>1680</v>
      </c>
      <c r="Z7" s="37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3" t="s">
        <v>1683</v>
      </c>
      <c r="Q8" s="3782"/>
      <c r="R8" s="701" t="s">
        <v>14</v>
      </c>
      <c r="S8" s="702">
        <f t="shared" si="0"/>
        <v>0</v>
      </c>
      <c r="T8" s="701" t="s">
        <v>14</v>
      </c>
      <c r="U8" s="702">
        <f t="shared" si="1"/>
        <v>0</v>
      </c>
      <c r="V8" s="701" t="s">
        <v>14</v>
      </c>
      <c r="W8" s="702">
        <f t="shared" si="2"/>
        <v>0</v>
      </c>
      <c r="X8" s="703"/>
      <c r="Y8" s="3783" t="s">
        <v>1683</v>
      </c>
      <c r="Z8" s="37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2"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42"/>
      <c r="Q10" s="1343" t="str">
        <f t="shared" si="6"/>
        <v>土地使用年限（年）</v>
      </c>
      <c r="R10" s="701" t="s">
        <v>14</v>
      </c>
      <c r="S10" s="702">
        <f t="shared" si="0"/>
        <v>118</v>
      </c>
      <c r="T10" s="701" t="s">
        <v>14</v>
      </c>
      <c r="U10" s="702">
        <f t="shared" si="1"/>
        <v>118</v>
      </c>
      <c r="V10" s="701" t="s">
        <v>14</v>
      </c>
      <c r="W10" s="702">
        <f t="shared" si="2"/>
        <v>118</v>
      </c>
      <c r="X10" s="703"/>
      <c r="Y10" s="3648"/>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2"/>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2"/>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2"/>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2"/>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9" t="s">
        <v>1691</v>
      </c>
      <c r="Q15" s="1352" t="str">
        <f t="shared" si="6"/>
        <v>产业集聚程度</v>
      </c>
      <c r="R15" s="705" t="s">
        <v>14</v>
      </c>
      <c r="S15" s="706">
        <f t="shared" si="0"/>
        <v>100</v>
      </c>
      <c r="T15" s="705" t="s">
        <v>14</v>
      </c>
      <c r="U15" s="706">
        <f t="shared" si="1"/>
        <v>100</v>
      </c>
      <c r="V15" s="705" t="s">
        <v>14</v>
      </c>
      <c r="W15" s="706">
        <f t="shared" si="2"/>
        <v>100</v>
      </c>
      <c r="X15" s="1355"/>
      <c r="Y15" s="374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0"/>
      <c r="Q16" s="1352"/>
      <c r="R16" s="705"/>
      <c r="S16" s="706"/>
      <c r="T16" s="705"/>
      <c r="U16" s="706"/>
      <c r="V16" s="705"/>
      <c r="W16" s="706"/>
      <c r="X16" s="1355"/>
      <c r="Y16" s="375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0"/>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0"/>
      <c r="Q18" s="1352"/>
      <c r="R18" s="705"/>
      <c r="S18" s="706"/>
      <c r="T18" s="705"/>
      <c r="U18" s="706"/>
      <c r="V18" s="705"/>
      <c r="W18" s="706"/>
      <c r="X18" s="1355"/>
      <c r="Y18" s="375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0"/>
      <c r="Q19" s="1352" t="str">
        <f t="shared" ref="Q19:Q33" si="8">B19</f>
        <v>区域土地利用方向</v>
      </c>
      <c r="R19" s="705" t="s">
        <v>14</v>
      </c>
      <c r="S19" s="706">
        <f>F19</f>
        <v>100</v>
      </c>
      <c r="T19" s="705" t="s">
        <v>14</v>
      </c>
      <c r="U19" s="706">
        <f>H19</f>
        <v>100</v>
      </c>
      <c r="V19" s="705" t="s">
        <v>14</v>
      </c>
      <c r="W19" s="706">
        <f>J19</f>
        <v>100</v>
      </c>
      <c r="X19" s="1355"/>
      <c r="Y19" s="375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0"/>
      <c r="Q20" s="1352"/>
      <c r="R20" s="705"/>
      <c r="S20" s="706"/>
      <c r="T20" s="705"/>
      <c r="U20" s="706"/>
      <c r="V20" s="705"/>
      <c r="W20" s="706"/>
      <c r="X20" s="1355"/>
      <c r="Y20" s="375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0"/>
      <c r="Q21" s="1352" t="str">
        <f t="shared" si="8"/>
        <v>环境状况</v>
      </c>
      <c r="R21" s="705" t="s">
        <v>14</v>
      </c>
      <c r="S21" s="706">
        <f>F21</f>
        <v>100</v>
      </c>
      <c r="T21" s="705" t="s">
        <v>14</v>
      </c>
      <c r="U21" s="706">
        <f>H21</f>
        <v>100</v>
      </c>
      <c r="V21" s="705" t="s">
        <v>14</v>
      </c>
      <c r="W21" s="706">
        <f>J21</f>
        <v>100</v>
      </c>
      <c r="X21" s="1355"/>
      <c r="Y21" s="375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0"/>
      <c r="Q22" s="1352"/>
      <c r="R22" s="705"/>
      <c r="S22" s="706"/>
      <c r="T22" s="705"/>
      <c r="U22" s="706"/>
      <c r="V22" s="705"/>
      <c r="W22" s="706"/>
      <c r="X22" s="1355"/>
      <c r="Y22" s="375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0"/>
      <c r="Q23" s="1343" t="str">
        <f t="shared" si="8"/>
        <v>公共配套设施</v>
      </c>
      <c r="R23" s="701" t="s">
        <v>14</v>
      </c>
      <c r="S23" s="702">
        <f>F23</f>
        <v>100</v>
      </c>
      <c r="T23" s="701" t="s">
        <v>14</v>
      </c>
      <c r="U23" s="702">
        <f>H23</f>
        <v>100</v>
      </c>
      <c r="V23" s="701" t="s">
        <v>14</v>
      </c>
      <c r="W23" s="702">
        <f>J23</f>
        <v>100</v>
      </c>
      <c r="X23" s="703"/>
      <c r="Y23" s="375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0"/>
      <c r="Q24" s="1343"/>
      <c r="R24" s="701"/>
      <c r="S24" s="702"/>
      <c r="T24" s="701"/>
      <c r="U24" s="702"/>
      <c r="V24" s="701"/>
      <c r="W24" s="702"/>
      <c r="X24" s="703"/>
      <c r="Y24" s="375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0"/>
      <c r="Q25" s="1343" t="str">
        <f t="shared" ref="Q25" si="9">B25</f>
        <v>基础设施水平</v>
      </c>
      <c r="R25" s="701" t="s">
        <v>14</v>
      </c>
      <c r="S25" s="702">
        <f>F25</f>
        <v>100</v>
      </c>
      <c r="T25" s="701" t="s">
        <v>14</v>
      </c>
      <c r="U25" s="702">
        <f>H25</f>
        <v>100</v>
      </c>
      <c r="V25" s="701" t="s">
        <v>14</v>
      </c>
      <c r="W25" s="702">
        <f>J25</f>
        <v>100</v>
      </c>
      <c r="X25" s="703"/>
      <c r="Y25" s="375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0"/>
      <c r="Q26" s="1343"/>
      <c r="R26" s="701"/>
      <c r="S26" s="702"/>
      <c r="T26" s="701"/>
      <c r="U26" s="702"/>
      <c r="V26" s="701"/>
      <c r="W26" s="702"/>
      <c r="X26" s="703"/>
      <c r="Y26" s="375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0"/>
      <c r="Q28" s="1352" t="str">
        <f t="shared" si="8"/>
        <v>毗邻道路的类型与等级</v>
      </c>
      <c r="R28" s="705" t="s">
        <v>14</v>
      </c>
      <c r="S28" s="706">
        <f t="shared" si="10"/>
        <v>100</v>
      </c>
      <c r="T28" s="705" t="s">
        <v>14</v>
      </c>
      <c r="U28" s="706">
        <f t="shared" si="11"/>
        <v>100</v>
      </c>
      <c r="V28" s="705" t="s">
        <v>14</v>
      </c>
      <c r="W28" s="706">
        <f t="shared" si="12"/>
        <v>100</v>
      </c>
      <c r="X28" s="1355"/>
      <c r="Y28" s="375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0"/>
      <c r="Q29" s="1352"/>
      <c r="R29" s="705"/>
      <c r="S29" s="706"/>
      <c r="T29" s="705"/>
      <c r="U29" s="706"/>
      <c r="V29" s="705"/>
      <c r="W29" s="706"/>
      <c r="X29" s="1355"/>
      <c r="Y29" s="375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0"/>
      <c r="Q30" s="1352" t="str">
        <f t="shared" si="8"/>
        <v>土地级别</v>
      </c>
      <c r="R30" s="705" t="s">
        <v>14</v>
      </c>
      <c r="S30" s="706">
        <f t="shared" si="10"/>
        <v>100</v>
      </c>
      <c r="T30" s="705" t="s">
        <v>14</v>
      </c>
      <c r="U30" s="706">
        <f t="shared" si="11"/>
        <v>100</v>
      </c>
      <c r="V30" s="705" t="s">
        <v>14</v>
      </c>
      <c r="W30" s="706">
        <f t="shared" si="12"/>
        <v>100</v>
      </c>
      <c r="X30" s="1355"/>
      <c r="Y30" s="375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0"/>
      <c r="Q31" s="1352">
        <f t="shared" si="8"/>
        <v>111</v>
      </c>
      <c r="R31" s="705" t="s">
        <v>14</v>
      </c>
      <c r="S31" s="706">
        <f t="shared" si="10"/>
        <v>100</v>
      </c>
      <c r="T31" s="705" t="s">
        <v>14</v>
      </c>
      <c r="U31" s="706">
        <f t="shared" si="11"/>
        <v>100</v>
      </c>
      <c r="V31" s="705" t="s">
        <v>14</v>
      </c>
      <c r="W31" s="706">
        <f t="shared" si="12"/>
        <v>100</v>
      </c>
      <c r="X31" s="1355"/>
      <c r="Y31" s="375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52" t="s">
        <v>1696</v>
      </c>
      <c r="Q32" s="1352">
        <f t="shared" si="8"/>
        <v>111</v>
      </c>
      <c r="R32" s="705" t="s">
        <v>14</v>
      </c>
      <c r="S32" s="706">
        <f t="shared" si="10"/>
        <v>100</v>
      </c>
      <c r="T32" s="705" t="s">
        <v>14</v>
      </c>
      <c r="U32" s="706">
        <f t="shared" si="11"/>
        <v>100</v>
      </c>
      <c r="V32" s="705" t="s">
        <v>14</v>
      </c>
      <c r="W32" s="706">
        <f t="shared" si="12"/>
        <v>100</v>
      </c>
      <c r="X32" s="1355"/>
      <c r="Y32" s="375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4"/>
      <c r="Q33" s="1352">
        <f t="shared" si="8"/>
        <v>111</v>
      </c>
      <c r="R33" s="708" t="s">
        <v>14</v>
      </c>
      <c r="S33" s="709">
        <f t="shared" si="10"/>
        <v>100</v>
      </c>
      <c r="T33" s="708" t="s">
        <v>14</v>
      </c>
      <c r="U33" s="709">
        <f t="shared" si="11"/>
        <v>100</v>
      </c>
      <c r="V33" s="708" t="s">
        <v>14</v>
      </c>
      <c r="W33" s="709">
        <f t="shared" si="12"/>
        <v>100</v>
      </c>
      <c r="X33" s="710"/>
      <c r="Y33" s="375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4"/>
      <c r="Q34" s="1352" t="str">
        <f>B34</f>
        <v>宗地面积</v>
      </c>
      <c r="R34" s="705" t="s">
        <v>14</v>
      </c>
      <c r="S34" s="706" t="e">
        <f t="shared" si="10"/>
        <v>#N/A</v>
      </c>
      <c r="T34" s="705" t="s">
        <v>14</v>
      </c>
      <c r="U34" s="706" t="e">
        <f t="shared" si="11"/>
        <v>#N/A</v>
      </c>
      <c r="V34" s="705" t="s">
        <v>14</v>
      </c>
      <c r="W34" s="706" t="e">
        <f t="shared" si="12"/>
        <v>#N/A</v>
      </c>
      <c r="X34" s="1355"/>
      <c r="Y34" s="375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4"/>
      <c r="Q35" s="1352" t="str">
        <f t="shared" ref="Q35:Q40" si="14">B35</f>
        <v>宗地形状</v>
      </c>
      <c r="R35" s="705" t="s">
        <v>14</v>
      </c>
      <c r="S35" s="706">
        <f t="shared" si="10"/>
        <v>100</v>
      </c>
      <c r="T35" s="705" t="s">
        <v>14</v>
      </c>
      <c r="U35" s="706">
        <f t="shared" si="11"/>
        <v>100</v>
      </c>
      <c r="V35" s="705" t="s">
        <v>14</v>
      </c>
      <c r="W35" s="706">
        <f t="shared" si="12"/>
        <v>100</v>
      </c>
      <c r="X35" s="1355"/>
      <c r="Y35" s="375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4"/>
      <c r="Q36" s="1352" t="str">
        <f t="shared" si="14"/>
        <v>宗地开发程度</v>
      </c>
      <c r="R36" s="701" t="s">
        <v>14</v>
      </c>
      <c r="S36" s="702">
        <f t="shared" si="10"/>
        <v>100</v>
      </c>
      <c r="T36" s="701" t="s">
        <v>14</v>
      </c>
      <c r="U36" s="702">
        <f t="shared" si="11"/>
        <v>100</v>
      </c>
      <c r="V36" s="701" t="s">
        <v>14</v>
      </c>
      <c r="W36" s="702">
        <f t="shared" si="12"/>
        <v>100</v>
      </c>
      <c r="X36" s="703"/>
      <c r="Y36" s="375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4" t="s">
        <v>1696</v>
      </c>
      <c r="Q37" s="1352" t="str">
        <f t="shared" si="14"/>
        <v>工程地质条件</v>
      </c>
      <c r="R37" s="705" t="s">
        <v>14</v>
      </c>
      <c r="S37" s="706">
        <f t="shared" si="10"/>
        <v>100</v>
      </c>
      <c r="T37" s="705" t="s">
        <v>14</v>
      </c>
      <c r="U37" s="706">
        <f t="shared" si="11"/>
        <v>100</v>
      </c>
      <c r="V37" s="705" t="s">
        <v>14</v>
      </c>
      <c r="W37" s="706">
        <f t="shared" si="12"/>
        <v>100</v>
      </c>
      <c r="X37" s="1355"/>
      <c r="Y37" s="375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4"/>
      <c r="Q38" s="1352">
        <f t="shared" si="14"/>
        <v>111</v>
      </c>
      <c r="R38" s="705" t="s">
        <v>14</v>
      </c>
      <c r="S38" s="706">
        <f t="shared" si="10"/>
        <v>100</v>
      </c>
      <c r="T38" s="705" t="s">
        <v>14</v>
      </c>
      <c r="U38" s="706">
        <f t="shared" si="11"/>
        <v>100</v>
      </c>
      <c r="V38" s="705" t="s">
        <v>14</v>
      </c>
      <c r="W38" s="706">
        <f t="shared" si="12"/>
        <v>100</v>
      </c>
      <c r="X38" s="1355"/>
      <c r="Y38" s="375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4"/>
      <c r="Q39" s="1352">
        <f t="shared" si="14"/>
        <v>111</v>
      </c>
      <c r="R39" s="705" t="s">
        <v>14</v>
      </c>
      <c r="S39" s="706">
        <f t="shared" si="10"/>
        <v>100</v>
      </c>
      <c r="T39" s="705" t="s">
        <v>14</v>
      </c>
      <c r="U39" s="706">
        <f t="shared" si="11"/>
        <v>100</v>
      </c>
      <c r="V39" s="705" t="s">
        <v>14</v>
      </c>
      <c r="W39" s="706">
        <f t="shared" si="12"/>
        <v>100</v>
      </c>
      <c r="X39" s="1355"/>
      <c r="Y39" s="375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4"/>
      <c r="Q40" s="1352">
        <f t="shared" si="14"/>
        <v>111</v>
      </c>
      <c r="R40" s="708" t="s">
        <v>14</v>
      </c>
      <c r="S40" s="709">
        <f t="shared" si="10"/>
        <v>100</v>
      </c>
      <c r="T40" s="708" t="s">
        <v>14</v>
      </c>
      <c r="U40" s="709">
        <f t="shared" si="11"/>
        <v>100</v>
      </c>
      <c r="V40" s="708" t="s">
        <v>14</v>
      </c>
      <c r="W40" s="709">
        <f t="shared" si="12"/>
        <v>100</v>
      </c>
      <c r="X40" s="710"/>
      <c r="Y40" s="375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2" t="str">
        <f>A41</f>
        <v>成交单价</v>
      </c>
      <c r="Q41" s="3742"/>
      <c r="R41" s="3776">
        <f>E41</f>
        <v>0</v>
      </c>
      <c r="S41" s="3776"/>
      <c r="T41" s="3776">
        <f>G41</f>
        <v>0</v>
      </c>
      <c r="U41" s="3776"/>
      <c r="V41" s="3776">
        <f>I41</f>
        <v>0</v>
      </c>
      <c r="W41" s="377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2" t="str">
        <f>A42</f>
        <v>比较价值（元/平方米）</v>
      </c>
      <c r="Q42" s="3742"/>
      <c r="R42" s="3854" t="e">
        <f>ROUND(PRODUCT(R41,AA7:AA40),0)</f>
        <v>#DIV/0!</v>
      </c>
      <c r="S42" s="3854"/>
      <c r="T42" s="3854" t="e">
        <f>ROUND(PRODUCT(T41,AB7:AB40),0)</f>
        <v>#DIV/0!</v>
      </c>
      <c r="U42" s="3854"/>
      <c r="V42" s="3854" t="e">
        <f>ROUND(PRODUCT(V41,AC7:AC40),0)</f>
        <v>#DIV/0!</v>
      </c>
      <c r="W42" s="38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41" t="str">
        <f>A43</f>
        <v>估价对象XX用房的比较价值（楼面单价，元/平方米）</v>
      </c>
      <c r="Q43" s="3842"/>
      <c r="R43" s="3855" t="e">
        <f>ROUND(IF(D42="简单平均",AVERAGE(R42:W42),R42*F42+T42*H42+V42*J42),0)</f>
        <v>#DIV/0!</v>
      </c>
      <c r="S43" s="3855"/>
      <c r="T43" s="3855"/>
      <c r="U43" s="3855"/>
      <c r="V43" s="3855"/>
      <c r="W43" s="38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9" t="s">
        <v>1887</v>
      </c>
      <c r="H50" s="38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37408.559999999998</v>
      </c>
      <c r="F51" s="639" t="e">
        <f t="shared" ref="F51:F60" si="15">ROUND(B51*E51/10000,0)</f>
        <v>#DIV/0!</v>
      </c>
      <c r="G51" s="3741"/>
      <c r="H51" s="374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21393.3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11305.41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64" t="s">
        <v>2084</v>
      </c>
      <c r="D1" s="3865"/>
      <c r="E1" s="3865"/>
      <c r="F1" s="3865"/>
      <c r="G1" s="3865"/>
      <c r="H1" s="3865"/>
      <c r="I1" s="3865"/>
      <c r="J1" s="3865"/>
      <c r="K1" s="3865"/>
      <c r="L1" s="3865"/>
      <c r="M1" s="3865"/>
      <c r="N1" s="3865"/>
      <c r="O1" s="3865"/>
      <c r="P1" s="3865"/>
      <c r="Q1" s="3865"/>
      <c r="R1" s="3865"/>
      <c r="S1" s="38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61" t="s">
        <v>27</v>
      </c>
      <c r="D22" s="3862"/>
      <c r="E22" s="3862"/>
      <c r="F22" s="3862"/>
      <c r="G22" s="3862"/>
      <c r="H22" s="3862"/>
      <c r="I22" s="3862"/>
      <c r="J22" s="3862"/>
      <c r="K22" s="3862"/>
      <c r="L22" s="3862"/>
      <c r="M22" s="3862"/>
      <c r="N22" s="3862"/>
      <c r="O22" s="3862"/>
      <c r="P22" s="3862"/>
      <c r="Q22" s="38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917</v>
      </c>
      <c r="C4" s="3560"/>
      <c r="D4" s="3560"/>
      <c r="E4" s="1493"/>
    </row>
    <row r="5" spans="1:5" ht="16.5" thickTop="1">
      <c r="A5" s="1491"/>
      <c r="B5" s="3558" t="s">
        <v>909</v>
      </c>
      <c r="C5" s="1494" t="s">
        <v>910</v>
      </c>
      <c r="D5" s="850">
        <f ca="1">结果表!H101</f>
        <v>240865</v>
      </c>
      <c r="E5" s="1491"/>
    </row>
    <row r="6" spans="1:5" ht="15.75">
      <c r="A6" s="1491"/>
      <c r="B6" s="3558"/>
      <c r="C6" s="1494" t="s">
        <v>911</v>
      </c>
      <c r="D6" s="850" t="str">
        <f ca="1">NUMBERSTRING(INT(D5*10000),2)&amp;"元整"</f>
        <v>贰拾肆亿零捌佰陆拾伍万元整</v>
      </c>
      <c r="E6" s="1491"/>
    </row>
    <row r="7" spans="1:5" ht="15.75">
      <c r="A7" s="1491"/>
      <c r="B7" s="3563"/>
      <c r="C7" s="1495" t="s">
        <v>912</v>
      </c>
      <c r="D7" s="851">
        <f ca="1">结果表!H102</f>
        <v>35007</v>
      </c>
      <c r="E7" s="1491"/>
    </row>
    <row r="8" spans="1:5" ht="15.75">
      <c r="A8" s="1491"/>
      <c r="B8" s="3564" t="str">
        <f>结果表!E103</f>
        <v>2.估价师知悉的法定优先受偿款</v>
      </c>
      <c r="C8" s="1496" t="s">
        <v>913</v>
      </c>
      <c r="D8" s="851">
        <f>结果表!H103</f>
        <v>0</v>
      </c>
      <c r="E8" s="1491"/>
    </row>
    <row r="9" spans="1:5" ht="15.75">
      <c r="A9" s="1491"/>
      <c r="B9" s="35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7" t="str">
        <f>结果表!E107</f>
        <v>3.房地产抵押价值</v>
      </c>
      <c r="C13" s="1499" t="s">
        <v>910</v>
      </c>
      <c r="D13" s="853">
        <f ca="1">结果表!H107</f>
        <v>240865</v>
      </c>
      <c r="E13" s="1491"/>
    </row>
    <row r="14" spans="1:5" ht="15.75">
      <c r="A14" s="1491"/>
      <c r="B14" s="3558"/>
      <c r="C14" s="1494" t="s">
        <v>911</v>
      </c>
      <c r="D14" s="850" t="str">
        <f ca="1">NUMBERSTRING(INT(D13*10000),2)&amp;"元整"</f>
        <v>贰拾肆亿零捌佰陆拾伍万元整</v>
      </c>
      <c r="E14" s="1491"/>
    </row>
    <row r="15" spans="1:5" ht="15">
      <c r="A15" s="1491"/>
      <c r="B15" s="3563"/>
      <c r="C15" s="1495" t="s">
        <v>921</v>
      </c>
      <c r="D15" s="859">
        <f ca="1">结果表!H108</f>
        <v>35007</v>
      </c>
      <c r="E15" s="1491"/>
    </row>
    <row r="16" spans="1:5" ht="15">
      <c r="A16" s="1491"/>
      <c r="B16" s="3564" t="str">
        <f>结果表!E109</f>
        <v>——</v>
      </c>
      <c r="C16" s="1499" t="s">
        <v>922</v>
      </c>
      <c r="D16" s="1500" t="str">
        <f>结果表!H109</f>
        <v>——</v>
      </c>
      <c r="E16" s="1491"/>
    </row>
    <row r="17" spans="1:5" ht="15.75">
      <c r="A17" s="1491"/>
      <c r="B17" s="3565"/>
      <c r="C17" s="1494" t="s">
        <v>923</v>
      </c>
      <c r="D17" s="850" t="e">
        <f>NUMBERSTRING(INT(D16*10000),2)&amp;"元整"</f>
        <v>#VALUE!</v>
      </c>
      <c r="E17" s="1491"/>
    </row>
    <row r="18" spans="1:5" ht="15">
      <c r="A18" s="1491"/>
      <c r="B18" s="3566"/>
      <c r="C18" s="1495" t="s">
        <v>912</v>
      </c>
      <c r="D18" s="859" t="str">
        <f>结果表!H110</f>
        <v>——</v>
      </c>
      <c r="E18" s="1491"/>
    </row>
    <row r="19" spans="1:5" ht="15.75">
      <c r="A19" s="1491"/>
      <c r="B19" s="3557" t="str">
        <f>结果表!E111</f>
        <v>——</v>
      </c>
      <c r="C19" s="1499" t="s">
        <v>910</v>
      </c>
      <c r="D19" s="851" t="str">
        <f>结果表!H111</f>
        <v>——</v>
      </c>
      <c r="E19" s="1491"/>
    </row>
    <row r="20" spans="1:5" ht="15.75">
      <c r="A20" s="1491"/>
      <c r="B20" s="3558"/>
      <c r="C20" s="1494" t="s">
        <v>923</v>
      </c>
      <c r="D20" s="850" t="e">
        <f>NUMBERSTRING(INT(D19*10000),2)&amp;"元整"</f>
        <v>#VALUE!</v>
      </c>
      <c r="E20" s="1491"/>
    </row>
    <row r="21" spans="1:5" ht="15.75" thickBot="1">
      <c r="A21" s="1491"/>
      <c r="B21" s="35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110606</v>
      </c>
      <c r="C2" s="2145" t="s">
        <v>2074</v>
      </c>
      <c r="D2" s="2145" t="s">
        <v>2075</v>
      </c>
      <c r="E2" s="2612">
        <f ca="1">SUMIF(E6:E13,"&lt;&gt;#ref!",E6:E13)</f>
        <v>41412.319999999992</v>
      </c>
      <c r="F2" s="2793"/>
      <c r="G2" s="2793"/>
      <c r="H2" s="2793"/>
      <c r="I2" s="2793"/>
      <c r="J2" s="2793"/>
      <c r="K2" s="2793"/>
      <c r="L2" s="2793"/>
      <c r="M2" s="2793"/>
      <c r="N2" s="2793"/>
      <c r="O2" s="2793"/>
      <c r="P2" s="2793"/>
    </row>
    <row r="3" spans="1:16" ht="15.75">
      <c r="A3" s="2145" t="s">
        <v>2076</v>
      </c>
      <c r="B3" s="2602">
        <f ca="1">ROUND(B2*10000/E2,0)</f>
        <v>26708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110606</v>
      </c>
      <c r="C6" s="2145" t="s">
        <v>2074</v>
      </c>
      <c r="D6" s="2793"/>
      <c r="E6" s="2612">
        <f ca="1">SUMIF(INDIRECT("'"&amp;A6&amp;"'"&amp;"!C:C"),"建筑面积",INDIRECT("'"&amp;A6&amp;"'"&amp;"!D:D"))</f>
        <v>41412.319999999992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76" t="s">
        <v>2610</v>
      </c>
      <c r="B20" s="3871" t="s">
        <v>2631</v>
      </c>
      <c r="C20" s="3103" t="s">
        <v>2442</v>
      </c>
      <c r="D20" s="3104"/>
      <c r="E20" s="3105">
        <v>1</v>
      </c>
      <c r="F20" s="3106" t="s">
        <v>2443</v>
      </c>
      <c r="G20" s="3106"/>
    </row>
    <row r="21" spans="1:13" ht="19.5" customHeight="1">
      <c r="A21" s="3877"/>
      <c r="B21" s="3870"/>
      <c r="C21" s="3107" t="s">
        <v>2444</v>
      </c>
      <c r="D21" s="3108"/>
      <c r="E21" s="3109">
        <v>1</v>
      </c>
      <c r="F21" s="3106" t="s">
        <v>2445</v>
      </c>
      <c r="G21" s="3106"/>
    </row>
    <row r="22" spans="1:13" ht="19.5" customHeight="1">
      <c r="A22" s="3877"/>
      <c r="B22" s="3870"/>
      <c r="C22" s="3107" t="s">
        <v>2446</v>
      </c>
      <c r="D22" s="3108"/>
      <c r="E22" s="3109">
        <v>0.9</v>
      </c>
      <c r="F22" s="3106" t="s">
        <v>2447</v>
      </c>
      <c r="G22" s="3106"/>
    </row>
    <row r="23" spans="1:13" ht="19.5" customHeight="1">
      <c r="A23" s="3877"/>
      <c r="B23" s="3870"/>
      <c r="C23" s="3107" t="s">
        <v>2448</v>
      </c>
      <c r="D23" s="3108"/>
      <c r="E23" s="3109">
        <v>0.9</v>
      </c>
      <c r="F23" s="3106" t="s">
        <v>2449</v>
      </c>
      <c r="G23" s="3106"/>
    </row>
    <row r="24" spans="1:13" ht="19.5" customHeight="1">
      <c r="A24" s="3877"/>
      <c r="B24" s="3870"/>
      <c r="C24" s="3107" t="s">
        <v>2450</v>
      </c>
      <c r="D24" s="3108"/>
      <c r="E24" s="3109">
        <v>0.8</v>
      </c>
      <c r="F24" s="3106" t="s">
        <v>2451</v>
      </c>
      <c r="G24" s="3106"/>
    </row>
    <row r="25" spans="1:13" ht="19.5" customHeight="1" thickBot="1">
      <c r="A25" s="3878"/>
      <c r="B25" s="387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73" t="s">
        <v>2634</v>
      </c>
      <c r="B27" s="3871" t="s">
        <v>2615</v>
      </c>
      <c r="C27" s="3103" t="s">
        <v>2455</v>
      </c>
      <c r="D27" s="3104"/>
      <c r="E27" s="3105">
        <v>1</v>
      </c>
      <c r="F27" s="3106" t="s">
        <v>2456</v>
      </c>
      <c r="G27" s="3106"/>
    </row>
    <row r="28" spans="1:13" ht="19.5" customHeight="1">
      <c r="A28" s="3874"/>
      <c r="B28" s="3870"/>
      <c r="C28" s="3107" t="s">
        <v>2457</v>
      </c>
      <c r="D28" s="3108"/>
      <c r="E28" s="3109">
        <v>1</v>
      </c>
      <c r="F28" s="3106" t="s">
        <v>2458</v>
      </c>
      <c r="G28" s="3106"/>
    </row>
    <row r="29" spans="1:13" ht="19.5" customHeight="1">
      <c r="A29" s="3874"/>
      <c r="B29" s="3870"/>
      <c r="C29" s="3107" t="s">
        <v>2459</v>
      </c>
      <c r="D29" s="3108"/>
      <c r="E29" s="3109">
        <v>0.8</v>
      </c>
      <c r="F29" s="3106" t="s">
        <v>2460</v>
      </c>
      <c r="G29" s="3106"/>
    </row>
    <row r="30" spans="1:13" ht="19.5" customHeight="1">
      <c r="A30" s="3874"/>
      <c r="B30" s="3870"/>
      <c r="C30" s="3107" t="s">
        <v>2461</v>
      </c>
      <c r="D30" s="3108"/>
      <c r="E30" s="3109">
        <v>0.8</v>
      </c>
      <c r="F30" s="3106" t="s">
        <v>2462</v>
      </c>
      <c r="G30" s="3106"/>
    </row>
    <row r="31" spans="1:13" ht="19.5" customHeight="1">
      <c r="A31" s="3874"/>
      <c r="B31" s="3870"/>
      <c r="C31" s="3107" t="s">
        <v>2463</v>
      </c>
      <c r="D31" s="3108"/>
      <c r="E31" s="3109">
        <v>0.8</v>
      </c>
      <c r="F31" s="3106" t="s">
        <v>2464</v>
      </c>
      <c r="G31" s="3106"/>
    </row>
    <row r="32" spans="1:13" ht="19.5" customHeight="1">
      <c r="A32" s="3874"/>
      <c r="B32" s="3870"/>
      <c r="C32" s="3107" t="s">
        <v>2465</v>
      </c>
      <c r="D32" s="3108"/>
      <c r="E32" s="3109">
        <v>0.7</v>
      </c>
      <c r="F32" s="3106" t="s">
        <v>2466</v>
      </c>
      <c r="G32" s="3106"/>
    </row>
    <row r="33" spans="1:7" ht="19.5" customHeight="1">
      <c r="A33" s="3874"/>
      <c r="B33" s="3870"/>
      <c r="C33" s="3107" t="s">
        <v>2467</v>
      </c>
      <c r="D33" s="3108"/>
      <c r="E33" s="3109">
        <v>0.8</v>
      </c>
      <c r="F33" s="3106" t="s">
        <v>2468</v>
      </c>
      <c r="G33" s="3106"/>
    </row>
    <row r="34" spans="1:7" ht="19.5" customHeight="1">
      <c r="A34" s="3874"/>
      <c r="B34" s="3870"/>
      <c r="C34" s="3107" t="s">
        <v>2469</v>
      </c>
      <c r="D34" s="3108"/>
      <c r="E34" s="3109">
        <v>0.6</v>
      </c>
      <c r="F34" s="3106" t="s">
        <v>2470</v>
      </c>
      <c r="G34" s="3106"/>
    </row>
    <row r="35" spans="1:7" ht="19.5" customHeight="1">
      <c r="A35" s="3874"/>
      <c r="B35" s="3870"/>
      <c r="C35" s="3107" t="s">
        <v>2471</v>
      </c>
      <c r="D35" s="3108"/>
      <c r="E35" s="3109">
        <v>0.2</v>
      </c>
      <c r="F35" s="3106" t="s">
        <v>2472</v>
      </c>
      <c r="G35" s="3106"/>
    </row>
    <row r="36" spans="1:7" ht="19.5" customHeight="1">
      <c r="A36" s="3874"/>
      <c r="B36" s="3870"/>
      <c r="C36" s="3107" t="s">
        <v>2473</v>
      </c>
      <c r="D36" s="3108"/>
      <c r="E36" s="3109">
        <v>0.2</v>
      </c>
      <c r="F36" s="3106" t="s">
        <v>2474</v>
      </c>
      <c r="G36" s="3106"/>
    </row>
    <row r="37" spans="1:7" ht="19.5" customHeight="1">
      <c r="A37" s="3874"/>
      <c r="B37" s="3868" t="s">
        <v>2635</v>
      </c>
      <c r="C37" s="3107" t="s">
        <v>2475</v>
      </c>
      <c r="D37" s="3108"/>
      <c r="E37" s="3109">
        <v>0.6</v>
      </c>
      <c r="F37" s="3106" t="s">
        <v>2476</v>
      </c>
      <c r="G37" s="3106"/>
    </row>
    <row r="38" spans="1:7" ht="19.5" customHeight="1">
      <c r="A38" s="3874"/>
      <c r="B38" s="3870"/>
      <c r="C38" s="3107" t="s">
        <v>2477</v>
      </c>
      <c r="D38" s="3108"/>
      <c r="E38" s="3109">
        <v>0.6</v>
      </c>
      <c r="F38" s="3106" t="s">
        <v>2478</v>
      </c>
      <c r="G38" s="3106"/>
    </row>
    <row r="39" spans="1:7" ht="19.5" customHeight="1" thickBot="1">
      <c r="A39" s="3875"/>
      <c r="B39" s="387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76" t="s">
        <v>2613</v>
      </c>
      <c r="B41" s="3871" t="s">
        <v>2637</v>
      </c>
      <c r="C41" s="3103" t="s">
        <v>2482</v>
      </c>
      <c r="D41" s="3104"/>
      <c r="E41" s="3105">
        <v>1</v>
      </c>
      <c r="F41" s="3106" t="s">
        <v>2483</v>
      </c>
      <c r="G41" s="3106"/>
    </row>
    <row r="42" spans="1:7" ht="19.5" customHeight="1">
      <c r="A42" s="3877"/>
      <c r="B42" s="3870"/>
      <c r="C42" s="3107" t="s">
        <v>2484</v>
      </c>
      <c r="D42" s="3108"/>
      <c r="E42" s="3109">
        <v>1</v>
      </c>
      <c r="F42" s="3106" t="s">
        <v>2485</v>
      </c>
      <c r="G42" s="3106"/>
    </row>
    <row r="43" spans="1:7" ht="19.5" customHeight="1">
      <c r="A43" s="3877"/>
      <c r="B43" s="3869"/>
      <c r="C43" s="3107" t="s">
        <v>2486</v>
      </c>
      <c r="D43" s="3108"/>
      <c r="E43" s="3109">
        <v>1.5</v>
      </c>
      <c r="F43" s="3106" t="s">
        <v>2487</v>
      </c>
      <c r="G43" s="3106"/>
    </row>
    <row r="44" spans="1:7" ht="19.5" customHeight="1">
      <c r="A44" s="3877"/>
      <c r="B44" s="3118" t="s">
        <v>2638</v>
      </c>
      <c r="C44" s="3107" t="s">
        <v>2639</v>
      </c>
      <c r="D44" s="3108"/>
      <c r="E44" s="3109">
        <v>2</v>
      </c>
      <c r="F44" s="3106" t="s">
        <v>2488</v>
      </c>
      <c r="G44" s="3106"/>
    </row>
    <row r="45" spans="1:7" ht="19.5" customHeight="1">
      <c r="A45" s="3877"/>
      <c r="B45" s="3868" t="s">
        <v>2640</v>
      </c>
      <c r="C45" s="3107" t="s">
        <v>2489</v>
      </c>
      <c r="D45" s="3108"/>
      <c r="E45" s="3109">
        <v>1</v>
      </c>
      <c r="F45" s="3106" t="s">
        <v>2490</v>
      </c>
      <c r="G45" s="3106"/>
    </row>
    <row r="46" spans="1:7" ht="19.5" customHeight="1">
      <c r="A46" s="3877"/>
      <c r="B46" s="3870"/>
      <c r="C46" s="3107" t="s">
        <v>2491</v>
      </c>
      <c r="D46" s="3108"/>
      <c r="E46" s="3109">
        <v>1</v>
      </c>
      <c r="F46" s="3106" t="s">
        <v>2492</v>
      </c>
      <c r="G46" s="3106"/>
    </row>
    <row r="47" spans="1:7" ht="19.5" customHeight="1">
      <c r="A47" s="3877"/>
      <c r="B47" s="3870"/>
      <c r="C47" s="3107" t="s">
        <v>2493</v>
      </c>
      <c r="D47" s="3108"/>
      <c r="E47" s="3109">
        <v>1</v>
      </c>
      <c r="F47" s="3106" t="s">
        <v>2494</v>
      </c>
      <c r="G47" s="3106"/>
    </row>
    <row r="48" spans="1:7" ht="19.5" customHeight="1">
      <c r="A48" s="3877"/>
      <c r="B48" s="3870"/>
      <c r="C48" s="3107" t="s">
        <v>2495</v>
      </c>
      <c r="D48" s="3108"/>
      <c r="E48" s="3109">
        <v>1</v>
      </c>
      <c r="F48" s="3106" t="s">
        <v>2496</v>
      </c>
      <c r="G48" s="3106"/>
    </row>
    <row r="49" spans="1:7" ht="19.5" customHeight="1">
      <c r="A49" s="3877"/>
      <c r="B49" s="3870"/>
      <c r="C49" s="3107" t="s">
        <v>2497</v>
      </c>
      <c r="D49" s="3108"/>
      <c r="E49" s="3109">
        <v>1</v>
      </c>
      <c r="F49" s="3106" t="s">
        <v>2498</v>
      </c>
      <c r="G49" s="3106"/>
    </row>
    <row r="50" spans="1:7" ht="19.5" customHeight="1">
      <c r="A50" s="3877"/>
      <c r="B50" s="3870"/>
      <c r="C50" s="3107" t="s">
        <v>2499</v>
      </c>
      <c r="D50" s="3108"/>
      <c r="E50" s="3109">
        <v>1</v>
      </c>
      <c r="F50" s="3106" t="s">
        <v>2500</v>
      </c>
      <c r="G50" s="3106"/>
    </row>
    <row r="51" spans="1:7" ht="19.5" customHeight="1" thickBot="1">
      <c r="A51" s="3878"/>
      <c r="B51" s="387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68" t="s">
        <v>2654</v>
      </c>
      <c r="C73" s="3092" t="s">
        <v>2655</v>
      </c>
      <c r="D73" s="3092" t="s">
        <v>2656</v>
      </c>
      <c r="E73" s="3118">
        <v>0.2</v>
      </c>
      <c r="F73" s="3118">
        <v>25</v>
      </c>
    </row>
    <row r="74" spans="1:7" ht="24">
      <c r="A74" s="3118">
        <v>2</v>
      </c>
      <c r="B74" s="3870"/>
      <c r="C74" s="3092" t="s">
        <v>2657</v>
      </c>
      <c r="D74" s="3092" t="s">
        <v>2658</v>
      </c>
      <c r="E74" s="3118">
        <v>0.2</v>
      </c>
      <c r="F74" s="3118">
        <v>25</v>
      </c>
    </row>
    <row r="75" spans="1:7" ht="24">
      <c r="A75" s="3118">
        <v>3</v>
      </c>
      <c r="B75" s="3870"/>
      <c r="C75" s="3092" t="s">
        <v>2659</v>
      </c>
      <c r="D75" s="3092" t="s">
        <v>2660</v>
      </c>
      <c r="E75" s="3118">
        <v>0.2</v>
      </c>
      <c r="F75" s="3118">
        <v>25</v>
      </c>
    </row>
    <row r="76" spans="1:7" ht="13.5">
      <c r="A76" s="3118">
        <v>4</v>
      </c>
      <c r="B76" s="3870"/>
      <c r="C76" s="3092" t="s">
        <v>2661</v>
      </c>
      <c r="D76" s="3092" t="s">
        <v>2662</v>
      </c>
      <c r="E76" s="3118">
        <v>0.15</v>
      </c>
      <c r="F76" s="3118">
        <v>20</v>
      </c>
    </row>
    <row r="77" spans="1:7" ht="24">
      <c r="A77" s="3118">
        <v>5</v>
      </c>
      <c r="B77" s="3870"/>
      <c r="C77" s="3092" t="s">
        <v>2663</v>
      </c>
      <c r="D77" s="3092" t="s">
        <v>2664</v>
      </c>
      <c r="E77" s="3118">
        <v>0.15</v>
      </c>
      <c r="F77" s="3118">
        <v>20</v>
      </c>
    </row>
    <row r="78" spans="1:7" ht="24">
      <c r="A78" s="3118">
        <v>6</v>
      </c>
      <c r="B78" s="3870"/>
      <c r="C78" s="3092" t="s">
        <v>2665</v>
      </c>
      <c r="D78" s="3092" t="s">
        <v>2666</v>
      </c>
      <c r="E78" s="3118">
        <v>0.15</v>
      </c>
      <c r="F78" s="3118">
        <v>20</v>
      </c>
    </row>
    <row r="79" spans="1:7" ht="24">
      <c r="A79" s="3118">
        <v>7</v>
      </c>
      <c r="B79" s="3870"/>
      <c r="C79" s="3092" t="s">
        <v>2667</v>
      </c>
      <c r="D79" s="3092" t="s">
        <v>2668</v>
      </c>
      <c r="E79" s="3118">
        <v>0.15</v>
      </c>
      <c r="F79" s="3118">
        <v>20</v>
      </c>
    </row>
    <row r="80" spans="1:7" ht="24">
      <c r="A80" s="3118">
        <v>8</v>
      </c>
      <c r="B80" s="3870"/>
      <c r="C80" s="3092" t="s">
        <v>2669</v>
      </c>
      <c r="D80" s="3092" t="s">
        <v>2670</v>
      </c>
      <c r="E80" s="3118">
        <v>0.1</v>
      </c>
      <c r="F80" s="3118">
        <v>15</v>
      </c>
    </row>
    <row r="81" spans="1:6" ht="24">
      <c r="A81" s="3118">
        <v>9</v>
      </c>
      <c r="B81" s="3870"/>
      <c r="C81" s="3092" t="s">
        <v>2671</v>
      </c>
      <c r="D81" s="3092" t="s">
        <v>2672</v>
      </c>
      <c r="E81" s="3118">
        <v>0.1</v>
      </c>
      <c r="F81" s="3118">
        <v>15</v>
      </c>
    </row>
    <row r="82" spans="1:6" ht="24">
      <c r="A82" s="3118">
        <v>10</v>
      </c>
      <c r="B82" s="3870"/>
      <c r="C82" s="3092" t="s">
        <v>2673</v>
      </c>
      <c r="D82" s="3092" t="s">
        <v>2674</v>
      </c>
      <c r="E82" s="3118">
        <v>0.1</v>
      </c>
      <c r="F82" s="3118">
        <v>15</v>
      </c>
    </row>
    <row r="83" spans="1:6" ht="24">
      <c r="A83" s="3118">
        <v>11</v>
      </c>
      <c r="B83" s="3870"/>
      <c r="C83" s="3092" t="s">
        <v>2675</v>
      </c>
      <c r="D83" s="3092" t="s">
        <v>2676</v>
      </c>
      <c r="E83" s="3118">
        <v>0.1</v>
      </c>
      <c r="F83" s="3118">
        <v>15</v>
      </c>
    </row>
    <row r="84" spans="1:6" ht="24">
      <c r="A84" s="3118">
        <v>12</v>
      </c>
      <c r="B84" s="3870"/>
      <c r="C84" s="3092" t="s">
        <v>2677</v>
      </c>
      <c r="D84" s="3092" t="s">
        <v>2678</v>
      </c>
      <c r="E84" s="3118">
        <v>0.1</v>
      </c>
      <c r="F84" s="3118">
        <v>15</v>
      </c>
    </row>
    <row r="85" spans="1:6" ht="13.5">
      <c r="A85" s="3118">
        <v>13</v>
      </c>
      <c r="B85" s="3870"/>
      <c r="C85" s="3092" t="s">
        <v>2679</v>
      </c>
      <c r="D85" s="3092" t="s">
        <v>2680</v>
      </c>
      <c r="E85" s="3118">
        <v>0.1</v>
      </c>
      <c r="F85" s="3118">
        <v>15</v>
      </c>
    </row>
    <row r="86" spans="1:6" ht="13.5">
      <c r="A86" s="3118">
        <v>14</v>
      </c>
      <c r="B86" s="3870"/>
      <c r="C86" s="3092" t="s">
        <v>2681</v>
      </c>
      <c r="D86" s="3092" t="s">
        <v>2682</v>
      </c>
      <c r="E86" s="3118">
        <v>0.1</v>
      </c>
      <c r="F86" s="3118">
        <v>15</v>
      </c>
    </row>
    <row r="87" spans="1:6" ht="13.5">
      <c r="A87" s="3118">
        <v>15</v>
      </c>
      <c r="B87" s="3870"/>
      <c r="C87" s="3092" t="s">
        <v>2683</v>
      </c>
      <c r="D87" s="3092" t="s">
        <v>2684</v>
      </c>
      <c r="E87" s="3118">
        <v>0.1</v>
      </c>
      <c r="F87" s="3118">
        <v>15</v>
      </c>
    </row>
    <row r="88" spans="1:6" ht="24">
      <c r="A88" s="3118">
        <v>16</v>
      </c>
      <c r="B88" s="3870"/>
      <c r="C88" s="3092" t="s">
        <v>2685</v>
      </c>
      <c r="D88" s="3092" t="s">
        <v>2686</v>
      </c>
      <c r="E88" s="3118">
        <v>0.1</v>
      </c>
      <c r="F88" s="3118">
        <v>15</v>
      </c>
    </row>
    <row r="89" spans="1:6" ht="24">
      <c r="A89" s="3118">
        <v>17</v>
      </c>
      <c r="B89" s="3869"/>
      <c r="C89" s="3092" t="s">
        <v>2687</v>
      </c>
      <c r="D89" s="3092" t="s">
        <v>2688</v>
      </c>
      <c r="E89" s="3118">
        <v>0.1</v>
      </c>
      <c r="F89" s="3118">
        <v>15</v>
      </c>
    </row>
    <row r="90" spans="1:6" ht="13.5">
      <c r="A90" s="3118">
        <v>18</v>
      </c>
      <c r="B90" s="3868" t="s">
        <v>2689</v>
      </c>
      <c r="C90" s="3092" t="s">
        <v>2690</v>
      </c>
      <c r="D90" s="3092" t="s">
        <v>2691</v>
      </c>
      <c r="E90" s="3118">
        <v>0.2</v>
      </c>
      <c r="F90" s="3118">
        <v>25</v>
      </c>
    </row>
    <row r="91" spans="1:6" ht="24">
      <c r="A91" s="3118">
        <v>19</v>
      </c>
      <c r="B91" s="3870"/>
      <c r="C91" s="3092" t="s">
        <v>2692</v>
      </c>
      <c r="D91" s="3092" t="s">
        <v>2693</v>
      </c>
      <c r="E91" s="3118">
        <v>0.2</v>
      </c>
      <c r="F91" s="3118">
        <v>25</v>
      </c>
    </row>
    <row r="92" spans="1:6" ht="13.5">
      <c r="A92" s="3118">
        <v>20</v>
      </c>
      <c r="B92" s="3870"/>
      <c r="C92" s="3092" t="s">
        <v>2694</v>
      </c>
      <c r="D92" s="3092" t="s">
        <v>2695</v>
      </c>
      <c r="E92" s="3118">
        <v>0.15</v>
      </c>
      <c r="F92" s="3118">
        <v>20</v>
      </c>
    </row>
    <row r="93" spans="1:6" ht="13.5">
      <c r="A93" s="3118">
        <v>21</v>
      </c>
      <c r="B93" s="3870"/>
      <c r="C93" s="3092" t="s">
        <v>2696</v>
      </c>
      <c r="D93" s="3092" t="s">
        <v>2697</v>
      </c>
      <c r="E93" s="3118">
        <v>0.15</v>
      </c>
      <c r="F93" s="3118">
        <v>20</v>
      </c>
    </row>
    <row r="94" spans="1:6" ht="13.5">
      <c r="A94" s="3118">
        <v>22</v>
      </c>
      <c r="B94" s="3870"/>
      <c r="C94" s="3092" t="s">
        <v>2698</v>
      </c>
      <c r="D94" s="3092" t="s">
        <v>2699</v>
      </c>
      <c r="E94" s="3118">
        <v>0.15</v>
      </c>
      <c r="F94" s="3118">
        <v>20</v>
      </c>
    </row>
    <row r="95" spans="1:6" ht="36">
      <c r="A95" s="3118">
        <v>23</v>
      </c>
      <c r="B95" s="3870"/>
      <c r="C95" s="3092" t="s">
        <v>2700</v>
      </c>
      <c r="D95" s="3092" t="s">
        <v>2701</v>
      </c>
      <c r="E95" s="3118">
        <v>0.15</v>
      </c>
      <c r="F95" s="3118">
        <v>20</v>
      </c>
    </row>
    <row r="96" spans="1:6" ht="13.5">
      <c r="A96" s="3118">
        <v>24</v>
      </c>
      <c r="B96" s="3870"/>
      <c r="C96" s="3092" t="s">
        <v>2702</v>
      </c>
      <c r="D96" s="3092" t="s">
        <v>2703</v>
      </c>
      <c r="E96" s="3118">
        <v>0.1</v>
      </c>
      <c r="F96" s="3118">
        <v>15</v>
      </c>
    </row>
    <row r="97" spans="1:6" ht="13.5">
      <c r="A97" s="3118">
        <v>25</v>
      </c>
      <c r="B97" s="3870"/>
      <c r="C97" s="3092" t="s">
        <v>2704</v>
      </c>
      <c r="D97" s="3092" t="s">
        <v>2705</v>
      </c>
      <c r="E97" s="3118">
        <v>0.1</v>
      </c>
      <c r="F97" s="3118">
        <v>15</v>
      </c>
    </row>
    <row r="98" spans="1:6" ht="24">
      <c r="A98" s="3118">
        <v>26</v>
      </c>
      <c r="B98" s="3870"/>
      <c r="C98" s="3092" t="s">
        <v>2706</v>
      </c>
      <c r="D98" s="3092" t="s">
        <v>2707</v>
      </c>
      <c r="E98" s="3118">
        <v>0.1</v>
      </c>
      <c r="F98" s="3118">
        <v>15</v>
      </c>
    </row>
    <row r="99" spans="1:6" ht="24">
      <c r="A99" s="3118">
        <v>27</v>
      </c>
      <c r="B99" s="3870"/>
      <c r="C99" s="3092" t="s">
        <v>2708</v>
      </c>
      <c r="D99" s="3092" t="s">
        <v>2709</v>
      </c>
      <c r="E99" s="3118">
        <v>0.1</v>
      </c>
      <c r="F99" s="3118">
        <v>15</v>
      </c>
    </row>
    <row r="100" spans="1:6" ht="13.5">
      <c r="A100" s="3118">
        <v>28</v>
      </c>
      <c r="B100" s="3870"/>
      <c r="C100" s="3092" t="s">
        <v>2710</v>
      </c>
      <c r="D100" s="3092" t="s">
        <v>2711</v>
      </c>
      <c r="E100" s="3118">
        <v>0.1</v>
      </c>
      <c r="F100" s="3118">
        <v>15</v>
      </c>
    </row>
    <row r="101" spans="1:6" ht="13.5">
      <c r="A101" s="3118">
        <v>29</v>
      </c>
      <c r="B101" s="3870"/>
      <c r="C101" s="3092" t="s">
        <v>2712</v>
      </c>
      <c r="D101" s="3092" t="s">
        <v>2713</v>
      </c>
      <c r="E101" s="3118">
        <v>0.1</v>
      </c>
      <c r="F101" s="3118">
        <v>15</v>
      </c>
    </row>
    <row r="102" spans="1:6" ht="13.5">
      <c r="A102" s="3118">
        <v>30</v>
      </c>
      <c r="B102" s="3870"/>
      <c r="C102" s="3092" t="s">
        <v>2714</v>
      </c>
      <c r="D102" s="3092" t="s">
        <v>2715</v>
      </c>
      <c r="E102" s="3118">
        <v>0.1</v>
      </c>
      <c r="F102" s="3118">
        <v>15</v>
      </c>
    </row>
    <row r="103" spans="1:6" ht="24">
      <c r="A103" s="3118">
        <v>31</v>
      </c>
      <c r="B103" s="3870"/>
      <c r="C103" s="3092" t="s">
        <v>2716</v>
      </c>
      <c r="D103" s="3092" t="s">
        <v>2717</v>
      </c>
      <c r="E103" s="3118">
        <v>0.1</v>
      </c>
      <c r="F103" s="3118">
        <v>15</v>
      </c>
    </row>
    <row r="104" spans="1:6" ht="24">
      <c r="A104" s="3118">
        <v>32</v>
      </c>
      <c r="B104" s="3870"/>
      <c r="C104" s="3092" t="s">
        <v>2718</v>
      </c>
      <c r="D104" s="3092" t="s">
        <v>2719</v>
      </c>
      <c r="E104" s="3118">
        <v>0.1</v>
      </c>
      <c r="F104" s="3118">
        <v>15</v>
      </c>
    </row>
    <row r="105" spans="1:6" ht="24">
      <c r="A105" s="3118">
        <v>33</v>
      </c>
      <c r="B105" s="3870"/>
      <c r="C105" s="3092" t="s">
        <v>2720</v>
      </c>
      <c r="D105" s="3092" t="s">
        <v>2721</v>
      </c>
      <c r="E105" s="3118">
        <v>0.1</v>
      </c>
      <c r="F105" s="3118">
        <v>15</v>
      </c>
    </row>
    <row r="106" spans="1:6" ht="24">
      <c r="A106" s="3118">
        <v>34</v>
      </c>
      <c r="B106" s="3869"/>
      <c r="C106" s="3092" t="s">
        <v>2722</v>
      </c>
      <c r="D106" s="3092" t="s">
        <v>2723</v>
      </c>
      <c r="E106" s="3118">
        <v>0.1</v>
      </c>
      <c r="F106" s="3118">
        <v>15</v>
      </c>
    </row>
    <row r="107" spans="1:6" ht="24">
      <c r="A107" s="3118">
        <v>35</v>
      </c>
      <c r="B107" s="3868" t="s">
        <v>2724</v>
      </c>
      <c r="C107" s="3118" t="s">
        <v>2725</v>
      </c>
      <c r="D107" s="3092" t="s">
        <v>2726</v>
      </c>
      <c r="E107" s="3118">
        <v>0.15</v>
      </c>
      <c r="F107" s="3118">
        <v>20</v>
      </c>
    </row>
    <row r="108" spans="1:6" ht="13.5">
      <c r="A108" s="3118">
        <v>36</v>
      </c>
      <c r="B108" s="3870"/>
      <c r="C108" s="3118" t="s">
        <v>2727</v>
      </c>
      <c r="D108" s="3092" t="s">
        <v>2728</v>
      </c>
      <c r="E108" s="3118">
        <v>0.15</v>
      </c>
      <c r="F108" s="3118">
        <v>20</v>
      </c>
    </row>
    <row r="109" spans="1:6" ht="13.5">
      <c r="A109" s="3118">
        <v>37</v>
      </c>
      <c r="B109" s="3870"/>
      <c r="C109" s="3118" t="s">
        <v>2729</v>
      </c>
      <c r="D109" s="3092" t="s">
        <v>2730</v>
      </c>
      <c r="E109" s="3118">
        <v>0.15</v>
      </c>
      <c r="F109" s="3118">
        <v>20</v>
      </c>
    </row>
    <row r="110" spans="1:6" ht="13.5">
      <c r="A110" s="3118">
        <v>38</v>
      </c>
      <c r="B110" s="3870"/>
      <c r="C110" s="3118" t="s">
        <v>2731</v>
      </c>
      <c r="D110" s="3092" t="s">
        <v>2732</v>
      </c>
      <c r="E110" s="3118">
        <v>0.1</v>
      </c>
      <c r="F110" s="3118">
        <v>15</v>
      </c>
    </row>
    <row r="111" spans="1:6" ht="24">
      <c r="A111" s="3118">
        <v>39</v>
      </c>
      <c r="B111" s="3870"/>
      <c r="C111" s="3118" t="s">
        <v>2733</v>
      </c>
      <c r="D111" s="3092" t="s">
        <v>2734</v>
      </c>
      <c r="E111" s="3118">
        <v>0.1</v>
      </c>
      <c r="F111" s="3118">
        <v>15</v>
      </c>
    </row>
    <row r="112" spans="1:6" ht="24">
      <c r="A112" s="3118">
        <v>40</v>
      </c>
      <c r="B112" s="3869"/>
      <c r="C112" s="3118" t="s">
        <v>2735</v>
      </c>
      <c r="D112" s="3092" t="s">
        <v>2736</v>
      </c>
      <c r="E112" s="3118">
        <v>0.1</v>
      </c>
      <c r="F112" s="3118">
        <v>15</v>
      </c>
    </row>
    <row r="113" spans="1:6" ht="13.5">
      <c r="A113" s="3118">
        <v>41</v>
      </c>
      <c r="B113" s="3867" t="s">
        <v>2737</v>
      </c>
      <c r="C113" s="3118" t="s">
        <v>2738</v>
      </c>
      <c r="D113" s="3092" t="s">
        <v>2739</v>
      </c>
      <c r="E113" s="3118">
        <v>0.1</v>
      </c>
      <c r="F113" s="3118">
        <v>15</v>
      </c>
    </row>
    <row r="114" spans="1:6" ht="13.5">
      <c r="A114" s="3118">
        <v>42</v>
      </c>
      <c r="B114" s="3867"/>
      <c r="C114" s="3118" t="s">
        <v>2740</v>
      </c>
      <c r="D114" s="3092" t="s">
        <v>2741</v>
      </c>
      <c r="E114" s="3118">
        <v>0.1</v>
      </c>
      <c r="F114" s="3118">
        <v>15</v>
      </c>
    </row>
    <row r="115" spans="1:6" ht="24">
      <c r="A115" s="3118">
        <v>43</v>
      </c>
      <c r="B115" s="3867"/>
      <c r="C115" s="3118" t="s">
        <v>2742</v>
      </c>
      <c r="D115" s="3092" t="s">
        <v>2743</v>
      </c>
      <c r="E115" s="3118">
        <v>0.1</v>
      </c>
      <c r="F115" s="3118">
        <v>15</v>
      </c>
    </row>
    <row r="116" spans="1:6" ht="13.5">
      <c r="A116" s="3118">
        <v>44</v>
      </c>
      <c r="B116" s="3868" t="s">
        <v>2744</v>
      </c>
      <c r="C116" s="3118" t="s">
        <v>2745</v>
      </c>
      <c r="D116" s="3092" t="s">
        <v>2746</v>
      </c>
      <c r="E116" s="3118">
        <v>0.1</v>
      </c>
      <c r="F116" s="3118">
        <v>15</v>
      </c>
    </row>
    <row r="117" spans="1:6" ht="24">
      <c r="A117" s="3118">
        <v>45</v>
      </c>
      <c r="B117" s="3869"/>
      <c r="C117" s="3092" t="s">
        <v>2747</v>
      </c>
      <c r="D117" s="3092" t="s">
        <v>2748</v>
      </c>
      <c r="E117" s="3118">
        <v>0.1</v>
      </c>
      <c r="F117" s="3118">
        <v>15</v>
      </c>
    </row>
    <row r="118" spans="1:6" ht="24">
      <c r="A118" s="3118">
        <v>46</v>
      </c>
      <c r="B118" s="3868" t="s">
        <v>2749</v>
      </c>
      <c r="C118" s="3118" t="s">
        <v>2750</v>
      </c>
      <c r="D118" s="3092" t="s">
        <v>2751</v>
      </c>
      <c r="E118" s="3118">
        <v>0.1</v>
      </c>
      <c r="F118" s="3118">
        <v>15</v>
      </c>
    </row>
    <row r="119" spans="1:6" ht="24">
      <c r="A119" s="3118">
        <v>47</v>
      </c>
      <c r="B119" s="3869"/>
      <c r="C119" s="3118" t="s">
        <v>2752</v>
      </c>
      <c r="D119" s="3092" t="s">
        <v>2753</v>
      </c>
      <c r="E119" s="3118">
        <v>0.1</v>
      </c>
      <c r="F119" s="3118">
        <v>15</v>
      </c>
    </row>
    <row r="120" spans="1:6" ht="13.5">
      <c r="A120" s="3118">
        <v>48</v>
      </c>
      <c r="B120" s="3868" t="s">
        <v>2754</v>
      </c>
      <c r="C120" s="3118" t="s">
        <v>2755</v>
      </c>
      <c r="D120" s="3092" t="s">
        <v>2756</v>
      </c>
      <c r="E120" s="3118">
        <v>0.1</v>
      </c>
      <c r="F120" s="3118">
        <v>15</v>
      </c>
    </row>
    <row r="121" spans="1:6" ht="13.5">
      <c r="A121" s="3118">
        <v>49</v>
      </c>
      <c r="B121" s="3869"/>
      <c r="C121" s="3118" t="s">
        <v>2757</v>
      </c>
      <c r="D121" s="3092" t="s">
        <v>2758</v>
      </c>
      <c r="E121" s="3118">
        <v>0.1</v>
      </c>
      <c r="F121" s="3118">
        <v>15</v>
      </c>
    </row>
    <row r="122" spans="1:6" ht="24">
      <c r="A122" s="3118">
        <v>50</v>
      </c>
      <c r="B122" s="3867" t="s">
        <v>2759</v>
      </c>
      <c r="C122" s="3118" t="s">
        <v>2760</v>
      </c>
      <c r="D122" s="3092" t="s">
        <v>2761</v>
      </c>
      <c r="E122" s="3118">
        <v>0.1</v>
      </c>
      <c r="F122" s="3118">
        <v>15</v>
      </c>
    </row>
    <row r="123" spans="1:6" ht="24">
      <c r="A123" s="3118">
        <v>51</v>
      </c>
      <c r="B123" s="3867"/>
      <c r="C123" s="3118" t="s">
        <v>2762</v>
      </c>
      <c r="D123" s="3092" t="s">
        <v>2763</v>
      </c>
      <c r="E123" s="3118">
        <v>0.1</v>
      </c>
      <c r="F123" s="3118">
        <v>15</v>
      </c>
    </row>
    <row r="124" spans="1:6" ht="24">
      <c r="A124" s="3118">
        <v>52</v>
      </c>
      <c r="B124" s="3867" t="s">
        <v>2764</v>
      </c>
      <c r="C124" s="3118" t="s">
        <v>2765</v>
      </c>
      <c r="D124" s="3092" t="s">
        <v>2766</v>
      </c>
      <c r="E124" s="3118">
        <v>0.1</v>
      </c>
      <c r="F124" s="3118">
        <v>15</v>
      </c>
    </row>
    <row r="125" spans="1:6" ht="24">
      <c r="A125" s="3118">
        <v>53</v>
      </c>
      <c r="B125" s="38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67" t="s">
        <v>2772</v>
      </c>
      <c r="C127" s="3118" t="s">
        <v>2773</v>
      </c>
      <c r="D127" s="3092" t="s">
        <v>2774</v>
      </c>
      <c r="E127" s="3118">
        <v>0.1</v>
      </c>
      <c r="F127" s="3118">
        <v>15</v>
      </c>
    </row>
    <row r="128" spans="1:6" ht="13.5">
      <c r="A128" s="3118">
        <v>56</v>
      </c>
      <c r="B128" s="3867"/>
      <c r="C128" s="3118" t="s">
        <v>2775</v>
      </c>
      <c r="D128" s="3092" t="s">
        <v>2776</v>
      </c>
      <c r="E128" s="3118">
        <v>0.1</v>
      </c>
      <c r="F128" s="3118">
        <v>15</v>
      </c>
    </row>
    <row r="129" spans="1:6" ht="24">
      <c r="A129" s="3118">
        <v>57</v>
      </c>
      <c r="B129" s="3867"/>
      <c r="C129" s="3118" t="s">
        <v>2777</v>
      </c>
      <c r="D129" s="3092" t="s">
        <v>2778</v>
      </c>
      <c r="E129" s="3118">
        <v>0.1</v>
      </c>
      <c r="F129" s="3118">
        <v>15</v>
      </c>
    </row>
    <row r="130" spans="1:6" ht="24">
      <c r="A130" s="3118">
        <v>58</v>
      </c>
      <c r="B130" s="3867" t="s">
        <v>2779</v>
      </c>
      <c r="C130" s="3118" t="s">
        <v>2780</v>
      </c>
      <c r="D130" s="3092" t="s">
        <v>2781</v>
      </c>
      <c r="E130" s="3118">
        <v>0.1</v>
      </c>
      <c r="F130" s="3118">
        <v>15</v>
      </c>
    </row>
    <row r="131" spans="1:6" ht="13.5">
      <c r="A131" s="3118">
        <v>59</v>
      </c>
      <c r="B131" s="3867"/>
      <c r="C131" s="3118" t="s">
        <v>2782</v>
      </c>
      <c r="D131" s="3092" t="s">
        <v>2783</v>
      </c>
      <c r="E131" s="3118">
        <v>0.1</v>
      </c>
      <c r="F131" s="3118">
        <v>15</v>
      </c>
    </row>
    <row r="132" spans="1:6" ht="13.5">
      <c r="A132" s="3118">
        <v>60</v>
      </c>
      <c r="B132" s="3868" t="s">
        <v>2784</v>
      </c>
      <c r="C132" s="3118" t="s">
        <v>2785</v>
      </c>
      <c r="D132" s="3092" t="s">
        <v>2786</v>
      </c>
      <c r="E132" s="3118">
        <v>0.1</v>
      </c>
      <c r="F132" s="3118">
        <v>15</v>
      </c>
    </row>
    <row r="133" spans="1:6" ht="13.5">
      <c r="A133" s="3118">
        <v>61</v>
      </c>
      <c r="B133" s="38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67" t="s">
        <v>2792</v>
      </c>
      <c r="C135" s="3118" t="s">
        <v>2793</v>
      </c>
      <c r="D135" s="3092" t="s">
        <v>2794</v>
      </c>
      <c r="E135" s="3118">
        <v>0.1</v>
      </c>
      <c r="F135" s="3118">
        <v>15</v>
      </c>
    </row>
    <row r="136" spans="1:6" ht="13.5">
      <c r="A136" s="3118">
        <v>64</v>
      </c>
      <c r="B136" s="38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1.0082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0.95489999999999997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62712</v>
      </c>
      <c r="C2" s="2" t="s">
        <v>106</v>
      </c>
      <c r="D2" s="199"/>
      <c r="E2" s="199"/>
      <c r="F2" s="199"/>
      <c r="G2" s="199"/>
    </row>
    <row r="3" spans="1:7" s="200" customFormat="1" ht="18" customHeight="1" thickBot="1">
      <c r="A3" s="203" t="s">
        <v>58</v>
      </c>
      <c r="B3" s="204">
        <f ca="1">ROUND(B2*10000/'数据-汇总表'!E3,0)</f>
        <v>9114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1376</v>
      </c>
      <c r="D10" s="845">
        <f>'数据-汇总表'!E6</f>
        <v>68805.62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1376</v>
      </c>
      <c r="D19" s="849">
        <f>'数据-汇总表'!E3</f>
        <v>68805.62</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1881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117</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3812</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3812</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28987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26422</v>
      </c>
      <c r="D34" s="217"/>
      <c r="E34" s="220"/>
      <c r="F34" s="257">
        <f>IF('数据-取费表'!B24=0,1,'数据-取费表'!N16)</f>
        <v>1</v>
      </c>
      <c r="G34" s="219" t="s">
        <v>89</v>
      </c>
    </row>
    <row r="35" spans="1:7" ht="13.5" customHeight="1">
      <c r="A35" s="780" t="s">
        <v>351</v>
      </c>
      <c r="B35" s="215" t="s">
        <v>33</v>
      </c>
      <c r="C35" s="220">
        <f>ROUND(C34*F35,0)</f>
        <v>793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1376</v>
      </c>
      <c r="D37" s="217">
        <f>'数据-汇总表'!E3</f>
        <v>68805.62</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1227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1203</v>
      </c>
      <c r="D42" s="238"/>
      <c r="E42" s="238"/>
      <c r="F42" s="239"/>
      <c r="G42" s="3800" t="s">
        <v>94</v>
      </c>
    </row>
    <row r="43" spans="1:7" ht="13.5" customHeight="1">
      <c r="A43" s="780" t="s">
        <v>347</v>
      </c>
      <c r="B43" s="215" t="s">
        <v>426</v>
      </c>
      <c r="C43" s="238">
        <f ca="1">ROUND(IF('数据-取费表'!B22&lt;=1,C39*F22*'数据-取费表'!B21/2,C39*(POWER((1+F22),'数据-取费表'!B21/2)-1)),0)</f>
        <v>24</v>
      </c>
      <c r="D43" s="238"/>
      <c r="E43" s="238"/>
      <c r="F43" s="239"/>
      <c r="G43" s="3801"/>
    </row>
    <row r="44" spans="1:7" ht="13.5" customHeight="1">
      <c r="A44" s="780" t="s">
        <v>348</v>
      </c>
      <c r="B44" s="215" t="s">
        <v>428</v>
      </c>
      <c r="C44" s="238">
        <f ca="1">ROUND(IF('数据-取费表'!B22&lt;=1,C40*F22*'数据-取费表'!B21/2,C40*(POWER((1+F22),'数据-取费表'!B21/2)-1)),4)</f>
        <v>8.0000000000000004E-4</v>
      </c>
      <c r="D44" s="238"/>
      <c r="E44" s="238"/>
      <c r="F44" s="239"/>
      <c r="G44" s="3802"/>
    </row>
    <row r="45" spans="1:7" s="214" customFormat="1" ht="13.5" customHeight="1">
      <c r="A45" s="777" t="s">
        <v>341</v>
      </c>
      <c r="B45" s="244" t="s">
        <v>85</v>
      </c>
      <c r="C45" s="245">
        <f>C46</f>
        <v>5026</v>
      </c>
      <c r="D45" s="235">
        <f>C47</f>
        <v>3.3999999999999998E-3</v>
      </c>
      <c r="E45" s="236" t="s">
        <v>102</v>
      </c>
      <c r="F45" s="246"/>
      <c r="G45" s="247" t="s">
        <v>434</v>
      </c>
    </row>
    <row r="46" spans="1:7" s="214" customFormat="1" ht="13.5" customHeight="1">
      <c r="A46" s="780" t="s">
        <v>349</v>
      </c>
      <c r="B46" s="248" t="s">
        <v>427</v>
      </c>
      <c r="C46" s="249">
        <f>ROUND((C33+C39)*F27,0)</f>
        <v>5026</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38831</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32230</v>
      </c>
      <c r="D51" s="232"/>
      <c r="E51" s="232"/>
      <c r="F51" s="264"/>
      <c r="G51" s="234" t="s">
        <v>37</v>
      </c>
    </row>
    <row r="52" spans="1:7" s="208" customFormat="1" ht="16.5" thickBot="1">
      <c r="A52" s="265" t="s">
        <v>38</v>
      </c>
      <c r="B52" s="266"/>
      <c r="C52" s="267">
        <f ca="1">C31+C51</f>
        <v>62712</v>
      </c>
      <c r="D52" s="266"/>
      <c r="E52" s="266"/>
      <c r="F52" s="266"/>
      <c r="G52" s="268"/>
    </row>
    <row r="55" spans="1:7" ht="15">
      <c r="B55" s="270" t="s">
        <v>39</v>
      </c>
      <c r="C55" s="271"/>
    </row>
    <row r="56" spans="1:7">
      <c r="B56" s="273" t="s">
        <v>40</v>
      </c>
      <c r="C56" s="274">
        <f ca="1">ROUND(C51/C52,3)</f>
        <v>0.51400000000000001</v>
      </c>
    </row>
    <row r="57" spans="1:7">
      <c r="B57" s="273" t="s">
        <v>41</v>
      </c>
      <c r="C57" s="275">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81" t="s">
        <v>2846</v>
      </c>
      <c r="B1" s="3881"/>
      <c r="C1" s="3881"/>
      <c r="D1" s="3881"/>
      <c r="E1" s="3881"/>
      <c r="F1" s="3881"/>
      <c r="G1" s="388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7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8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83" t="s">
        <v>3188</v>
      </c>
      <c r="B1" s="388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84" t="s">
        <v>3239</v>
      </c>
      <c r="B1" s="3884"/>
      <c r="C1" s="3884"/>
      <c r="D1" s="3884"/>
      <c r="E1" s="3884"/>
      <c r="F1" s="388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44991</v>
      </c>
      <c r="B1" s="3210" t="s">
        <v>2845</v>
      </c>
      <c r="C1" s="3211"/>
      <c r="D1" s="3211"/>
      <c r="E1" s="3211"/>
      <c r="F1" s="3211"/>
      <c r="G1" s="3211"/>
      <c r="H1" s="3211"/>
      <c r="I1" s="3211"/>
      <c r="J1" s="3165"/>
      <c r="K1" s="3211" t="s">
        <v>454</v>
      </c>
      <c r="L1" s="3211"/>
      <c r="M1" s="3211"/>
      <c r="N1" s="3211"/>
      <c r="O1" s="3211"/>
      <c r="P1" s="3211"/>
      <c r="Q1" s="3165"/>
      <c r="R1" s="3886" t="s">
        <v>456</v>
      </c>
      <c r="S1" s="3887"/>
      <c r="T1" s="3887"/>
      <c r="U1" s="3887"/>
      <c r="V1" s="3887"/>
      <c r="W1" s="3887"/>
      <c r="X1" s="3165"/>
      <c r="Y1" s="3886" t="s">
        <v>457</v>
      </c>
      <c r="Z1" s="3887"/>
      <c r="AA1" s="3887"/>
      <c r="AB1" s="3887"/>
      <c r="AC1" s="3887"/>
      <c r="AD1" s="38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86" t="s">
        <v>2833</v>
      </c>
      <c r="S21" s="3887"/>
      <c r="T21" s="3887"/>
      <c r="U21" s="3887"/>
      <c r="V21" s="3887"/>
      <c r="W21" s="3887"/>
      <c r="X21" s="3165"/>
      <c r="Y21" s="3886" t="s">
        <v>2834</v>
      </c>
      <c r="Z21" s="3887"/>
      <c r="AA21" s="3887"/>
      <c r="AB21" s="3887"/>
      <c r="AC21" s="3887"/>
      <c r="AD21" s="388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93" t="s">
        <v>452</v>
      </c>
      <c r="C1" s="3893"/>
      <c r="D1" s="3893"/>
      <c r="E1" s="3893"/>
      <c r="F1" s="3893"/>
      <c r="G1" s="3892" t="s">
        <v>453</v>
      </c>
      <c r="H1" s="3892"/>
      <c r="I1" s="3892"/>
      <c r="J1" s="3892"/>
      <c r="K1" s="3892"/>
      <c r="L1" s="3892"/>
      <c r="N1" s="3892" t="s">
        <v>454</v>
      </c>
      <c r="O1" s="3892"/>
      <c r="P1" s="3892"/>
      <c r="Q1" s="3892"/>
      <c r="S1" s="3892" t="s">
        <v>455</v>
      </c>
      <c r="T1" s="3892"/>
      <c r="U1" s="3892"/>
      <c r="V1" s="3892"/>
      <c r="X1" s="3891" t="s">
        <v>456</v>
      </c>
      <c r="Y1" s="3892"/>
      <c r="Z1" s="3892"/>
      <c r="AA1" s="3892"/>
      <c r="AB1" s="3892"/>
      <c r="AD1" s="3891" t="s">
        <v>457</v>
      </c>
      <c r="AE1" s="3892"/>
      <c r="AF1" s="3892"/>
      <c r="AG1" s="3892"/>
      <c r="AH1" s="38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4" t="str">
        <f>IF(项目基本情况!B9="房地产市场价值","估价结果一览表","结果表-2")</f>
        <v>结果表-2</v>
      </c>
      <c r="B1" s="3574"/>
      <c r="C1" s="3574"/>
      <c r="D1" s="3574"/>
      <c r="E1" s="3574"/>
      <c r="F1" s="3574"/>
      <c r="G1" s="3574"/>
      <c r="H1" s="3574"/>
      <c r="I1" s="3574"/>
    </row>
    <row r="2" spans="1:9" ht="30" customHeight="1" thickTop="1">
      <c r="A2" s="3575" t="s">
        <v>928</v>
      </c>
      <c r="B2" s="3575" t="s">
        <v>929</v>
      </c>
      <c r="C2" s="3575" t="s">
        <v>930</v>
      </c>
      <c r="D2" s="3575" t="str">
        <f>结果表!D116</f>
        <v>出让国有建设用地使用权价值</v>
      </c>
      <c r="E2" s="3575"/>
      <c r="F2" s="3575" t="str">
        <f>结果表!F116</f>
        <v>在建建筑物价值</v>
      </c>
      <c r="G2" s="3575"/>
      <c r="H2" s="3575" t="str">
        <f>IF(项目基本情况!B9="房地产市场价值","房地产市场价值","房地产价值")</f>
        <v>房地产价值</v>
      </c>
      <c r="I2" s="3575"/>
    </row>
    <row r="3" spans="1:9" ht="15">
      <c r="A3" s="3570"/>
      <c r="B3" s="3570"/>
      <c r="C3" s="3570"/>
      <c r="D3" s="854" t="s">
        <v>925</v>
      </c>
      <c r="E3" s="854" t="s">
        <v>931</v>
      </c>
      <c r="F3" s="854" t="s">
        <v>925</v>
      </c>
      <c r="G3" s="854" t="s">
        <v>926</v>
      </c>
      <c r="H3" s="854" t="s">
        <v>925</v>
      </c>
      <c r="I3" s="854" t="s">
        <v>926</v>
      </c>
    </row>
    <row r="4" spans="1:9" ht="15">
      <c r="A4" s="1505" t="str">
        <f>项目基本情况!S2</f>
        <v>北京市房地产</v>
      </c>
      <c r="B4" s="854">
        <f>项目基本情况!C17</f>
        <v>68805.62</v>
      </c>
      <c r="C4" s="854">
        <f>项目基本情况!C18</f>
        <v>11305.41</v>
      </c>
      <c r="D4" s="854" t="e">
        <f ca="1">结果表!D118</f>
        <v>#REF!</v>
      </c>
      <c r="E4" s="854" t="e">
        <f ca="1">结果表!E118</f>
        <v>#REF!</v>
      </c>
      <c r="F4" s="854" t="e">
        <f ca="1">结果表!F118</f>
        <v>#REF!</v>
      </c>
      <c r="G4" s="854" t="e">
        <f ca="1">结果表!G118</f>
        <v>#REF!</v>
      </c>
      <c r="H4" s="854">
        <f ca="1">结果表!H118</f>
        <v>240865</v>
      </c>
      <c r="I4" s="854">
        <f ca="1">结果表!I118</f>
        <v>35007</v>
      </c>
    </row>
    <row r="5" spans="1:9" ht="30" customHeight="1">
      <c r="A5" s="3570" t="s">
        <v>927</v>
      </c>
      <c r="B5" s="3570"/>
      <c r="C5" s="3570"/>
      <c r="D5" s="3570" t="e">
        <f ca="1">结果表!D119</f>
        <v>#REF!</v>
      </c>
      <c r="E5" s="3570"/>
      <c r="F5" s="3570" t="e">
        <f ca="1">结果表!F119</f>
        <v>#REF!</v>
      </c>
      <c r="G5" s="3570"/>
      <c r="H5" s="3570" t="str">
        <f ca="1">结果表!H119</f>
        <v>贰拾肆亿零捌佰陆拾伍万元整</v>
      </c>
      <c r="I5" s="3570"/>
    </row>
    <row r="6" spans="1:9" ht="15.75">
      <c r="A6" s="3569" t="str">
        <f>结果表!A120</f>
        <v>估价师知悉的法定优先受偿款</v>
      </c>
      <c r="B6" s="3569"/>
      <c r="C6" s="3569"/>
      <c r="D6" s="3569">
        <f>结果表!D120</f>
        <v>0</v>
      </c>
      <c r="E6" s="3569"/>
      <c r="F6" s="3569"/>
      <c r="G6" s="3569"/>
      <c r="H6" s="3569"/>
      <c r="I6" s="3569"/>
    </row>
    <row r="7" spans="1:9" ht="15">
      <c r="A7" s="3570" t="s">
        <v>927</v>
      </c>
      <c r="B7" s="3570"/>
      <c r="C7" s="3570"/>
      <c r="D7" s="3571" t="str">
        <f>结果表!D121</f>
        <v>零元整</v>
      </c>
      <c r="E7" s="3572"/>
      <c r="F7" s="3572"/>
      <c r="G7" s="3572"/>
      <c r="H7" s="3572"/>
      <c r="I7" s="3573"/>
    </row>
    <row r="8" spans="1:9" ht="15.75">
      <c r="A8" s="3569" t="str">
        <f>结果表!A122</f>
        <v>房地产抵押价值</v>
      </c>
      <c r="B8" s="3569"/>
      <c r="C8" s="3569"/>
      <c r="D8" s="3569">
        <f ca="1">结果表!D122</f>
        <v>240865</v>
      </c>
      <c r="E8" s="3569"/>
      <c r="F8" s="3569"/>
      <c r="G8" s="3569"/>
      <c r="H8" s="3569"/>
      <c r="I8" s="3569"/>
    </row>
    <row r="9" spans="1:9" ht="15">
      <c r="A9" s="3570" t="s">
        <v>927</v>
      </c>
      <c r="B9" s="3570"/>
      <c r="C9" s="3570"/>
      <c r="D9" s="3570" t="str">
        <f ca="1">结果表!D123</f>
        <v>贰拾肆亿零捌佰陆拾伍万元整</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927</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927</v>
      </c>
      <c r="B13" s="3567"/>
      <c r="C13" s="3567"/>
      <c r="D13" s="3567" t="e">
        <f>结果表!D127</f>
        <v>#VALUE!</v>
      </c>
      <c r="E13" s="3567"/>
      <c r="F13" s="3567"/>
      <c r="G13" s="3567"/>
      <c r="H13" s="3567"/>
      <c r="I13" s="3567"/>
    </row>
    <row r="14" spans="1:9" ht="15" thickTop="1">
      <c r="A14" s="3568" t="s">
        <v>932</v>
      </c>
      <c r="B14" s="3568"/>
      <c r="C14" s="3568"/>
      <c r="D14" s="3568"/>
      <c r="E14" s="3568"/>
      <c r="F14" s="3568"/>
      <c r="G14" s="3568"/>
      <c r="H14" s="3568"/>
      <c r="I14" s="35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2" t="s">
        <v>949</v>
      </c>
      <c r="B1" s="3582"/>
      <c r="C1" s="3582"/>
      <c r="D1" s="3582"/>
    </row>
    <row r="2" spans="1:4" ht="18">
      <c r="A2" s="3583" t="s">
        <v>933</v>
      </c>
      <c r="B2" s="3583"/>
      <c r="C2" s="3583"/>
      <c r="D2" s="358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83" t="s">
        <v>939</v>
      </c>
      <c r="B6" s="3583"/>
      <c r="C6" s="3583"/>
      <c r="D6" s="35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4" t="s">
        <v>942</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1"/>
      <c r="C12" s="3581"/>
      <c r="D12" s="3581"/>
    </row>
    <row r="13" spans="1:4" ht="30" customHeight="1">
      <c r="A13" s="35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1"/>
      <c r="C13" s="3581"/>
      <c r="D13" s="3581"/>
    </row>
    <row r="14" spans="1:4" ht="15.75" customHeight="1">
      <c r="A14" s="3576" t="str">
        <f>IF(项目基本情况!B8="抵押","4.本次评估估价师所知悉的法定优先受偿款情况说明如下：","——")</f>
        <v>4.本次评估估价师所知悉的法定优先受偿款情况说明如下：</v>
      </c>
      <c r="B14" s="3581"/>
      <c r="C14" s="3581"/>
      <c r="D14" s="3581"/>
    </row>
    <row r="15" spans="1:4" ht="42" customHeight="1">
      <c r="A15" s="35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6"/>
      <c r="C15" s="3576"/>
      <c r="D15" s="3576"/>
    </row>
    <row r="16" spans="1:4" ht="30" customHeight="1">
      <c r="A16" s="3578" t="s">
        <v>943</v>
      </c>
      <c r="B16" s="3578"/>
      <c r="C16" s="3578"/>
      <c r="D16" s="3578"/>
    </row>
    <row r="17" spans="1:4" ht="144" customHeight="1">
      <c r="A17" s="3578" t="s">
        <v>944</v>
      </c>
      <c r="B17" s="3578"/>
      <c r="C17" s="3578"/>
      <c r="D17" s="3578"/>
    </row>
    <row r="18" spans="1:4" ht="15.75" customHeight="1">
      <c r="A18" s="3576" t="str">
        <f>IF(项目基本情况!B8="抵押",结果表!K120,"——")</f>
        <v>故，本次评估不存在估价师知悉的法定优先受偿款</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945</v>
      </c>
      <c r="B22" s="3580"/>
      <c r="C22" s="3580"/>
      <c r="D22" s="35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90" t="s">
        <v>956</v>
      </c>
      <c r="B15" s="3585" t="s">
        <v>109</v>
      </c>
      <c r="C15" s="3586"/>
    </row>
    <row r="16" spans="1:7" ht="13.5">
      <c r="A16" s="3591"/>
      <c r="B16" s="3585" t="s">
        <v>42</v>
      </c>
      <c r="C16" s="3586"/>
    </row>
    <row r="17" spans="1:3" ht="13.5">
      <c r="A17" s="3591"/>
      <c r="B17" s="3588" t="s">
        <v>957</v>
      </c>
      <c r="C17" s="1532" t="s">
        <v>956</v>
      </c>
    </row>
    <row r="18" spans="1:3" ht="13.5">
      <c r="A18" s="3591"/>
      <c r="B18" s="3588"/>
      <c r="C18" s="1532" t="s">
        <v>958</v>
      </c>
    </row>
    <row r="19" spans="1:3" ht="13.5">
      <c r="A19" s="3591"/>
      <c r="B19" s="3588"/>
      <c r="C19" s="1532" t="s">
        <v>959</v>
      </c>
    </row>
    <row r="20" spans="1:3" ht="13.5">
      <c r="A20" s="3592"/>
      <c r="B20" s="3587" t="s">
        <v>960</v>
      </c>
      <c r="C20" s="3586"/>
    </row>
    <row r="21" spans="1:3" ht="13.5">
      <c r="A21" s="1533" t="s">
        <v>961</v>
      </c>
      <c r="B21" s="1534"/>
      <c r="C21" s="1535"/>
    </row>
    <row r="22" spans="1:3" ht="13.5">
      <c r="A22" s="3589" t="s">
        <v>962</v>
      </c>
      <c r="B22" s="3587" t="s">
        <v>963</v>
      </c>
      <c r="C22" s="3586"/>
    </row>
    <row r="23" spans="1:3" ht="13.5">
      <c r="A23" s="3589"/>
      <c r="B23" s="3587" t="s">
        <v>964</v>
      </c>
      <c r="C23" s="3586"/>
    </row>
    <row r="24" spans="1:3" ht="13.5">
      <c r="A24" s="3589"/>
      <c r="B24" s="3587" t="s">
        <v>965</v>
      </c>
      <c r="C24" s="3586"/>
    </row>
    <row r="25" spans="1:3" ht="13.5">
      <c r="A25" s="3589"/>
      <c r="B25" s="3588" t="s">
        <v>966</v>
      </c>
      <c r="C25" s="1532" t="s">
        <v>967</v>
      </c>
    </row>
    <row r="26" spans="1:3" ht="13.5">
      <c r="A26" s="3589"/>
      <c r="B26" s="3588"/>
      <c r="C26" s="1532" t="s">
        <v>968</v>
      </c>
    </row>
    <row r="27" spans="1:3" ht="13.5">
      <c r="A27" s="3589"/>
      <c r="B27" s="3588"/>
      <c r="C27" s="1532" t="s">
        <v>969</v>
      </c>
    </row>
    <row r="28" spans="1:3" ht="13.5">
      <c r="A28" s="3589"/>
      <c r="B28" s="3588"/>
      <c r="C28" s="1532" t="s">
        <v>970</v>
      </c>
    </row>
    <row r="29" spans="1:3" ht="13.5">
      <c r="A29" s="3589"/>
      <c r="B29" s="3588"/>
      <c r="C29" s="1532" t="s">
        <v>971</v>
      </c>
    </row>
    <row r="30" spans="1:3" ht="13.5">
      <c r="A30" s="3589"/>
      <c r="B30" s="3588"/>
      <c r="C30" s="1532" t="s">
        <v>972</v>
      </c>
    </row>
    <row r="31" spans="1:3" ht="13.5">
      <c r="A31" s="3589"/>
      <c r="B31" s="3588"/>
      <c r="C31" s="1532" t="s">
        <v>973</v>
      </c>
    </row>
    <row r="32" spans="1:3" ht="13.5">
      <c r="A32" s="3589"/>
      <c r="B32" s="3588"/>
      <c r="C32" s="1532" t="s">
        <v>974</v>
      </c>
    </row>
    <row r="33" spans="1:3" ht="13.5">
      <c r="A33" s="3589"/>
      <c r="B33" s="35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3" t="s">
        <v>2160</v>
      </c>
      <c r="B17" s="3593"/>
      <c r="C17" s="3593"/>
      <c r="D17" s="3593"/>
      <c r="E17" s="3593"/>
      <c r="F17" s="3593"/>
      <c r="G17" s="3593"/>
      <c r="H17" s="3593"/>
    </row>
    <row r="18" spans="1:8" ht="24" customHeight="1">
      <c r="A18" s="3594" t="s">
        <v>2161</v>
      </c>
      <c r="B18" s="3594"/>
      <c r="C18" s="3594"/>
      <c r="D18" s="2343"/>
      <c r="E18" s="3595" t="s">
        <v>2162</v>
      </c>
      <c r="F18" s="3594"/>
      <c r="G18" s="35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大宗案例</vt:lpstr>
      <vt:lpstr>Sheet1</vt:lpstr>
      <vt:lpstr>数据-取费表</vt:lpstr>
      <vt:lpstr>估价对象房地状况</vt:lpstr>
      <vt:lpstr>系统读取表</vt:lpstr>
      <vt:lpstr>结果表</vt:lpstr>
      <vt:lpstr>比较法-办公</vt:lpstr>
      <vt:lpstr>收益法</vt:lpstr>
      <vt:lpstr>收益法(2)</vt:lpstr>
      <vt:lpstr>收益法(车位)</vt:lpstr>
      <vt:lpstr>收益法（汇总）</vt:lpstr>
      <vt:lpstr>成本法</vt:lpstr>
      <vt:lpstr>基准地价修正</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'收益法(2)'!Print_Area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2023-03-08T06:53:04Z</dcterms:modified>
</cp:coreProperties>
</file>